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6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 xml:space="preserve">All Comparator Library Holdings 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QV S793p 1911</t>
        </is>
      </c>
      <c r="E2" t="inlineStr">
        <is>
          <t>0                      QV 0000000S  793p        1911</t>
        </is>
      </c>
      <c r="F2" t="inlineStr">
        <is>
          <t>Aids to practical pharmacy for medical students / Arthur C. L. Stark.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Stark, Arthur Campbell.</t>
        </is>
      </c>
      <c r="N2" t="inlineStr">
        <is>
          <t>London : Baillière, Tindall &amp; Cox, 1913, c1911.</t>
        </is>
      </c>
      <c r="O2" t="inlineStr">
        <is>
          <t>1911</t>
        </is>
      </c>
      <c r="P2" t="inlineStr">
        <is>
          <t>2d ed.</t>
        </is>
      </c>
      <c r="Q2" t="inlineStr">
        <is>
          <t>eng</t>
        </is>
      </c>
      <c r="R2" t="inlineStr">
        <is>
          <t>lau</t>
        </is>
      </c>
      <c r="T2" t="inlineStr">
        <is>
          <t xml:space="preserve">QV </t>
        </is>
      </c>
      <c r="U2" t="n">
        <v>1</v>
      </c>
      <c r="V2" t="n">
        <v>1</v>
      </c>
      <c r="W2" t="inlineStr">
        <is>
          <t>1992-03-27</t>
        </is>
      </c>
      <c r="X2" t="inlineStr">
        <is>
          <t>1992-03-27</t>
        </is>
      </c>
      <c r="Y2" t="inlineStr">
        <is>
          <t>1988-01-27</t>
        </is>
      </c>
      <c r="Z2" t="inlineStr">
        <is>
          <t>1988-01-27</t>
        </is>
      </c>
      <c r="AA2" t="n">
        <v>6</v>
      </c>
      <c r="AB2" t="n">
        <v>2</v>
      </c>
      <c r="AC2" t="n">
        <v>10</v>
      </c>
      <c r="AD2" t="n">
        <v>1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HYPERLINK("https://creighton-primo.hosted.exlibrisgroup.com/primo-explore/search?tab=default_tab&amp;search_scope=EVERYTHING&amp;vid=01CRU&amp;lang=en_US&amp;offset=0&amp;query=any,contains,991000911909702656","Catalog Record")</f>
        <v/>
      </c>
      <c r="AV2">
        <f>HYPERLINK("http://www.worldcat.org/oclc/14795894","WorldCat Record")</f>
        <v/>
      </c>
      <c r="AW2" t="inlineStr">
        <is>
          <t>8929660:eng</t>
        </is>
      </c>
      <c r="AX2" t="inlineStr">
        <is>
          <t>14795894</t>
        </is>
      </c>
      <c r="AY2" t="inlineStr">
        <is>
          <t>991000911909702656</t>
        </is>
      </c>
      <c r="AZ2" t="inlineStr">
        <is>
          <t>991000911909702656</t>
        </is>
      </c>
      <c r="BA2" t="inlineStr">
        <is>
          <t>2264913140002656</t>
        </is>
      </c>
      <c r="BB2" t="inlineStr">
        <is>
          <t>BOOK</t>
        </is>
      </c>
      <c r="BE2" t="inlineStr">
        <is>
          <t>30001000178642</t>
        </is>
      </c>
      <c r="BF2" t="inlineStr">
        <is>
          <t>893560767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QV 4 A839p 1987</t>
        </is>
      </c>
      <c r="E3" t="inlineStr">
        <is>
          <t>0                      QV 0004000A  839p        1987</t>
        </is>
      </c>
      <c r="F3" t="inlineStr">
        <is>
          <t>Pharmacology, an introductory text / Mary Kaye Asperheim.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Asperheim, Mary Kaye.</t>
        </is>
      </c>
      <c r="N3" t="inlineStr">
        <is>
          <t>Philadelphia : Saunders, c1987.</t>
        </is>
      </c>
      <c r="O3" t="inlineStr">
        <is>
          <t>1987</t>
        </is>
      </c>
      <c r="P3" t="inlineStr">
        <is>
          <t>6th ed.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QV </t>
        </is>
      </c>
      <c r="U3" t="n">
        <v>4</v>
      </c>
      <c r="V3" t="n">
        <v>4</v>
      </c>
      <c r="W3" t="inlineStr">
        <is>
          <t>2001-09-13</t>
        </is>
      </c>
      <c r="X3" t="inlineStr">
        <is>
          <t>2001-09-13</t>
        </is>
      </c>
      <c r="Y3" t="inlineStr">
        <is>
          <t>1987-09-27</t>
        </is>
      </c>
      <c r="Z3" t="inlineStr">
        <is>
          <t>1987-09-27</t>
        </is>
      </c>
      <c r="AA3" t="n">
        <v>139</v>
      </c>
      <c r="AB3" t="n">
        <v>102</v>
      </c>
      <c r="AC3" t="n">
        <v>355</v>
      </c>
      <c r="AD3" t="n">
        <v>1</v>
      </c>
      <c r="AE3" t="n">
        <v>3</v>
      </c>
      <c r="AF3" t="n">
        <v>4</v>
      </c>
      <c r="AG3" t="n">
        <v>9</v>
      </c>
      <c r="AH3" t="n">
        <v>3</v>
      </c>
      <c r="AI3" t="n">
        <v>3</v>
      </c>
      <c r="AJ3" t="n">
        <v>0</v>
      </c>
      <c r="AK3" t="n">
        <v>1</v>
      </c>
      <c r="AL3" t="n">
        <v>1</v>
      </c>
      <c r="AM3" t="n">
        <v>5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HYPERLINK("http://catalog.hathitrust.org/Record/000811926","HathiTrust Record")</f>
        <v/>
      </c>
      <c r="AU3">
        <f>HYPERLINK("https://creighton-primo.hosted.exlibrisgroup.com/primo-explore/search?tab=default_tab&amp;search_scope=EVERYTHING&amp;vid=01CRU&amp;lang=en_US&amp;offset=0&amp;query=any,contains,991000747119702656","Catalog Record")</f>
        <v/>
      </c>
      <c r="AV3">
        <f>HYPERLINK("http://www.worldcat.org/oclc/14188822","WorldCat Record")</f>
        <v/>
      </c>
      <c r="AW3" t="inlineStr">
        <is>
          <t>7790785:eng</t>
        </is>
      </c>
      <c r="AX3" t="inlineStr">
        <is>
          <t>14188822</t>
        </is>
      </c>
      <c r="AY3" t="inlineStr">
        <is>
          <t>991000747119702656</t>
        </is>
      </c>
      <c r="AZ3" t="inlineStr">
        <is>
          <t>991000747119702656</t>
        </is>
      </c>
      <c r="BA3" t="inlineStr">
        <is>
          <t>2267109610002656</t>
        </is>
      </c>
      <c r="BB3" t="inlineStr">
        <is>
          <t>BOOK</t>
        </is>
      </c>
      <c r="BD3" t="inlineStr">
        <is>
          <t>9780721621524</t>
        </is>
      </c>
      <c r="BE3" t="inlineStr">
        <is>
          <t>30001000046039</t>
        </is>
      </c>
      <c r="BF3" t="inlineStr">
        <is>
          <t>893735501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QV 4 A839pa 1985</t>
        </is>
      </c>
      <c r="E4" t="inlineStr">
        <is>
          <t>0                      QV 0004000A  839pa       1985</t>
        </is>
      </c>
      <c r="F4" t="inlineStr">
        <is>
          <t>Pharmacologic basis of patient care / Mary K. Asperheim.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Asperheim, Mary Kaye.</t>
        </is>
      </c>
      <c r="N4" t="inlineStr">
        <is>
          <t>Philadelphia : Saunders, c1985.</t>
        </is>
      </c>
      <c r="O4" t="inlineStr">
        <is>
          <t>1985</t>
        </is>
      </c>
      <c r="P4" t="inlineStr">
        <is>
          <t>5th ed.</t>
        </is>
      </c>
      <c r="Q4" t="inlineStr">
        <is>
          <t>eng</t>
        </is>
      </c>
      <c r="R4" t="inlineStr">
        <is>
          <t>xxu</t>
        </is>
      </c>
      <c r="T4" t="inlineStr">
        <is>
          <t xml:space="preserve">QV </t>
        </is>
      </c>
      <c r="U4" t="n">
        <v>22</v>
      </c>
      <c r="V4" t="n">
        <v>22</v>
      </c>
      <c r="W4" t="inlineStr">
        <is>
          <t>1990-09-16</t>
        </is>
      </c>
      <c r="X4" t="inlineStr">
        <is>
          <t>1990-09-16</t>
        </is>
      </c>
      <c r="Y4" t="inlineStr">
        <is>
          <t>1987-09-27</t>
        </is>
      </c>
      <c r="Z4" t="inlineStr">
        <is>
          <t>1987-09-27</t>
        </is>
      </c>
      <c r="AA4" t="n">
        <v>259</v>
      </c>
      <c r="AB4" t="n">
        <v>210</v>
      </c>
      <c r="AC4" t="n">
        <v>395</v>
      </c>
      <c r="AD4" t="n">
        <v>2</v>
      </c>
      <c r="AE4" t="n">
        <v>4</v>
      </c>
      <c r="AF4" t="n">
        <v>3</v>
      </c>
      <c r="AG4" t="n">
        <v>10</v>
      </c>
      <c r="AH4" t="n">
        <v>1</v>
      </c>
      <c r="AI4" t="n">
        <v>3</v>
      </c>
      <c r="AJ4" t="n">
        <v>0</v>
      </c>
      <c r="AK4" t="n">
        <v>1</v>
      </c>
      <c r="AL4" t="n">
        <v>2</v>
      </c>
      <c r="AM4" t="n">
        <v>5</v>
      </c>
      <c r="AN4" t="n">
        <v>0</v>
      </c>
      <c r="AO4" t="n">
        <v>2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HYPERLINK("http://catalog.hathitrust.org/Record/000335221","HathiTrust Record")</f>
        <v/>
      </c>
      <c r="AU4">
        <f>HYPERLINK("https://creighton-primo.hosted.exlibrisgroup.com/primo-explore/search?tab=default_tab&amp;search_scope=EVERYTHING&amp;vid=01CRU&amp;lang=en_US&amp;offset=0&amp;query=any,contains,991000747169702656","Catalog Record")</f>
        <v/>
      </c>
      <c r="AV4">
        <f>HYPERLINK("http://www.worldcat.org/oclc/11030357","WorldCat Record")</f>
        <v/>
      </c>
      <c r="AW4" t="inlineStr">
        <is>
          <t>1556522:eng</t>
        </is>
      </c>
      <c r="AX4" t="inlineStr">
        <is>
          <t>11030357</t>
        </is>
      </c>
      <c r="AY4" t="inlineStr">
        <is>
          <t>991000747169702656</t>
        </is>
      </c>
      <c r="AZ4" t="inlineStr">
        <is>
          <t>991000747169702656</t>
        </is>
      </c>
      <c r="BA4" t="inlineStr">
        <is>
          <t>2260937400002656</t>
        </is>
      </c>
      <c r="BB4" t="inlineStr">
        <is>
          <t>BOOK</t>
        </is>
      </c>
      <c r="BD4" t="inlineStr">
        <is>
          <t>9780721612294</t>
        </is>
      </c>
      <c r="BE4" t="inlineStr">
        <is>
          <t>30001000046047</t>
        </is>
      </c>
      <c r="BF4" t="inlineStr">
        <is>
          <t>893286952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QV 4 B3102 1982</t>
        </is>
      </c>
      <c r="E5" t="inlineStr">
        <is>
          <t>0                      QV 0004000B  3102        1982</t>
        </is>
      </c>
      <c r="F5" t="inlineStr">
        <is>
          <t>Basic &amp; clinical pharmacology / edited by Bertram G. Katzung.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Yes</t>
        </is>
      </c>
      <c r="L5" t="inlineStr">
        <is>
          <t>3</t>
        </is>
      </c>
      <c r="N5" t="inlineStr">
        <is>
          <t>Los Altos, Calif. : Lange Medical Publications, c1982.</t>
        </is>
      </c>
      <c r="O5" t="inlineStr">
        <is>
          <t>1982</t>
        </is>
      </c>
      <c r="Q5" t="inlineStr">
        <is>
          <t>eng</t>
        </is>
      </c>
      <c r="R5" t="inlineStr">
        <is>
          <t>xxu</t>
        </is>
      </c>
      <c r="S5" t="inlineStr">
        <is>
          <t>Concise medical library for practitioner and student</t>
        </is>
      </c>
      <c r="T5" t="inlineStr">
        <is>
          <t xml:space="preserve">QV </t>
        </is>
      </c>
      <c r="U5" t="n">
        <v>57</v>
      </c>
      <c r="V5" t="n">
        <v>57</v>
      </c>
      <c r="W5" t="inlineStr">
        <is>
          <t>2008-10-19</t>
        </is>
      </c>
      <c r="X5" t="inlineStr">
        <is>
          <t>2008-10-19</t>
        </is>
      </c>
      <c r="Y5" t="inlineStr">
        <is>
          <t>1988-01-27</t>
        </is>
      </c>
      <c r="Z5" t="inlineStr">
        <is>
          <t>1988-01-27</t>
        </is>
      </c>
      <c r="AA5" t="n">
        <v>142</v>
      </c>
      <c r="AB5" t="n">
        <v>107</v>
      </c>
      <c r="AC5" t="n">
        <v>1372</v>
      </c>
      <c r="AD5" t="n">
        <v>1</v>
      </c>
      <c r="AE5" t="n">
        <v>18</v>
      </c>
      <c r="AF5" t="n">
        <v>2</v>
      </c>
      <c r="AG5" t="n">
        <v>39</v>
      </c>
      <c r="AH5" t="n">
        <v>1</v>
      </c>
      <c r="AI5" t="n">
        <v>12</v>
      </c>
      <c r="AJ5" t="n">
        <v>0</v>
      </c>
      <c r="AK5" t="n">
        <v>6</v>
      </c>
      <c r="AL5" t="n">
        <v>1</v>
      </c>
      <c r="AM5" t="n">
        <v>16</v>
      </c>
      <c r="AN5" t="n">
        <v>0</v>
      </c>
      <c r="AO5" t="n">
        <v>11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HYPERLINK("https://creighton-primo.hosted.exlibrisgroup.com/primo-explore/search?tab=default_tab&amp;search_scope=EVERYTHING&amp;vid=01CRU&amp;lang=en_US&amp;offset=0&amp;query=any,contains,991000914819702656","Catalog Record")</f>
        <v/>
      </c>
      <c r="AV5">
        <f>HYPERLINK("http://www.worldcat.org/oclc/9033464","WorldCat Record")</f>
        <v/>
      </c>
      <c r="AW5" t="inlineStr">
        <is>
          <t>1077434938:eng</t>
        </is>
      </c>
      <c r="AX5" t="inlineStr">
        <is>
          <t>9033464</t>
        </is>
      </c>
      <c r="AY5" t="inlineStr">
        <is>
          <t>991000914819702656</t>
        </is>
      </c>
      <c r="AZ5" t="inlineStr">
        <is>
          <t>991000914819702656</t>
        </is>
      </c>
      <c r="BA5" t="inlineStr">
        <is>
          <t>2264775110002656</t>
        </is>
      </c>
      <c r="BB5" t="inlineStr">
        <is>
          <t>BOOK</t>
        </is>
      </c>
      <c r="BD5" t="inlineStr">
        <is>
          <t>9780870412608</t>
        </is>
      </c>
      <c r="BE5" t="inlineStr">
        <is>
          <t>30001000179145</t>
        </is>
      </c>
      <c r="BF5" t="inlineStr">
        <is>
          <t>893284111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QV 4 B3102 1992</t>
        </is>
      </c>
      <c r="E6" t="inlineStr">
        <is>
          <t>0                      QV 0004000B  3102        1992</t>
        </is>
      </c>
      <c r="F6" t="inlineStr">
        <is>
          <t>Basic &amp; clinical pharmacology / edited by Bertram G. Katzung.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Yes</t>
        </is>
      </c>
      <c r="L6" t="inlineStr">
        <is>
          <t>3</t>
        </is>
      </c>
      <c r="N6" t="inlineStr">
        <is>
          <t>Norwalk, Conn. : Appleton &amp; Lange, c1992.</t>
        </is>
      </c>
      <c r="O6" t="inlineStr">
        <is>
          <t>1992</t>
        </is>
      </c>
      <c r="P6" t="inlineStr">
        <is>
          <t>5th ed.</t>
        </is>
      </c>
      <c r="Q6" t="inlineStr">
        <is>
          <t>eng</t>
        </is>
      </c>
      <c r="R6" t="inlineStr">
        <is>
          <t>ctu</t>
        </is>
      </c>
      <c r="T6" t="inlineStr">
        <is>
          <t xml:space="preserve">QV </t>
        </is>
      </c>
      <c r="U6" t="n">
        <v>96</v>
      </c>
      <c r="V6" t="n">
        <v>96</v>
      </c>
      <c r="W6" t="inlineStr">
        <is>
          <t>2009-01-14</t>
        </is>
      </c>
      <c r="X6" t="inlineStr">
        <is>
          <t>2009-01-14</t>
        </is>
      </c>
      <c r="Y6" t="inlineStr">
        <is>
          <t>1992-06-05</t>
        </is>
      </c>
      <c r="Z6" t="inlineStr">
        <is>
          <t>1992-06-05</t>
        </is>
      </c>
      <c r="AA6" t="n">
        <v>156</v>
      </c>
      <c r="AB6" t="n">
        <v>108</v>
      </c>
      <c r="AC6" t="n">
        <v>1372</v>
      </c>
      <c r="AD6" t="n">
        <v>1</v>
      </c>
      <c r="AE6" t="n">
        <v>18</v>
      </c>
      <c r="AF6" t="n">
        <v>0</v>
      </c>
      <c r="AG6" t="n">
        <v>39</v>
      </c>
      <c r="AH6" t="n">
        <v>0</v>
      </c>
      <c r="AI6" t="n">
        <v>12</v>
      </c>
      <c r="AJ6" t="n">
        <v>0</v>
      </c>
      <c r="AK6" t="n">
        <v>6</v>
      </c>
      <c r="AL6" t="n">
        <v>0</v>
      </c>
      <c r="AM6" t="n">
        <v>16</v>
      </c>
      <c r="AN6" t="n">
        <v>0</v>
      </c>
      <c r="AO6" t="n">
        <v>11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HYPERLINK("https://creighton-primo.hosted.exlibrisgroup.com/primo-explore/search?tab=default_tab&amp;search_scope=EVERYTHING&amp;vid=01CRU&amp;lang=en_US&amp;offset=0&amp;query=any,contains,991001305969702656","Catalog Record")</f>
        <v/>
      </c>
      <c r="AV6">
        <f>HYPERLINK("http://www.worldcat.org/oclc/25662331","WorldCat Record")</f>
        <v/>
      </c>
      <c r="AW6" t="inlineStr">
        <is>
          <t>1077434938:eng</t>
        </is>
      </c>
      <c r="AX6" t="inlineStr">
        <is>
          <t>25662331</t>
        </is>
      </c>
      <c r="AY6" t="inlineStr">
        <is>
          <t>991001305969702656</t>
        </is>
      </c>
      <c r="AZ6" t="inlineStr">
        <is>
          <t>991001305969702656</t>
        </is>
      </c>
      <c r="BA6" t="inlineStr">
        <is>
          <t>2270159810002656</t>
        </is>
      </c>
      <c r="BB6" t="inlineStr">
        <is>
          <t>BOOK</t>
        </is>
      </c>
      <c r="BD6" t="inlineStr">
        <is>
          <t>9780838505625</t>
        </is>
      </c>
      <c r="BE6" t="inlineStr">
        <is>
          <t>30001002413856</t>
        </is>
      </c>
      <c r="BF6" t="inlineStr">
        <is>
          <t>893121390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QV 4 B3102 1995</t>
        </is>
      </c>
      <c r="E7" t="inlineStr">
        <is>
          <t>0                      QV 0004000B  3102        1995</t>
        </is>
      </c>
      <c r="F7" t="inlineStr">
        <is>
          <t>Basic &amp; clinical pharmacology / edited by Bertram G. Katzung.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Yes</t>
        </is>
      </c>
      <c r="L7" t="inlineStr">
        <is>
          <t>3</t>
        </is>
      </c>
      <c r="N7" t="inlineStr">
        <is>
          <t>Norwalk, Conn. : Appleton &amp; Lange, c1995.</t>
        </is>
      </c>
      <c r="O7" t="inlineStr">
        <is>
          <t>1995</t>
        </is>
      </c>
      <c r="P7" t="inlineStr">
        <is>
          <t>6th ed.</t>
        </is>
      </c>
      <c r="Q7" t="inlineStr">
        <is>
          <t>eng</t>
        </is>
      </c>
      <c r="R7" t="inlineStr">
        <is>
          <t>ctu</t>
        </is>
      </c>
      <c r="T7" t="inlineStr">
        <is>
          <t xml:space="preserve">QV </t>
        </is>
      </c>
      <c r="U7" t="n">
        <v>203</v>
      </c>
      <c r="V7" t="n">
        <v>203</v>
      </c>
      <c r="W7" t="inlineStr">
        <is>
          <t>2008-10-19</t>
        </is>
      </c>
      <c r="X7" t="inlineStr">
        <is>
          <t>2008-10-19</t>
        </is>
      </c>
      <c r="Y7" t="inlineStr">
        <is>
          <t>1995-05-11</t>
        </is>
      </c>
      <c r="Z7" t="inlineStr">
        <is>
          <t>1995-05-11</t>
        </is>
      </c>
      <c r="AA7" t="n">
        <v>191</v>
      </c>
      <c r="AB7" t="n">
        <v>132</v>
      </c>
      <c r="AC7" t="n">
        <v>1372</v>
      </c>
      <c r="AD7" t="n">
        <v>1</v>
      </c>
      <c r="AE7" t="n">
        <v>18</v>
      </c>
      <c r="AF7" t="n">
        <v>1</v>
      </c>
      <c r="AG7" t="n">
        <v>39</v>
      </c>
      <c r="AH7" t="n">
        <v>0</v>
      </c>
      <c r="AI7" t="n">
        <v>12</v>
      </c>
      <c r="AJ7" t="n">
        <v>0</v>
      </c>
      <c r="AK7" t="n">
        <v>6</v>
      </c>
      <c r="AL7" t="n">
        <v>1</v>
      </c>
      <c r="AM7" t="n">
        <v>16</v>
      </c>
      <c r="AN7" t="n">
        <v>0</v>
      </c>
      <c r="AO7" t="n">
        <v>11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HYPERLINK("https://creighton-primo.hosted.exlibrisgroup.com/primo-explore/search?tab=default_tab&amp;search_scope=EVERYTHING&amp;vid=01CRU&amp;lang=en_US&amp;offset=0&amp;query=any,contains,991001400229702656","Catalog Record")</f>
        <v/>
      </c>
      <c r="AV7">
        <f>HYPERLINK("http://www.worldcat.org/oclc/31430586","WorldCat Record")</f>
        <v/>
      </c>
      <c r="AW7" t="inlineStr">
        <is>
          <t>1077434938:eng</t>
        </is>
      </c>
      <c r="AX7" t="inlineStr">
        <is>
          <t>31430586</t>
        </is>
      </c>
      <c r="AY7" t="inlineStr">
        <is>
          <t>991001400229702656</t>
        </is>
      </c>
      <c r="AZ7" t="inlineStr">
        <is>
          <t>991001400229702656</t>
        </is>
      </c>
      <c r="BA7" t="inlineStr">
        <is>
          <t>2255167220002656</t>
        </is>
      </c>
      <c r="BB7" t="inlineStr">
        <is>
          <t>BOOK</t>
        </is>
      </c>
      <c r="BD7" t="inlineStr">
        <is>
          <t>9780838506196</t>
        </is>
      </c>
      <c r="BE7" t="inlineStr">
        <is>
          <t>30001003147735</t>
        </is>
      </c>
      <c r="BF7" t="inlineStr">
        <is>
          <t>893643545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QV 4 B311 1982</t>
        </is>
      </c>
      <c r="E8" t="inlineStr">
        <is>
          <t>0                      QV 0004000B  311         1982</t>
        </is>
      </c>
      <c r="F8" t="inlineStr">
        <is>
          <t>Basic pharmacology in medicine / Joseph R. DiPalma, editor.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N8" t="inlineStr">
        <is>
          <t>New York : McGraw-Hill, c1981.</t>
        </is>
      </c>
      <c r="O8" t="inlineStr">
        <is>
          <t>1982</t>
        </is>
      </c>
      <c r="P8" t="inlineStr">
        <is>
          <t>2nd ed.</t>
        </is>
      </c>
      <c r="Q8" t="inlineStr">
        <is>
          <t>eng</t>
        </is>
      </c>
      <c r="R8" t="inlineStr">
        <is>
          <t>xxu</t>
        </is>
      </c>
      <c r="T8" t="inlineStr">
        <is>
          <t xml:space="preserve">QV </t>
        </is>
      </c>
      <c r="U8" t="n">
        <v>8</v>
      </c>
      <c r="V8" t="n">
        <v>8</v>
      </c>
      <c r="W8" t="inlineStr">
        <is>
          <t>1993-11-28</t>
        </is>
      </c>
      <c r="X8" t="inlineStr">
        <is>
          <t>1993-11-28</t>
        </is>
      </c>
      <c r="Y8" t="inlineStr">
        <is>
          <t>1989-12-19</t>
        </is>
      </c>
      <c r="Z8" t="inlineStr">
        <is>
          <t>1989-12-19</t>
        </is>
      </c>
      <c r="AA8" t="n">
        <v>34</v>
      </c>
      <c r="AB8" t="n">
        <v>30</v>
      </c>
      <c r="AC8" t="n">
        <v>241</v>
      </c>
      <c r="AD8" t="n">
        <v>1</v>
      </c>
      <c r="AE8" t="n">
        <v>4</v>
      </c>
      <c r="AF8" t="n">
        <v>0</v>
      </c>
      <c r="AG8" t="n">
        <v>7</v>
      </c>
      <c r="AH8" t="n">
        <v>0</v>
      </c>
      <c r="AI8" t="n">
        <v>1</v>
      </c>
      <c r="AJ8" t="n">
        <v>0</v>
      </c>
      <c r="AK8" t="n">
        <v>2</v>
      </c>
      <c r="AL8" t="n">
        <v>0</v>
      </c>
      <c r="AM8" t="n">
        <v>3</v>
      </c>
      <c r="AN8" t="n">
        <v>0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HYPERLINK("https://creighton-primo.hosted.exlibrisgroup.com/primo-explore/search?tab=default_tab&amp;search_scope=EVERYTHING&amp;vid=01CRU&amp;lang=en_US&amp;offset=0&amp;query=any,contains,991000522669702656","Catalog Record")</f>
        <v/>
      </c>
      <c r="AV8">
        <f>HYPERLINK("http://www.worldcat.org/oclc/7716677","WorldCat Record")</f>
        <v/>
      </c>
      <c r="AW8" t="inlineStr">
        <is>
          <t>3372565143:eng</t>
        </is>
      </c>
      <c r="AX8" t="inlineStr">
        <is>
          <t>7716677</t>
        </is>
      </c>
      <c r="AY8" t="inlineStr">
        <is>
          <t>991000522669702656</t>
        </is>
      </c>
      <c r="AZ8" t="inlineStr">
        <is>
          <t>991000522669702656</t>
        </is>
      </c>
      <c r="BA8" t="inlineStr">
        <is>
          <t>2270621000002656</t>
        </is>
      </c>
      <c r="BB8" t="inlineStr">
        <is>
          <t>BOOK</t>
        </is>
      </c>
      <c r="BD8" t="inlineStr">
        <is>
          <t>9780070170117</t>
        </is>
      </c>
      <c r="BE8" t="inlineStr">
        <is>
          <t>30001001323809</t>
        </is>
      </c>
      <c r="BF8" t="inlineStr">
        <is>
          <t>893729430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QV 4 B477m 1983</t>
        </is>
      </c>
      <c r="E9" t="inlineStr">
        <is>
          <t>0                      QV 0004000B  477m        1983</t>
        </is>
      </c>
      <c r="F9" t="inlineStr">
        <is>
          <t>Medical pharmacology / by Peter J. Bentley.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Yes</t>
        </is>
      </c>
      <c r="L9" t="inlineStr">
        <is>
          <t>0</t>
        </is>
      </c>
      <c r="M9" t="inlineStr">
        <is>
          <t>Bentley, P. J.</t>
        </is>
      </c>
      <c r="N9" t="inlineStr">
        <is>
          <t>New Hyde Park, N.Y. : Medical Examination Pub. Co., c1983.</t>
        </is>
      </c>
      <c r="O9" t="inlineStr">
        <is>
          <t>1983</t>
        </is>
      </c>
      <c r="Q9" t="inlineStr">
        <is>
          <t>eng</t>
        </is>
      </c>
      <c r="R9" t="inlineStr">
        <is>
          <t>xxu</t>
        </is>
      </c>
      <c r="S9" t="inlineStr">
        <is>
          <t>Medical outline series</t>
        </is>
      </c>
      <c r="T9" t="inlineStr">
        <is>
          <t xml:space="preserve">QV </t>
        </is>
      </c>
      <c r="U9" t="n">
        <v>11</v>
      </c>
      <c r="V9" t="n">
        <v>11</v>
      </c>
      <c r="W9" t="inlineStr">
        <is>
          <t>1999-07-22</t>
        </is>
      </c>
      <c r="X9" t="inlineStr">
        <is>
          <t>1999-07-22</t>
        </is>
      </c>
      <c r="Y9" t="inlineStr">
        <is>
          <t>1988-01-27</t>
        </is>
      </c>
      <c r="Z9" t="inlineStr">
        <is>
          <t>1988-01-27</t>
        </is>
      </c>
      <c r="AA9" t="n">
        <v>9</v>
      </c>
      <c r="AB9" t="n">
        <v>9</v>
      </c>
      <c r="AC9" t="n">
        <v>77</v>
      </c>
      <c r="AD9" t="n">
        <v>1</v>
      </c>
      <c r="AE9" t="n">
        <v>1</v>
      </c>
      <c r="AF9" t="n">
        <v>0</v>
      </c>
      <c r="AG9" t="n">
        <v>1</v>
      </c>
      <c r="AH9" t="n">
        <v>0</v>
      </c>
      <c r="AI9" t="n">
        <v>1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HYPERLINK("https://creighton-primo.hosted.exlibrisgroup.com/primo-explore/search?tab=default_tab&amp;search_scope=EVERYTHING&amp;vid=01CRU&amp;lang=en_US&amp;offset=0&amp;query=any,contains,991000914019702656","Catalog Record")</f>
        <v/>
      </c>
      <c r="AV9">
        <f>HYPERLINK("http://www.worldcat.org/oclc/8688632","WorldCat Record")</f>
        <v/>
      </c>
      <c r="AW9" t="inlineStr">
        <is>
          <t>4724448:eng</t>
        </is>
      </c>
      <c r="AX9" t="inlineStr">
        <is>
          <t>8688632</t>
        </is>
      </c>
      <c r="AY9" t="inlineStr">
        <is>
          <t>991000914019702656</t>
        </is>
      </c>
      <c r="AZ9" t="inlineStr">
        <is>
          <t>991000914019702656</t>
        </is>
      </c>
      <c r="BA9" t="inlineStr">
        <is>
          <t>2272561360002656</t>
        </is>
      </c>
      <c r="BB9" t="inlineStr">
        <is>
          <t>BOOK</t>
        </is>
      </c>
      <c r="BD9" t="inlineStr">
        <is>
          <t>9780874881844</t>
        </is>
      </c>
      <c r="BE9" t="inlineStr">
        <is>
          <t>30001000179103</t>
        </is>
      </c>
      <c r="BF9" t="inlineStr">
        <is>
          <t>893815912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QV 4 C5678e 1982</t>
        </is>
      </c>
      <c r="E10" t="inlineStr">
        <is>
          <t>0                      QV 0004000C  5678e       1982</t>
        </is>
      </c>
      <c r="F10" t="inlineStr">
        <is>
          <t>Essentials of pharmacology / Margaret M. Cibulskis ; consultant, Freddy A. Grimm.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Lannon, Margaret C.</t>
        </is>
      </c>
      <c r="N10" t="inlineStr">
        <is>
          <t>Philadelphia : Lippincott, c1982.</t>
        </is>
      </c>
      <c r="O10" t="inlineStr">
        <is>
          <t>1982</t>
        </is>
      </c>
      <c r="Q10" t="inlineStr">
        <is>
          <t>eng</t>
        </is>
      </c>
      <c r="R10" t="inlineStr">
        <is>
          <t>xxu</t>
        </is>
      </c>
      <c r="T10" t="inlineStr">
        <is>
          <t xml:space="preserve">QV </t>
        </is>
      </c>
      <c r="U10" t="n">
        <v>19</v>
      </c>
      <c r="V10" t="n">
        <v>19</v>
      </c>
      <c r="W10" t="inlineStr">
        <is>
          <t>2001-09-13</t>
        </is>
      </c>
      <c r="X10" t="inlineStr">
        <is>
          <t>2001-09-13</t>
        </is>
      </c>
      <c r="Y10" t="inlineStr">
        <is>
          <t>1988-01-27</t>
        </is>
      </c>
      <c r="Z10" t="inlineStr">
        <is>
          <t>1988-01-27</t>
        </is>
      </c>
      <c r="AA10" t="n">
        <v>72</v>
      </c>
      <c r="AB10" t="n">
        <v>63</v>
      </c>
      <c r="AC10" t="n">
        <v>63</v>
      </c>
      <c r="AD10" t="n">
        <v>1</v>
      </c>
      <c r="AE10" t="n">
        <v>1</v>
      </c>
      <c r="AF10" t="n">
        <v>2</v>
      </c>
      <c r="AG10" t="n">
        <v>2</v>
      </c>
      <c r="AH10" t="n">
        <v>0</v>
      </c>
      <c r="AI10" t="n">
        <v>0</v>
      </c>
      <c r="AJ10" t="n">
        <v>0</v>
      </c>
      <c r="AK10" t="n">
        <v>0</v>
      </c>
      <c r="AL10" t="n">
        <v>2</v>
      </c>
      <c r="AM10" t="n">
        <v>2</v>
      </c>
      <c r="AN10" t="n">
        <v>0</v>
      </c>
      <c r="AO10" t="n">
        <v>0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HYPERLINK("https://creighton-primo.hosted.exlibrisgroup.com/primo-explore/search?tab=default_tab&amp;search_scope=EVERYTHING&amp;vid=01CRU&amp;lang=en_US&amp;offset=0&amp;query=any,contains,991000913629702656","Catalog Record")</f>
        <v/>
      </c>
      <c r="AV10">
        <f>HYPERLINK("http://www.worldcat.org/oclc/7577473","WorldCat Record")</f>
        <v/>
      </c>
      <c r="AW10" t="inlineStr">
        <is>
          <t>28918236:eng</t>
        </is>
      </c>
      <c r="AX10" t="inlineStr">
        <is>
          <t>7577473</t>
        </is>
      </c>
      <c r="AY10" t="inlineStr">
        <is>
          <t>991000913629702656</t>
        </is>
      </c>
      <c r="AZ10" t="inlineStr">
        <is>
          <t>991000913629702656</t>
        </is>
      </c>
      <c r="BA10" t="inlineStr">
        <is>
          <t>2258670210002656</t>
        </is>
      </c>
      <c r="BB10" t="inlineStr">
        <is>
          <t>BOOK</t>
        </is>
      </c>
      <c r="BE10" t="inlineStr">
        <is>
          <t>30001000178998</t>
        </is>
      </c>
      <c r="BF10" t="inlineStr">
        <is>
          <t>893278459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QV 4 C596g 1991</t>
        </is>
      </c>
      <c r="E11" t="inlineStr">
        <is>
          <t>0                      QV 0004000C  596g        1991</t>
        </is>
      </c>
      <c r="F11" t="inlineStr">
        <is>
          <t>Goth's medical pharamacology.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Yes</t>
        </is>
      </c>
      <c r="L11" t="inlineStr">
        <is>
          <t>0</t>
        </is>
      </c>
      <c r="M11" t="inlineStr">
        <is>
          <t>Clark, Wesley G.</t>
        </is>
      </c>
      <c r="N11" t="inlineStr">
        <is>
          <t>St. Louis : Mosby-Year Book, c1991.</t>
        </is>
      </c>
      <c r="O11" t="inlineStr">
        <is>
          <t>1991</t>
        </is>
      </c>
      <c r="P11" t="inlineStr">
        <is>
          <t>13th ed. / Wesley G. Clark, D. Craig Brater, Alice R. Johnson.</t>
        </is>
      </c>
      <c r="Q11" t="inlineStr">
        <is>
          <t>eng</t>
        </is>
      </c>
      <c r="R11" t="inlineStr">
        <is>
          <t>mou</t>
        </is>
      </c>
      <c r="T11" t="inlineStr">
        <is>
          <t xml:space="preserve">QV </t>
        </is>
      </c>
      <c r="U11" t="n">
        <v>23</v>
      </c>
      <c r="V11" t="n">
        <v>23</v>
      </c>
      <c r="W11" t="inlineStr">
        <is>
          <t>2000-04-24</t>
        </is>
      </c>
      <c r="X11" t="inlineStr">
        <is>
          <t>2000-04-24</t>
        </is>
      </c>
      <c r="Y11" t="inlineStr">
        <is>
          <t>1992-02-13</t>
        </is>
      </c>
      <c r="Z11" t="inlineStr">
        <is>
          <t>1992-02-13</t>
        </is>
      </c>
      <c r="AA11" t="n">
        <v>299</v>
      </c>
      <c r="AB11" t="n">
        <v>215</v>
      </c>
      <c r="AC11" t="n">
        <v>294</v>
      </c>
      <c r="AD11" t="n">
        <v>1</v>
      </c>
      <c r="AE11" t="n">
        <v>1</v>
      </c>
      <c r="AF11" t="n">
        <v>4</v>
      </c>
      <c r="AG11" t="n">
        <v>5</v>
      </c>
      <c r="AH11" t="n">
        <v>1</v>
      </c>
      <c r="AI11" t="n">
        <v>2</v>
      </c>
      <c r="AJ11" t="n">
        <v>2</v>
      </c>
      <c r="AK11" t="n">
        <v>2</v>
      </c>
      <c r="AL11" t="n">
        <v>1</v>
      </c>
      <c r="AM11" t="n">
        <v>1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HYPERLINK("http://catalog.hathitrust.org/Record/002499333","HathiTrust Record")</f>
        <v/>
      </c>
      <c r="AU11">
        <f>HYPERLINK("https://creighton-primo.hosted.exlibrisgroup.com/primo-explore/search?tab=default_tab&amp;search_scope=EVERYTHING&amp;vid=01CRU&amp;lang=en_US&amp;offset=0&amp;query=any,contains,991001032679702656","Catalog Record")</f>
        <v/>
      </c>
      <c r="AV11">
        <f>HYPERLINK("http://www.worldcat.org/oclc/24106311","WorldCat Record")</f>
        <v/>
      </c>
      <c r="AW11" t="inlineStr">
        <is>
          <t>5574040247:eng</t>
        </is>
      </c>
      <c r="AX11" t="inlineStr">
        <is>
          <t>24106311</t>
        </is>
      </c>
      <c r="AY11" t="inlineStr">
        <is>
          <t>991001032679702656</t>
        </is>
      </c>
      <c r="AZ11" t="inlineStr">
        <is>
          <t>991001032679702656</t>
        </is>
      </c>
      <c r="BA11" t="inlineStr">
        <is>
          <t>2255925550002656</t>
        </is>
      </c>
      <c r="BB11" t="inlineStr">
        <is>
          <t>BOOK</t>
        </is>
      </c>
      <c r="BD11" t="inlineStr">
        <is>
          <t>9780801609534</t>
        </is>
      </c>
      <c r="BE11" t="inlineStr">
        <is>
          <t>30001002244111</t>
        </is>
      </c>
      <c r="BF11" t="inlineStr">
        <is>
          <t>893267999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QV 4 C622m 1984</t>
        </is>
      </c>
      <c r="E12" t="inlineStr">
        <is>
          <t>0                      QV 0004000C  622m        1984</t>
        </is>
      </c>
      <c r="F12" t="inlineStr">
        <is>
          <t>Mosby's handbook of pharmacology in nursing.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Clayton, Bruce D., 1947-</t>
        </is>
      </c>
      <c r="N12" t="inlineStr">
        <is>
          <t>St. Louis : Mosby, 1984.</t>
        </is>
      </c>
      <c r="O12" t="inlineStr">
        <is>
          <t>1984</t>
        </is>
      </c>
      <c r="P12" t="inlineStr">
        <is>
          <t>3rd ed. / Bruce D. Clayton.</t>
        </is>
      </c>
      <c r="Q12" t="inlineStr">
        <is>
          <t>eng</t>
        </is>
      </c>
      <c r="R12" t="inlineStr">
        <is>
          <t>xxu</t>
        </is>
      </c>
      <c r="T12" t="inlineStr">
        <is>
          <t xml:space="preserve">QV </t>
        </is>
      </c>
      <c r="U12" t="n">
        <v>3</v>
      </c>
      <c r="V12" t="n">
        <v>3</v>
      </c>
      <c r="W12" t="inlineStr">
        <is>
          <t>1991-09-16</t>
        </is>
      </c>
      <c r="X12" t="inlineStr">
        <is>
          <t>1991-09-16</t>
        </is>
      </c>
      <c r="Y12" t="inlineStr">
        <is>
          <t>1987-09-27</t>
        </is>
      </c>
      <c r="Z12" t="inlineStr">
        <is>
          <t>1987-09-27</t>
        </is>
      </c>
      <c r="AA12" t="n">
        <v>164</v>
      </c>
      <c r="AB12" t="n">
        <v>149</v>
      </c>
      <c r="AC12" t="n">
        <v>151</v>
      </c>
      <c r="AD12" t="n">
        <v>2</v>
      </c>
      <c r="AE12" t="n">
        <v>2</v>
      </c>
      <c r="AF12" t="n">
        <v>2</v>
      </c>
      <c r="AG12" t="n">
        <v>2</v>
      </c>
      <c r="AH12" t="n">
        <v>1</v>
      </c>
      <c r="AI12" t="n">
        <v>1</v>
      </c>
      <c r="AJ12" t="n">
        <v>0</v>
      </c>
      <c r="AK12" t="n">
        <v>0</v>
      </c>
      <c r="AL12" t="n">
        <v>0</v>
      </c>
      <c r="AM12" t="n">
        <v>0</v>
      </c>
      <c r="AN12" t="n">
        <v>1</v>
      </c>
      <c r="AO12" t="n">
        <v>1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HYPERLINK("http://catalog.hathitrust.org/Record/000286238","HathiTrust Record")</f>
        <v/>
      </c>
      <c r="AU12">
        <f>HYPERLINK("https://creighton-primo.hosted.exlibrisgroup.com/primo-explore/search?tab=default_tab&amp;search_scope=EVERYTHING&amp;vid=01CRU&amp;lang=en_US&amp;offset=0&amp;query=any,contains,991000747219702656","Catalog Record")</f>
        <v/>
      </c>
      <c r="AV12">
        <f>HYPERLINK("http://www.worldcat.org/oclc/9757786","WorldCat Record")</f>
        <v/>
      </c>
      <c r="AW12" t="inlineStr">
        <is>
          <t>8494398:eng</t>
        </is>
      </c>
      <c r="AX12" t="inlineStr">
        <is>
          <t>9757786</t>
        </is>
      </c>
      <c r="AY12" t="inlineStr">
        <is>
          <t>991000747219702656</t>
        </is>
      </c>
      <c r="AZ12" t="inlineStr">
        <is>
          <t>991000747219702656</t>
        </is>
      </c>
      <c r="BA12" t="inlineStr">
        <is>
          <t>2271396820002656</t>
        </is>
      </c>
      <c r="BB12" t="inlineStr">
        <is>
          <t>BOOK</t>
        </is>
      </c>
      <c r="BD12" t="inlineStr">
        <is>
          <t>9780801642432</t>
        </is>
      </c>
      <c r="BE12" t="inlineStr">
        <is>
          <t>30001000046088</t>
        </is>
      </c>
      <c r="BF12" t="inlineStr">
        <is>
          <t>893735502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QV 4 D793 1997</t>
        </is>
      </c>
      <c r="E13" t="inlineStr">
        <is>
          <t>0                      QV 0004000D  793         1997</t>
        </is>
      </c>
      <c r="F13" t="inlineStr">
        <is>
          <t>Avery's drug treatment : a guide to the properties, choice, therapeutic use and economic value of drugs in disease management / edited by Trevor M. Speight and Nicholas H.G. Holford.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Auckland, N.Z. ; Chester [Eng.] ; Philadelphia : Adis International, c1997.</t>
        </is>
      </c>
      <c r="O13" t="inlineStr">
        <is>
          <t>1997</t>
        </is>
      </c>
      <c r="P13" t="inlineStr">
        <is>
          <t>4th ed.</t>
        </is>
      </c>
      <c r="Q13" t="inlineStr">
        <is>
          <t>eng</t>
        </is>
      </c>
      <c r="R13" t="inlineStr">
        <is>
          <t xml:space="preserve">nz </t>
        </is>
      </c>
      <c r="T13" t="inlineStr">
        <is>
          <t xml:space="preserve">QV </t>
        </is>
      </c>
      <c r="U13" t="n">
        <v>11</v>
      </c>
      <c r="V13" t="n">
        <v>11</v>
      </c>
      <c r="W13" t="inlineStr">
        <is>
          <t>1997-06-09</t>
        </is>
      </c>
      <c r="X13" t="inlineStr">
        <is>
          <t>1997-06-09</t>
        </is>
      </c>
      <c r="Y13" t="inlineStr">
        <is>
          <t>1997-04-29</t>
        </is>
      </c>
      <c r="Z13" t="inlineStr">
        <is>
          <t>1997-04-29</t>
        </is>
      </c>
      <c r="AA13" t="n">
        <v>209</v>
      </c>
      <c r="AB13" t="n">
        <v>112</v>
      </c>
      <c r="AC13" t="n">
        <v>113</v>
      </c>
      <c r="AD13" t="n">
        <v>1</v>
      </c>
      <c r="AE13" t="n">
        <v>1</v>
      </c>
      <c r="AF13" t="n">
        <v>3</v>
      </c>
      <c r="AG13" t="n">
        <v>3</v>
      </c>
      <c r="AH13" t="n">
        <v>2</v>
      </c>
      <c r="AI13" t="n">
        <v>2</v>
      </c>
      <c r="AJ13" t="n">
        <v>0</v>
      </c>
      <c r="AK13" t="n">
        <v>0</v>
      </c>
      <c r="AL13" t="n">
        <v>1</v>
      </c>
      <c r="AM13" t="n">
        <v>1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HYPERLINK("https://creighton-primo.hosted.exlibrisgroup.com/primo-explore/search?tab=default_tab&amp;search_scope=EVERYTHING&amp;vid=01CRU&amp;lang=en_US&amp;offset=0&amp;query=any,contains,991001047369702656","Catalog Record")</f>
        <v/>
      </c>
      <c r="AV13">
        <f>HYPERLINK("http://www.worldcat.org/oclc/36719740","WorldCat Record")</f>
        <v/>
      </c>
      <c r="AW13" t="inlineStr">
        <is>
          <t>8981643079:eng</t>
        </is>
      </c>
      <c r="AX13" t="inlineStr">
        <is>
          <t>36719740</t>
        </is>
      </c>
      <c r="AY13" t="inlineStr">
        <is>
          <t>991001047369702656</t>
        </is>
      </c>
      <c r="AZ13" t="inlineStr">
        <is>
          <t>991001047369702656</t>
        </is>
      </c>
      <c r="BA13" t="inlineStr">
        <is>
          <t>2270628730002656</t>
        </is>
      </c>
      <c r="BB13" t="inlineStr">
        <is>
          <t>BOOK</t>
        </is>
      </c>
      <c r="BD13" t="inlineStr">
        <is>
          <t>9780864710369</t>
        </is>
      </c>
      <c r="BE13" t="inlineStr">
        <is>
          <t>30001003585017</t>
        </is>
      </c>
      <c r="BF13" t="inlineStr">
        <is>
          <t>893273628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QV 4 E21p 1992</t>
        </is>
      </c>
      <c r="E14" t="inlineStr">
        <is>
          <t>0                      QV 0004000E  21p         1992</t>
        </is>
      </c>
      <c r="F14" t="inlineStr">
        <is>
          <t>Physical therapy pharmacology / Lynne Eddy.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Eddy, Lynne.</t>
        </is>
      </c>
      <c r="N14" t="inlineStr">
        <is>
          <t>St. Louis : Mosby Year Book, c1992.</t>
        </is>
      </c>
      <c r="O14" t="inlineStr">
        <is>
          <t>1992</t>
        </is>
      </c>
      <c r="Q14" t="inlineStr">
        <is>
          <t>eng</t>
        </is>
      </c>
      <c r="R14" t="inlineStr">
        <is>
          <t>mou</t>
        </is>
      </c>
      <c r="T14" t="inlineStr">
        <is>
          <t xml:space="preserve">QV </t>
        </is>
      </c>
      <c r="U14" t="n">
        <v>4</v>
      </c>
      <c r="V14" t="n">
        <v>4</v>
      </c>
      <c r="W14" t="inlineStr">
        <is>
          <t>2000-06-14</t>
        </is>
      </c>
      <c r="X14" t="inlineStr">
        <is>
          <t>2000-06-14</t>
        </is>
      </c>
      <c r="Y14" t="inlineStr">
        <is>
          <t>1992-02-20</t>
        </is>
      </c>
      <c r="Z14" t="inlineStr">
        <is>
          <t>1992-02-20</t>
        </is>
      </c>
      <c r="AA14" t="n">
        <v>182</v>
      </c>
      <c r="AB14" t="n">
        <v>155</v>
      </c>
      <c r="AC14" t="n">
        <v>157</v>
      </c>
      <c r="AD14" t="n">
        <v>1</v>
      </c>
      <c r="AE14" t="n">
        <v>1</v>
      </c>
      <c r="AF14" t="n">
        <v>4</v>
      </c>
      <c r="AG14" t="n">
        <v>4</v>
      </c>
      <c r="AH14" t="n">
        <v>3</v>
      </c>
      <c r="AI14" t="n">
        <v>3</v>
      </c>
      <c r="AJ14" t="n">
        <v>1</v>
      </c>
      <c r="AK14" t="n">
        <v>1</v>
      </c>
      <c r="AL14" t="n">
        <v>2</v>
      </c>
      <c r="AM14" t="n">
        <v>2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HYPERLINK("http://catalog.hathitrust.org/Record/002600353","HathiTrust Record")</f>
        <v/>
      </c>
      <c r="AU14">
        <f>HYPERLINK("https://creighton-primo.hosted.exlibrisgroup.com/primo-explore/search?tab=default_tab&amp;search_scope=EVERYTHING&amp;vid=01CRU&amp;lang=en_US&amp;offset=0&amp;query=any,contains,991001297399702656","Catalog Record")</f>
        <v/>
      </c>
      <c r="AV14">
        <f>HYPERLINK("http://www.worldcat.org/oclc/24626753","WorldCat Record")</f>
        <v/>
      </c>
      <c r="AW14" t="inlineStr">
        <is>
          <t>26947985:eng</t>
        </is>
      </c>
      <c r="AX14" t="inlineStr">
        <is>
          <t>24626753</t>
        </is>
      </c>
      <c r="AY14" t="inlineStr">
        <is>
          <t>991001297399702656</t>
        </is>
      </c>
      <c r="AZ14" t="inlineStr">
        <is>
          <t>991001297399702656</t>
        </is>
      </c>
      <c r="BA14" t="inlineStr">
        <is>
          <t>2259995200002656</t>
        </is>
      </c>
      <c r="BB14" t="inlineStr">
        <is>
          <t>BOOK</t>
        </is>
      </c>
      <c r="BD14" t="inlineStr">
        <is>
          <t>9780815130765</t>
        </is>
      </c>
      <c r="BE14" t="inlineStr">
        <is>
          <t>30001002410290</t>
        </is>
      </c>
      <c r="BF14" t="inlineStr">
        <is>
          <t>893161870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QV 4 E78 1983</t>
        </is>
      </c>
      <c r="E15" t="inlineStr">
        <is>
          <t>0                      QV 0004000E  78          1983</t>
        </is>
      </c>
      <c r="F15" t="inlineStr">
        <is>
          <t>Essentials of pharmacology : introduction to the principles of drug action / editors, John A. Bevan, Jeremy H. Thompson.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Philadelphia : Harper &amp; Row, 1983.</t>
        </is>
      </c>
      <c r="O15" t="inlineStr">
        <is>
          <t>1983</t>
        </is>
      </c>
      <c r="P15" t="inlineStr">
        <is>
          <t>3rd ed.</t>
        </is>
      </c>
      <c r="Q15" t="inlineStr">
        <is>
          <t>eng</t>
        </is>
      </c>
      <c r="R15" t="inlineStr">
        <is>
          <t>pau</t>
        </is>
      </c>
      <c r="T15" t="inlineStr">
        <is>
          <t xml:space="preserve">QV </t>
        </is>
      </c>
      <c r="U15" t="n">
        <v>58</v>
      </c>
      <c r="V15" t="n">
        <v>58</v>
      </c>
      <c r="W15" t="inlineStr">
        <is>
          <t>2004-12-13</t>
        </is>
      </c>
      <c r="X15" t="inlineStr">
        <is>
          <t>2004-12-13</t>
        </is>
      </c>
      <c r="Y15" t="inlineStr">
        <is>
          <t>1987-09-28</t>
        </is>
      </c>
      <c r="Z15" t="inlineStr">
        <is>
          <t>1987-09-28</t>
        </is>
      </c>
      <c r="AA15" t="n">
        <v>140</v>
      </c>
      <c r="AB15" t="n">
        <v>100</v>
      </c>
      <c r="AC15" t="n">
        <v>170</v>
      </c>
      <c r="AD15" t="n">
        <v>1</v>
      </c>
      <c r="AE15" t="n">
        <v>2</v>
      </c>
      <c r="AF15" t="n">
        <v>2</v>
      </c>
      <c r="AG15" t="n">
        <v>5</v>
      </c>
      <c r="AH15" t="n">
        <v>1</v>
      </c>
      <c r="AI15" t="n">
        <v>1</v>
      </c>
      <c r="AJ15" t="n">
        <v>1</v>
      </c>
      <c r="AK15" t="n">
        <v>1</v>
      </c>
      <c r="AL15" t="n">
        <v>0</v>
      </c>
      <c r="AM15" t="n">
        <v>2</v>
      </c>
      <c r="AN15" t="n">
        <v>0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HYPERLINK("http://catalog.hathitrust.org/Record/000204072","HathiTrust Record")</f>
        <v/>
      </c>
      <c r="AU15">
        <f>HYPERLINK("https://creighton-primo.hosted.exlibrisgroup.com/primo-explore/search?tab=default_tab&amp;search_scope=EVERYTHING&amp;vid=01CRU&amp;lang=en_US&amp;offset=0&amp;query=any,contains,991000747259702656","Catalog Record")</f>
        <v/>
      </c>
      <c r="AV15">
        <f>HYPERLINK("http://www.worldcat.org/oclc/9110763","WorldCat Record")</f>
        <v/>
      </c>
      <c r="AW15" t="inlineStr">
        <is>
          <t>836642251:eng</t>
        </is>
      </c>
      <c r="AX15" t="inlineStr">
        <is>
          <t>9110763</t>
        </is>
      </c>
      <c r="AY15" t="inlineStr">
        <is>
          <t>991000747259702656</t>
        </is>
      </c>
      <c r="AZ15" t="inlineStr">
        <is>
          <t>991000747259702656</t>
        </is>
      </c>
      <c r="BA15" t="inlineStr">
        <is>
          <t>2268635940002656</t>
        </is>
      </c>
      <c r="BB15" t="inlineStr">
        <is>
          <t>BOOK</t>
        </is>
      </c>
      <c r="BD15" t="inlineStr">
        <is>
          <t>9780061404627</t>
        </is>
      </c>
      <c r="BE15" t="inlineStr">
        <is>
          <t>30001000046096</t>
        </is>
      </c>
      <c r="BF15" t="inlineStr">
        <is>
          <t>893283627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QV 4 G6532 1996</t>
        </is>
      </c>
      <c r="E16" t="inlineStr">
        <is>
          <t>0                      QV 0004000G  6532        1996</t>
        </is>
      </c>
      <c r="F16" t="inlineStr">
        <is>
          <t>Goodman &amp; Gilman's the pharmacological basis of therapeutics.</t>
        </is>
      </c>
      <c r="H16" t="inlineStr">
        <is>
          <t>No</t>
        </is>
      </c>
      <c r="I16" t="inlineStr">
        <is>
          <t>2</t>
        </is>
      </c>
      <c r="J16" t="inlineStr">
        <is>
          <t>No</t>
        </is>
      </c>
      <c r="K16" t="inlineStr">
        <is>
          <t>Yes</t>
        </is>
      </c>
      <c r="L16" t="inlineStr">
        <is>
          <t>1</t>
        </is>
      </c>
      <c r="N16" t="inlineStr">
        <is>
          <t>New York : McGraw-Hill, Health Professions Division, c1996.</t>
        </is>
      </c>
      <c r="O16" t="inlineStr">
        <is>
          <t>1996</t>
        </is>
      </c>
      <c r="P16" t="inlineStr">
        <is>
          <t>9th ed. / Joel G. G. Hardman, Alfred Gilman, Lee L. Limbird.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QV </t>
        </is>
      </c>
      <c r="U16" t="n">
        <v>209</v>
      </c>
      <c r="V16" t="n">
        <v>209</v>
      </c>
      <c r="W16" t="inlineStr">
        <is>
          <t>2004-11-14</t>
        </is>
      </c>
      <c r="X16" t="inlineStr">
        <is>
          <t>2004-11-14</t>
        </is>
      </c>
      <c r="Y16" t="inlineStr">
        <is>
          <t>1996-01-12</t>
        </is>
      </c>
      <c r="Z16" t="inlineStr">
        <is>
          <t>1996-01-12</t>
        </is>
      </c>
      <c r="AA16" t="n">
        <v>765</v>
      </c>
      <c r="AB16" t="n">
        <v>561</v>
      </c>
      <c r="AC16" t="n">
        <v>1895</v>
      </c>
      <c r="AD16" t="n">
        <v>2</v>
      </c>
      <c r="AE16" t="n">
        <v>7</v>
      </c>
      <c r="AF16" t="n">
        <v>8</v>
      </c>
      <c r="AG16" t="n">
        <v>45</v>
      </c>
      <c r="AH16" t="n">
        <v>4</v>
      </c>
      <c r="AI16" t="n">
        <v>23</v>
      </c>
      <c r="AJ16" t="n">
        <v>2</v>
      </c>
      <c r="AK16" t="n">
        <v>9</v>
      </c>
      <c r="AL16" t="n">
        <v>4</v>
      </c>
      <c r="AM16" t="n">
        <v>20</v>
      </c>
      <c r="AN16" t="n">
        <v>0</v>
      </c>
      <c r="AO16" t="n">
        <v>2</v>
      </c>
      <c r="AP16" t="n">
        <v>0</v>
      </c>
      <c r="AQ16" t="n">
        <v>1</v>
      </c>
      <c r="AR16" t="inlineStr">
        <is>
          <t>No</t>
        </is>
      </c>
      <c r="AS16" t="inlineStr">
        <is>
          <t>Yes</t>
        </is>
      </c>
      <c r="AT16">
        <f>HYPERLINK("http://catalog.hathitrust.org/Record/003021364","HathiTrust Record")</f>
        <v/>
      </c>
      <c r="AU16">
        <f>HYPERLINK("https://creighton-primo.hosted.exlibrisgroup.com/primo-explore/search?tab=default_tab&amp;search_scope=EVERYTHING&amp;vid=01CRU&amp;lang=en_US&amp;offset=0&amp;query=any,contains,991000841779702656","Catalog Record")</f>
        <v/>
      </c>
      <c r="AV16">
        <f>HYPERLINK("http://www.worldcat.org/oclc/33008049","WorldCat Record")</f>
        <v/>
      </c>
      <c r="AW16" t="inlineStr">
        <is>
          <t>1077519167:eng</t>
        </is>
      </c>
      <c r="AX16" t="inlineStr">
        <is>
          <t>33008049</t>
        </is>
      </c>
      <c r="AY16" t="inlineStr">
        <is>
          <t>991000841779702656</t>
        </is>
      </c>
      <c r="AZ16" t="inlineStr">
        <is>
          <t>991000841779702656</t>
        </is>
      </c>
      <c r="BA16" t="inlineStr">
        <is>
          <t>2261518180002656</t>
        </is>
      </c>
      <c r="BB16" t="inlineStr">
        <is>
          <t>BOOK</t>
        </is>
      </c>
      <c r="BD16" t="inlineStr">
        <is>
          <t>9780070262669</t>
        </is>
      </c>
      <c r="BE16" t="inlineStr">
        <is>
          <t>30001003262856</t>
        </is>
      </c>
      <c r="BF16" t="inlineStr">
        <is>
          <t>893557328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QV 4 G684m 1988</t>
        </is>
      </c>
      <c r="E17" t="inlineStr">
        <is>
          <t>0                      QV 0004000G  684m        1988</t>
        </is>
      </c>
      <c r="F17" t="inlineStr">
        <is>
          <t>Goth's medical pharmacology.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Yes</t>
        </is>
      </c>
      <c r="L17" t="inlineStr">
        <is>
          <t>0</t>
        </is>
      </c>
      <c r="M17" t="inlineStr">
        <is>
          <t>Goth, Andres, 1914-1990.</t>
        </is>
      </c>
      <c r="N17" t="inlineStr">
        <is>
          <t>St. Louis : Mosby, c1988.</t>
        </is>
      </c>
      <c r="O17" t="inlineStr">
        <is>
          <t>1988</t>
        </is>
      </c>
      <c r="P17" t="inlineStr">
        <is>
          <t>12th ed. / Wesley G. Clark, D. Craig Brater, Alice R. Johnson.</t>
        </is>
      </c>
      <c r="Q17" t="inlineStr">
        <is>
          <t>eng</t>
        </is>
      </c>
      <c r="R17" t="inlineStr">
        <is>
          <t>xxu</t>
        </is>
      </c>
      <c r="T17" t="inlineStr">
        <is>
          <t xml:space="preserve">QV </t>
        </is>
      </c>
      <c r="U17" t="n">
        <v>42</v>
      </c>
      <c r="V17" t="n">
        <v>42</v>
      </c>
      <c r="W17" t="inlineStr">
        <is>
          <t>2004-08-24</t>
        </is>
      </c>
      <c r="X17" t="inlineStr">
        <is>
          <t>2004-08-24</t>
        </is>
      </c>
      <c r="Y17" t="inlineStr">
        <is>
          <t>1990-10-05</t>
        </is>
      </c>
      <c r="Z17" t="inlineStr">
        <is>
          <t>1990-10-05</t>
        </is>
      </c>
      <c r="AA17" t="n">
        <v>234</v>
      </c>
      <c r="AB17" t="n">
        <v>176</v>
      </c>
      <c r="AC17" t="n">
        <v>294</v>
      </c>
      <c r="AD17" t="n">
        <v>1</v>
      </c>
      <c r="AE17" t="n">
        <v>1</v>
      </c>
      <c r="AF17" t="n">
        <v>3</v>
      </c>
      <c r="AG17" t="n">
        <v>5</v>
      </c>
      <c r="AH17" t="n">
        <v>2</v>
      </c>
      <c r="AI17" t="n">
        <v>2</v>
      </c>
      <c r="AJ17" t="n">
        <v>1</v>
      </c>
      <c r="AK17" t="n">
        <v>2</v>
      </c>
      <c r="AL17" t="n">
        <v>0</v>
      </c>
      <c r="AM17" t="n">
        <v>1</v>
      </c>
      <c r="AN17" t="n">
        <v>0</v>
      </c>
      <c r="AO17" t="n">
        <v>0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HYPERLINK("http://catalog.hathitrust.org/Record/000906549","HathiTrust Record")</f>
        <v/>
      </c>
      <c r="AU17">
        <f>HYPERLINK("https://creighton-primo.hosted.exlibrisgroup.com/primo-explore/search?tab=default_tab&amp;search_scope=EVERYTHING&amp;vid=01CRU&amp;lang=en_US&amp;offset=0&amp;query=any,contains,991000764269702656","Catalog Record")</f>
        <v/>
      </c>
      <c r="AV17">
        <f>HYPERLINK("http://www.worldcat.org/oclc/16682259","WorldCat Record")</f>
        <v/>
      </c>
      <c r="AW17" t="inlineStr">
        <is>
          <t>5574040247:eng</t>
        </is>
      </c>
      <c r="AX17" t="inlineStr">
        <is>
          <t>16682259</t>
        </is>
      </c>
      <c r="AY17" t="inlineStr">
        <is>
          <t>991000764269702656</t>
        </is>
      </c>
      <c r="AZ17" t="inlineStr">
        <is>
          <t>991000764269702656</t>
        </is>
      </c>
      <c r="BA17" t="inlineStr">
        <is>
          <t>2272049190002656</t>
        </is>
      </c>
      <c r="BB17" t="inlineStr">
        <is>
          <t>BOOK</t>
        </is>
      </c>
      <c r="BD17" t="inlineStr">
        <is>
          <t>9780801611674</t>
        </is>
      </c>
      <c r="BE17" t="inlineStr">
        <is>
          <t>30001002060707</t>
        </is>
      </c>
      <c r="BF17" t="inlineStr">
        <is>
          <t>893743359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QV 4 H148p 1986</t>
        </is>
      </c>
      <c r="E18" t="inlineStr">
        <is>
          <t>0                      QV 0004000H  148p        1986</t>
        </is>
      </c>
      <c r="F18" t="inlineStr">
        <is>
          <t>Mosby's pharmacology in nursing / Anne Burgess Hahn, Sandy Jeanne Klarman Oestreich, Robert L. Barkin.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Hahn, Anne Burgess.</t>
        </is>
      </c>
      <c r="N18" t="inlineStr">
        <is>
          <t>St. Louis : Mosby, c1986.</t>
        </is>
      </c>
      <c r="O18" t="inlineStr">
        <is>
          <t>1986</t>
        </is>
      </c>
      <c r="P18" t="inlineStr">
        <is>
          <t>16th ed.</t>
        </is>
      </c>
      <c r="Q18" t="inlineStr">
        <is>
          <t>eng</t>
        </is>
      </c>
      <c r="R18" t="inlineStr">
        <is>
          <t>xxu</t>
        </is>
      </c>
      <c r="T18" t="inlineStr">
        <is>
          <t xml:space="preserve">QV </t>
        </is>
      </c>
      <c r="U18" t="n">
        <v>5</v>
      </c>
      <c r="V18" t="n">
        <v>5</v>
      </c>
      <c r="W18" t="inlineStr">
        <is>
          <t>1997-06-24</t>
        </is>
      </c>
      <c r="X18" t="inlineStr">
        <is>
          <t>1997-06-24</t>
        </is>
      </c>
      <c r="Y18" t="inlineStr">
        <is>
          <t>1987-09-28</t>
        </is>
      </c>
      <c r="Z18" t="inlineStr">
        <is>
          <t>1987-09-28</t>
        </is>
      </c>
      <c r="AA18" t="n">
        <v>243</v>
      </c>
      <c r="AB18" t="n">
        <v>207</v>
      </c>
      <c r="AC18" t="n">
        <v>209</v>
      </c>
      <c r="AD18" t="n">
        <v>1</v>
      </c>
      <c r="AE18" t="n">
        <v>1</v>
      </c>
      <c r="AF18" t="n">
        <v>4</v>
      </c>
      <c r="AG18" t="n">
        <v>4</v>
      </c>
      <c r="AH18" t="n">
        <v>2</v>
      </c>
      <c r="AI18" t="n">
        <v>2</v>
      </c>
      <c r="AJ18" t="n">
        <v>0</v>
      </c>
      <c r="AK18" t="n">
        <v>0</v>
      </c>
      <c r="AL18" t="n">
        <v>3</v>
      </c>
      <c r="AM18" t="n">
        <v>3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HYPERLINK("http://catalog.hathitrust.org/Record/000427080","HathiTrust Record")</f>
        <v/>
      </c>
      <c r="AU18">
        <f>HYPERLINK("https://creighton-primo.hosted.exlibrisgroup.com/primo-explore/search?tab=default_tab&amp;search_scope=EVERYTHING&amp;vid=01CRU&amp;lang=en_US&amp;offset=0&amp;query=any,contains,991000747329702656","Catalog Record")</f>
        <v/>
      </c>
      <c r="AV18">
        <f>HYPERLINK("http://www.worldcat.org/oclc/12558387","WorldCat Record")</f>
        <v/>
      </c>
      <c r="AW18" t="inlineStr">
        <is>
          <t>3855418980:eng</t>
        </is>
      </c>
      <c r="AX18" t="inlineStr">
        <is>
          <t>12558387</t>
        </is>
      </c>
      <c r="AY18" t="inlineStr">
        <is>
          <t>991000747329702656</t>
        </is>
      </c>
      <c r="AZ18" t="inlineStr">
        <is>
          <t>991000747329702656</t>
        </is>
      </c>
      <c r="BA18" t="inlineStr">
        <is>
          <t>2263510630002656</t>
        </is>
      </c>
      <c r="BB18" t="inlineStr">
        <is>
          <t>BOOK</t>
        </is>
      </c>
      <c r="BD18" t="inlineStr">
        <is>
          <t>9780801620348</t>
        </is>
      </c>
      <c r="BE18" t="inlineStr">
        <is>
          <t>30001000046120</t>
        </is>
      </c>
      <c r="BF18" t="inlineStr">
        <is>
          <t>893651503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QV 4 H675b 1987</t>
        </is>
      </c>
      <c r="E19" t="inlineStr">
        <is>
          <t>0                      QV 0004000H  675b        1987</t>
        </is>
      </c>
      <c r="F19" t="inlineStr">
        <is>
          <t>Basic pharmacology for health occupations / Henry Hitner, Barbara T. Nagle.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Hitner, Henry.</t>
        </is>
      </c>
      <c r="N19" t="inlineStr">
        <is>
          <t>Encino, Calif. : Glencoe Publishing Co., c1987.</t>
        </is>
      </c>
      <c r="O19" t="inlineStr">
        <is>
          <t>1987</t>
        </is>
      </c>
      <c r="P19" t="inlineStr">
        <is>
          <t>2nd ed.</t>
        </is>
      </c>
      <c r="Q19" t="inlineStr">
        <is>
          <t>eng</t>
        </is>
      </c>
      <c r="R19" t="inlineStr">
        <is>
          <t>cau</t>
        </is>
      </c>
      <c r="T19" t="inlineStr">
        <is>
          <t xml:space="preserve">QV </t>
        </is>
      </c>
      <c r="U19" t="n">
        <v>22</v>
      </c>
      <c r="V19" t="n">
        <v>22</v>
      </c>
      <c r="W19" t="inlineStr">
        <is>
          <t>1994-02-23</t>
        </is>
      </c>
      <c r="X19" t="inlineStr">
        <is>
          <t>1994-02-23</t>
        </is>
      </c>
      <c r="Y19" t="inlineStr">
        <is>
          <t>1988-01-27</t>
        </is>
      </c>
      <c r="Z19" t="inlineStr">
        <is>
          <t>1988-01-27</t>
        </is>
      </c>
      <c r="AA19" t="n">
        <v>22</v>
      </c>
      <c r="AB19" t="n">
        <v>18</v>
      </c>
      <c r="AC19" t="n">
        <v>119</v>
      </c>
      <c r="AD19" t="n">
        <v>1</v>
      </c>
      <c r="AE19" t="n">
        <v>3</v>
      </c>
      <c r="AF19" t="n">
        <v>0</v>
      </c>
      <c r="AG19" t="n">
        <v>2</v>
      </c>
      <c r="AH19" t="n">
        <v>0</v>
      </c>
      <c r="AI19" t="n">
        <v>1</v>
      </c>
      <c r="AJ19" t="n">
        <v>0</v>
      </c>
      <c r="AK19" t="n">
        <v>0</v>
      </c>
      <c r="AL19" t="n">
        <v>0</v>
      </c>
      <c r="AM19" t="n">
        <v>1</v>
      </c>
      <c r="AN19" t="n">
        <v>0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HYPERLINK("https://creighton-primo.hosted.exlibrisgroup.com/primo-explore/search?tab=default_tab&amp;search_scope=EVERYTHING&amp;vid=01CRU&amp;lang=en_US&amp;offset=0&amp;query=any,contains,991000917189702656","Catalog Record")</f>
        <v/>
      </c>
      <c r="AV19">
        <f>HYPERLINK("http://www.worldcat.org/oclc/14548861","WorldCat Record")</f>
        <v/>
      </c>
      <c r="AW19" t="inlineStr">
        <is>
          <t>325121:eng</t>
        </is>
      </c>
      <c r="AX19" t="inlineStr">
        <is>
          <t>14548861</t>
        </is>
      </c>
      <c r="AY19" t="inlineStr">
        <is>
          <t>991000917189702656</t>
        </is>
      </c>
      <c r="AZ19" t="inlineStr">
        <is>
          <t>991000917189702656</t>
        </is>
      </c>
      <c r="BA19" t="inlineStr">
        <is>
          <t>2260110740002656</t>
        </is>
      </c>
      <c r="BB19" t="inlineStr">
        <is>
          <t>BOOK</t>
        </is>
      </c>
      <c r="BD19" t="inlineStr">
        <is>
          <t>9780026829403</t>
        </is>
      </c>
      <c r="BE19" t="inlineStr">
        <is>
          <t>30001000179541</t>
        </is>
      </c>
      <c r="BF19" t="inlineStr">
        <is>
          <t>893358008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QV 4 H918 1991</t>
        </is>
      </c>
      <c r="E20" t="inlineStr">
        <is>
          <t>0                      QV 0004000H  918         1991</t>
        </is>
      </c>
      <c r="F20" t="inlineStr">
        <is>
          <t>Human pharmacology : molecular-to-clinical / Lemuel B. Wingard, Jr. ... [et al.].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N20" t="inlineStr">
        <is>
          <t>St. Louis : Mosby Year Book, c1991.</t>
        </is>
      </c>
      <c r="O20" t="inlineStr">
        <is>
          <t>1991</t>
        </is>
      </c>
      <c r="Q20" t="inlineStr">
        <is>
          <t>eng</t>
        </is>
      </c>
      <c r="R20" t="inlineStr">
        <is>
          <t>xxu</t>
        </is>
      </c>
      <c r="T20" t="inlineStr">
        <is>
          <t xml:space="preserve">QV </t>
        </is>
      </c>
      <c r="U20" t="n">
        <v>65</v>
      </c>
      <c r="V20" t="n">
        <v>65</v>
      </c>
      <c r="W20" t="inlineStr">
        <is>
          <t>2006-07-21</t>
        </is>
      </c>
      <c r="X20" t="inlineStr">
        <is>
          <t>2006-07-21</t>
        </is>
      </c>
      <c r="Y20" t="inlineStr">
        <is>
          <t>1991-09-19</t>
        </is>
      </c>
      <c r="Z20" t="inlineStr">
        <is>
          <t>1991-09-19</t>
        </is>
      </c>
      <c r="AA20" t="n">
        <v>153</v>
      </c>
      <c r="AB20" t="n">
        <v>98</v>
      </c>
      <c r="AC20" t="n">
        <v>105</v>
      </c>
      <c r="AD20" t="n">
        <v>1</v>
      </c>
      <c r="AE20" t="n">
        <v>1</v>
      </c>
      <c r="AF20" t="n">
        <v>2</v>
      </c>
      <c r="AG20" t="n">
        <v>2</v>
      </c>
      <c r="AH20" t="n">
        <v>0</v>
      </c>
      <c r="AI20" t="n">
        <v>0</v>
      </c>
      <c r="AJ20" t="n">
        <v>0</v>
      </c>
      <c r="AK20" t="n">
        <v>0</v>
      </c>
      <c r="AL20" t="n">
        <v>2</v>
      </c>
      <c r="AM20" t="n">
        <v>2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HYPERLINK("http://catalog.hathitrust.org/Record/002441641","HathiTrust Record")</f>
        <v/>
      </c>
      <c r="AU20">
        <f>HYPERLINK("https://creighton-primo.hosted.exlibrisgroup.com/primo-explore/search?tab=default_tab&amp;search_scope=EVERYTHING&amp;vid=01CRU&amp;lang=en_US&amp;offset=0&amp;query=any,contains,991001016879702656","Catalog Record")</f>
        <v/>
      </c>
      <c r="AV20">
        <f>HYPERLINK("http://www.worldcat.org/oclc/22813584","WorldCat Record")</f>
        <v/>
      </c>
      <c r="AW20" t="inlineStr">
        <is>
          <t>836229637:eng</t>
        </is>
      </c>
      <c r="AX20" t="inlineStr">
        <is>
          <t>22813584</t>
        </is>
      </c>
      <c r="AY20" t="inlineStr">
        <is>
          <t>991001016879702656</t>
        </is>
      </c>
      <c r="AZ20" t="inlineStr">
        <is>
          <t>991001016879702656</t>
        </is>
      </c>
      <c r="BA20" t="inlineStr">
        <is>
          <t>2254758860002656</t>
        </is>
      </c>
      <c r="BB20" t="inlineStr">
        <is>
          <t>BOOK</t>
        </is>
      </c>
      <c r="BD20" t="inlineStr">
        <is>
          <t>9780801656323</t>
        </is>
      </c>
      <c r="BE20" t="inlineStr">
        <is>
          <t>30001002240846</t>
        </is>
      </c>
      <c r="BF20" t="inlineStr">
        <is>
          <t>893552051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QV4 H918 1998</t>
        </is>
      </c>
      <c r="E21" t="inlineStr">
        <is>
          <t>0                      QV 0004000H  918         1998</t>
        </is>
      </c>
      <c r="F21" t="inlineStr">
        <is>
          <t>Human pharmacology : molecular to clinical / [edited by] Theodore M. Brody, Joseph Larner, Kenneth P. Minneman.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St. Louis : Mosby, c1998.</t>
        </is>
      </c>
      <c r="O21" t="inlineStr">
        <is>
          <t>1998</t>
        </is>
      </c>
      <c r="P21" t="inlineStr">
        <is>
          <t>3rd ed.</t>
        </is>
      </c>
      <c r="Q21" t="inlineStr">
        <is>
          <t>eng</t>
        </is>
      </c>
      <c r="R21" t="inlineStr">
        <is>
          <t>mou</t>
        </is>
      </c>
      <c r="T21" t="inlineStr">
        <is>
          <t xml:space="preserve">QV </t>
        </is>
      </c>
      <c r="U21" t="n">
        <v>16</v>
      </c>
      <c r="V21" t="n">
        <v>16</v>
      </c>
      <c r="W21" t="inlineStr">
        <is>
          <t>2006-10-03</t>
        </is>
      </c>
      <c r="X21" t="inlineStr">
        <is>
          <t>2006-10-03</t>
        </is>
      </c>
      <c r="Y21" t="inlineStr">
        <is>
          <t>2002-07-09</t>
        </is>
      </c>
      <c r="Z21" t="inlineStr">
        <is>
          <t>2002-07-09</t>
        </is>
      </c>
      <c r="AA21" t="n">
        <v>292</v>
      </c>
      <c r="AB21" t="n">
        <v>163</v>
      </c>
      <c r="AC21" t="n">
        <v>217</v>
      </c>
      <c r="AD21" t="n">
        <v>1</v>
      </c>
      <c r="AE21" t="n">
        <v>1</v>
      </c>
      <c r="AF21" t="n">
        <v>5</v>
      </c>
      <c r="AG21" t="n">
        <v>7</v>
      </c>
      <c r="AH21" t="n">
        <v>1</v>
      </c>
      <c r="AI21" t="n">
        <v>2</v>
      </c>
      <c r="AJ21" t="n">
        <v>2</v>
      </c>
      <c r="AK21" t="n">
        <v>3</v>
      </c>
      <c r="AL21" t="n">
        <v>3</v>
      </c>
      <c r="AM21" t="n">
        <v>4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HYPERLINK("http://catalog.hathitrust.org/Record/003951115","HathiTrust Record")</f>
        <v/>
      </c>
      <c r="AU21">
        <f>HYPERLINK("https://creighton-primo.hosted.exlibrisgroup.com/primo-explore/search?tab=default_tab&amp;search_scope=EVERYTHING&amp;vid=01CRU&amp;lang=en_US&amp;offset=0&amp;query=any,contains,991000324069702656","Catalog Record")</f>
        <v/>
      </c>
      <c r="AV21">
        <f>HYPERLINK("http://www.worldcat.org/oclc/37180371","WorldCat Record")</f>
        <v/>
      </c>
      <c r="AW21" t="inlineStr">
        <is>
          <t>5091321901:eng</t>
        </is>
      </c>
      <c r="AX21" t="inlineStr">
        <is>
          <t>37180371</t>
        </is>
      </c>
      <c r="AY21" t="inlineStr">
        <is>
          <t>991000324069702656</t>
        </is>
      </c>
      <c r="AZ21" t="inlineStr">
        <is>
          <t>991000324069702656</t>
        </is>
      </c>
      <c r="BA21" t="inlineStr">
        <is>
          <t>2269908280002656</t>
        </is>
      </c>
      <c r="BB21" t="inlineStr">
        <is>
          <t>BOOK</t>
        </is>
      </c>
      <c r="BD21" t="inlineStr">
        <is>
          <t>9780815124566</t>
        </is>
      </c>
      <c r="BE21" t="inlineStr">
        <is>
          <t>30001004443133</t>
        </is>
      </c>
      <c r="BF21" t="inlineStr">
        <is>
          <t>893827376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QV4 H918 2005</t>
        </is>
      </c>
      <c r="E22" t="inlineStr">
        <is>
          <t>0                      QV 0004000H  918         2005</t>
        </is>
      </c>
      <c r="F22" t="inlineStr">
        <is>
          <t>Brody's human pharmacology : molecular to clinical / editors, Kenneth P. Minneman, Lynn Wecker ; consulting editors, Joseph Larner, Theodrore M. Brody.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Philadelphia, Pa. : Elsvier Mosby, c2005.</t>
        </is>
      </c>
      <c r="O22" t="inlineStr">
        <is>
          <t>2005</t>
        </is>
      </c>
      <c r="P22" t="inlineStr">
        <is>
          <t>4th ed.</t>
        </is>
      </c>
      <c r="Q22" t="inlineStr">
        <is>
          <t>eng</t>
        </is>
      </c>
      <c r="R22" t="inlineStr">
        <is>
          <t>pau</t>
        </is>
      </c>
      <c r="T22" t="inlineStr">
        <is>
          <t xml:space="preserve">QV </t>
        </is>
      </c>
      <c r="U22" t="n">
        <v>9</v>
      </c>
      <c r="V22" t="n">
        <v>9</v>
      </c>
      <c r="W22" t="inlineStr">
        <is>
          <t>2010-01-03</t>
        </is>
      </c>
      <c r="X22" t="inlineStr">
        <is>
          <t>2010-01-03</t>
        </is>
      </c>
      <c r="Y22" t="inlineStr">
        <is>
          <t>2006-01-12</t>
        </is>
      </c>
      <c r="Z22" t="inlineStr">
        <is>
          <t>2006-01-12</t>
        </is>
      </c>
      <c r="AA22" t="n">
        <v>224</v>
      </c>
      <c r="AB22" t="n">
        <v>127</v>
      </c>
      <c r="AC22" t="n">
        <v>296</v>
      </c>
      <c r="AD22" t="n">
        <v>1</v>
      </c>
      <c r="AE22" t="n">
        <v>2</v>
      </c>
      <c r="AF22" t="n">
        <v>3</v>
      </c>
      <c r="AG22" t="n">
        <v>10</v>
      </c>
      <c r="AH22" t="n">
        <v>2</v>
      </c>
      <c r="AI22" t="n">
        <v>6</v>
      </c>
      <c r="AJ22" t="n">
        <v>1</v>
      </c>
      <c r="AK22" t="n">
        <v>1</v>
      </c>
      <c r="AL22" t="n">
        <v>1</v>
      </c>
      <c r="AM22" t="n">
        <v>4</v>
      </c>
      <c r="AN22" t="n">
        <v>0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HYPERLINK("https://creighton-primo.hosted.exlibrisgroup.com/primo-explore/search?tab=default_tab&amp;search_scope=EVERYTHING&amp;vid=01CRU&amp;lang=en_US&amp;offset=0&amp;query=any,contains,991000455189702656","Catalog Record")</f>
        <v/>
      </c>
      <c r="AV22">
        <f>HYPERLINK("http://www.worldcat.org/oclc/58526990","WorldCat Record")</f>
        <v/>
      </c>
      <c r="AW22" t="inlineStr">
        <is>
          <t>3856760257:eng</t>
        </is>
      </c>
      <c r="AX22" t="inlineStr">
        <is>
          <t>58526990</t>
        </is>
      </c>
      <c r="AY22" t="inlineStr">
        <is>
          <t>991000455189702656</t>
        </is>
      </c>
      <c r="AZ22" t="inlineStr">
        <is>
          <t>991000455189702656</t>
        </is>
      </c>
      <c r="BA22" t="inlineStr">
        <is>
          <t>2258172700002656</t>
        </is>
      </c>
      <c r="BB22" t="inlineStr">
        <is>
          <t>BOOK</t>
        </is>
      </c>
      <c r="BD22" t="inlineStr">
        <is>
          <t>9780323032865</t>
        </is>
      </c>
      <c r="BE22" t="inlineStr">
        <is>
          <t>30001004912467</t>
        </is>
      </c>
      <c r="BF22" t="inlineStr">
        <is>
          <t>893817111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QV 4 I58 1986 sec.120</t>
        </is>
      </c>
      <c r="E23" t="inlineStr">
        <is>
          <t>0                      QV 0004000I  58          1986                                        sec.120</t>
        </is>
      </c>
      <c r="F23" t="inlineStr">
        <is>
          <t>Methods of drug delivery / section editor, Garret M. Ihler.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Oxford ; New York : Pergamon Press, 1986.</t>
        </is>
      </c>
      <c r="O23" t="inlineStr">
        <is>
          <t>1986</t>
        </is>
      </c>
      <c r="P23" t="inlineStr">
        <is>
          <t>1st ed.</t>
        </is>
      </c>
      <c r="Q23" t="inlineStr">
        <is>
          <t>eng</t>
        </is>
      </c>
      <c r="R23" t="inlineStr">
        <is>
          <t>enk</t>
        </is>
      </c>
      <c r="S23" t="inlineStr">
        <is>
          <t>International encyclopedia of pharmacology and therapeutics ; section 120</t>
        </is>
      </c>
      <c r="T23" t="inlineStr">
        <is>
          <t xml:space="preserve">QV </t>
        </is>
      </c>
      <c r="U23" t="n">
        <v>8</v>
      </c>
      <c r="V23" t="n">
        <v>8</v>
      </c>
      <c r="W23" t="inlineStr">
        <is>
          <t>1988-10-04</t>
        </is>
      </c>
      <c r="X23" t="inlineStr">
        <is>
          <t>1988-10-04</t>
        </is>
      </c>
      <c r="Y23" t="inlineStr">
        <is>
          <t>1988-08-25</t>
        </is>
      </c>
      <c r="Z23" t="inlineStr">
        <is>
          <t>1988-08-25</t>
        </is>
      </c>
      <c r="AA23" t="n">
        <v>106</v>
      </c>
      <c r="AB23" t="n">
        <v>79</v>
      </c>
      <c r="AC23" t="n">
        <v>81</v>
      </c>
      <c r="AD23" t="n">
        <v>1</v>
      </c>
      <c r="AE23" t="n">
        <v>1</v>
      </c>
      <c r="AF23" t="n">
        <v>3</v>
      </c>
      <c r="AG23" t="n">
        <v>3</v>
      </c>
      <c r="AH23" t="n">
        <v>1</v>
      </c>
      <c r="AI23" t="n">
        <v>1</v>
      </c>
      <c r="AJ23" t="n">
        <v>1</v>
      </c>
      <c r="AK23" t="n">
        <v>1</v>
      </c>
      <c r="AL23" t="n">
        <v>2</v>
      </c>
      <c r="AM23" t="n">
        <v>2</v>
      </c>
      <c r="AN23" t="n">
        <v>0</v>
      </c>
      <c r="AO23" t="n">
        <v>0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HYPERLINK("http://catalog.hathitrust.org/Record/000481212","HathiTrust Record")</f>
        <v/>
      </c>
      <c r="AU23">
        <f>HYPERLINK("https://creighton-primo.hosted.exlibrisgroup.com/primo-explore/search?tab=default_tab&amp;search_scope=EVERYTHING&amp;vid=01CRU&amp;lang=en_US&amp;offset=0&amp;query=any,contains,991001422879702656","Catalog Record")</f>
        <v/>
      </c>
      <c r="AV23">
        <f>HYPERLINK("http://www.worldcat.org/oclc/12345052","WorldCat Record")</f>
        <v/>
      </c>
      <c r="AW23" t="inlineStr">
        <is>
          <t>5304485:eng</t>
        </is>
      </c>
      <c r="AX23" t="inlineStr">
        <is>
          <t>12345052</t>
        </is>
      </c>
      <c r="AY23" t="inlineStr">
        <is>
          <t>991001422879702656</t>
        </is>
      </c>
      <c r="AZ23" t="inlineStr">
        <is>
          <t>991001422879702656</t>
        </is>
      </c>
      <c r="BA23" t="inlineStr">
        <is>
          <t>2260670860002656</t>
        </is>
      </c>
      <c r="BB23" t="inlineStr">
        <is>
          <t>BOOK</t>
        </is>
      </c>
      <c r="BD23" t="inlineStr">
        <is>
          <t>9780080320113</t>
        </is>
      </c>
      <c r="BE23" t="inlineStr">
        <is>
          <t>30001001182957</t>
        </is>
      </c>
      <c r="BF23" t="inlineStr">
        <is>
          <t>893287411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QV 4 I58 1987 sec.127</t>
        </is>
      </c>
      <c r="E24" t="inlineStr">
        <is>
          <t>0                      QV 0004000I  58          1987                                        sec.127</t>
        </is>
      </c>
      <c r="F24" t="inlineStr">
        <is>
          <t>Antibiotic inhibitors of bacterial cell wall biosynthesis / section editor, Donald J. Tipper.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Oxford ; New York : Pergamon Press, c1987.</t>
        </is>
      </c>
      <c r="O24" t="inlineStr">
        <is>
          <t>1987</t>
        </is>
      </c>
      <c r="P24" t="inlineStr">
        <is>
          <t>1st ed.</t>
        </is>
      </c>
      <c r="Q24" t="inlineStr">
        <is>
          <t>eng</t>
        </is>
      </c>
      <c r="R24" t="inlineStr">
        <is>
          <t>enk</t>
        </is>
      </c>
      <c r="S24" t="inlineStr">
        <is>
          <t>International encyclopedia of pharmacology and therapeutics ; section 127</t>
        </is>
      </c>
      <c r="T24" t="inlineStr">
        <is>
          <t xml:space="preserve">QV </t>
        </is>
      </c>
      <c r="U24" t="n">
        <v>5</v>
      </c>
      <c r="V24" t="n">
        <v>5</v>
      </c>
      <c r="W24" t="inlineStr">
        <is>
          <t>1998-10-11</t>
        </is>
      </c>
      <c r="X24" t="inlineStr">
        <is>
          <t>1998-10-11</t>
        </is>
      </c>
      <c r="Y24" t="inlineStr">
        <is>
          <t>1988-05-10</t>
        </is>
      </c>
      <c r="Z24" t="inlineStr">
        <is>
          <t>1988-05-10</t>
        </is>
      </c>
      <c r="AA24" t="n">
        <v>103</v>
      </c>
      <c r="AB24" t="n">
        <v>71</v>
      </c>
      <c r="AC24" t="n">
        <v>73</v>
      </c>
      <c r="AD24" t="n">
        <v>1</v>
      </c>
      <c r="AE24" t="n">
        <v>1</v>
      </c>
      <c r="AF24" t="n">
        <v>3</v>
      </c>
      <c r="AG24" t="n">
        <v>3</v>
      </c>
      <c r="AH24" t="n">
        <v>1</v>
      </c>
      <c r="AI24" t="n">
        <v>1</v>
      </c>
      <c r="AJ24" t="n">
        <v>1</v>
      </c>
      <c r="AK24" t="n">
        <v>1</v>
      </c>
      <c r="AL24" t="n">
        <v>2</v>
      </c>
      <c r="AM24" t="n">
        <v>2</v>
      </c>
      <c r="AN24" t="n">
        <v>0</v>
      </c>
      <c r="AO24" t="n">
        <v>0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HYPERLINK("http://catalog.hathitrust.org/Record/000866361","HathiTrust Record")</f>
        <v/>
      </c>
      <c r="AU24">
        <f>HYPERLINK("https://creighton-primo.hosted.exlibrisgroup.com/primo-explore/search?tab=default_tab&amp;search_scope=EVERYTHING&amp;vid=01CRU&amp;lang=en_US&amp;offset=0&amp;query=any,contains,991001190569702656","Catalog Record")</f>
        <v/>
      </c>
      <c r="AV24">
        <f>HYPERLINK("http://www.worldcat.org/oclc/16404880","WorldCat Record")</f>
        <v/>
      </c>
      <c r="AW24" t="inlineStr">
        <is>
          <t>659188513:eng</t>
        </is>
      </c>
      <c r="AX24" t="inlineStr">
        <is>
          <t>16404880</t>
        </is>
      </c>
      <c r="AY24" t="inlineStr">
        <is>
          <t>991001190569702656</t>
        </is>
      </c>
      <c r="AZ24" t="inlineStr">
        <is>
          <t>991001190569702656</t>
        </is>
      </c>
      <c r="BA24" t="inlineStr">
        <is>
          <t>2263586440002656</t>
        </is>
      </c>
      <c r="BB24" t="inlineStr">
        <is>
          <t>BOOK</t>
        </is>
      </c>
      <c r="BD24" t="inlineStr">
        <is>
          <t>9780080361307</t>
        </is>
      </c>
      <c r="BE24" t="inlineStr">
        <is>
          <t>30001000979239</t>
        </is>
      </c>
      <c r="BF24" t="inlineStr">
        <is>
          <t>893831987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QV 4 I58 1990 sect.130</t>
        </is>
      </c>
      <c r="E25" t="inlineStr">
        <is>
          <t>0                      QV 0004000I  58          1990                                        sect.130</t>
        </is>
      </c>
      <c r="F25" t="inlineStr">
        <is>
          <t>Psychotropic drugs of abuse / specialist subject editor, D.J.K. Balfour.</t>
        </is>
      </c>
      <c r="G25" t="inlineStr">
        <is>
          <t>sect.130*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New York : Pergamon Press, c1990.</t>
        </is>
      </c>
      <c r="O25" t="inlineStr">
        <is>
          <t>1990</t>
        </is>
      </c>
      <c r="Q25" t="inlineStr">
        <is>
          <t>eng</t>
        </is>
      </c>
      <c r="R25" t="inlineStr">
        <is>
          <t>xxu</t>
        </is>
      </c>
      <c r="S25" t="inlineStr">
        <is>
          <t>International encyclopedia of pharmacology and therapeutics ; section 130</t>
        </is>
      </c>
      <c r="T25" t="inlineStr">
        <is>
          <t xml:space="preserve">QV </t>
        </is>
      </c>
      <c r="U25" t="n">
        <v>5</v>
      </c>
      <c r="V25" t="n">
        <v>5</v>
      </c>
      <c r="W25" t="inlineStr">
        <is>
          <t>1997-11-19</t>
        </is>
      </c>
      <c r="X25" t="inlineStr">
        <is>
          <t>1997-11-19</t>
        </is>
      </c>
      <c r="Y25" t="inlineStr">
        <is>
          <t>1990-08-09</t>
        </is>
      </c>
      <c r="Z25" t="inlineStr">
        <is>
          <t>1990-08-09</t>
        </is>
      </c>
      <c r="AA25" t="n">
        <v>138</v>
      </c>
      <c r="AB25" t="n">
        <v>103</v>
      </c>
      <c r="AC25" t="n">
        <v>111</v>
      </c>
      <c r="AD25" t="n">
        <v>1</v>
      </c>
      <c r="AE25" t="n">
        <v>1</v>
      </c>
      <c r="AF25" t="n">
        <v>4</v>
      </c>
      <c r="AG25" t="n">
        <v>5</v>
      </c>
      <c r="AH25" t="n">
        <v>1</v>
      </c>
      <c r="AI25" t="n">
        <v>2</v>
      </c>
      <c r="AJ25" t="n">
        <v>0</v>
      </c>
      <c r="AK25" t="n">
        <v>0</v>
      </c>
      <c r="AL25" t="n">
        <v>4</v>
      </c>
      <c r="AM25" t="n">
        <v>4</v>
      </c>
      <c r="AN25" t="n">
        <v>0</v>
      </c>
      <c r="AO25" t="n">
        <v>0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HYPERLINK("http://catalog.hathitrust.org/Record/002064565","HathiTrust Record")</f>
        <v/>
      </c>
      <c r="AU25">
        <f>HYPERLINK("https://creighton-primo.hosted.exlibrisgroup.com/primo-explore/search?tab=default_tab&amp;search_scope=EVERYTHING&amp;vid=01CRU&amp;lang=en_US&amp;offset=0&amp;query=any,contains,991001452549702656","Catalog Record")</f>
        <v/>
      </c>
      <c r="AV25">
        <f>HYPERLINK("http://www.worldcat.org/oclc/19510803","WorldCat Record")</f>
        <v/>
      </c>
      <c r="AW25" t="inlineStr">
        <is>
          <t>659188520:eng</t>
        </is>
      </c>
      <c r="AX25" t="inlineStr">
        <is>
          <t>19510803</t>
        </is>
      </c>
      <c r="AY25" t="inlineStr">
        <is>
          <t>991001452549702656</t>
        </is>
      </c>
      <c r="AZ25" t="inlineStr">
        <is>
          <t>991001452549702656</t>
        </is>
      </c>
      <c r="BA25" t="inlineStr">
        <is>
          <t>2255676170002656</t>
        </is>
      </c>
      <c r="BB25" t="inlineStr">
        <is>
          <t>BOOK</t>
        </is>
      </c>
      <c r="BD25" t="inlineStr">
        <is>
          <t>9780080368511</t>
        </is>
      </c>
      <c r="BE25" t="inlineStr">
        <is>
          <t>30001001883653</t>
        </is>
      </c>
      <c r="BF25" t="inlineStr">
        <is>
          <t>893369410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QV 4 I618t 1988</t>
        </is>
      </c>
      <c r="E26" t="inlineStr">
        <is>
          <t>0                      QV 0004000I  618t        1988</t>
        </is>
      </c>
      <c r="F26" t="inlineStr">
        <is>
          <t>Trends in medicinal chemistry '88 : proceedings of the Xth International Symposium on Medicinal Chemistry, Budapest, 15-19 August 1988 / edited by H. van der Goot ... [et al.].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International Symposium on Medicinal Chemistry (10th : 1988 : Budapest, Hungary)</t>
        </is>
      </c>
      <c r="N26" t="inlineStr">
        <is>
          <t>Amsterdam ; New York : Elsevier, c1989.</t>
        </is>
      </c>
      <c r="O26" t="inlineStr">
        <is>
          <t>1989</t>
        </is>
      </c>
      <c r="Q26" t="inlineStr">
        <is>
          <t>eng</t>
        </is>
      </c>
      <c r="R26" t="inlineStr">
        <is>
          <t xml:space="preserve">ne </t>
        </is>
      </c>
      <c r="S26" t="inlineStr">
        <is>
          <t>Pharmacochemistry library ; v. 12</t>
        </is>
      </c>
      <c r="T26" t="inlineStr">
        <is>
          <t xml:space="preserve">QV </t>
        </is>
      </c>
      <c r="U26" t="n">
        <v>8</v>
      </c>
      <c r="V26" t="n">
        <v>8</v>
      </c>
      <c r="W26" t="inlineStr">
        <is>
          <t>1990-03-07</t>
        </is>
      </c>
      <c r="X26" t="inlineStr">
        <is>
          <t>1990-03-07</t>
        </is>
      </c>
      <c r="Y26" t="inlineStr">
        <is>
          <t>1989-07-17</t>
        </is>
      </c>
      <c r="Z26" t="inlineStr">
        <is>
          <t>1989-07-17</t>
        </is>
      </c>
      <c r="AA26" t="n">
        <v>64</v>
      </c>
      <c r="AB26" t="n">
        <v>42</v>
      </c>
      <c r="AC26" t="n">
        <v>44</v>
      </c>
      <c r="AD26" t="n">
        <v>1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HYPERLINK("http://catalog.hathitrust.org/Record/001540131","HathiTrust Record")</f>
        <v/>
      </c>
      <c r="AU26">
        <f>HYPERLINK("https://creighton-primo.hosted.exlibrisgroup.com/primo-explore/search?tab=default_tab&amp;search_scope=EVERYTHING&amp;vid=01CRU&amp;lang=en_US&amp;offset=0&amp;query=any,contains,991001254219702656","Catalog Record")</f>
        <v/>
      </c>
      <c r="AV26">
        <f>HYPERLINK("http://www.worldcat.org/oclc/19514833","WorldCat Record")</f>
        <v/>
      </c>
      <c r="AW26" t="inlineStr">
        <is>
          <t>21354981:eng</t>
        </is>
      </c>
      <c r="AX26" t="inlineStr">
        <is>
          <t>19514833</t>
        </is>
      </c>
      <c r="AY26" t="inlineStr">
        <is>
          <t>991001254219702656</t>
        </is>
      </c>
      <c r="AZ26" t="inlineStr">
        <is>
          <t>991001254219702656</t>
        </is>
      </c>
      <c r="BA26" t="inlineStr">
        <is>
          <t>2258743150002656</t>
        </is>
      </c>
      <c r="BB26" t="inlineStr">
        <is>
          <t>BOOK</t>
        </is>
      </c>
      <c r="BD26" t="inlineStr">
        <is>
          <t>9780444873804</t>
        </is>
      </c>
      <c r="BE26" t="inlineStr">
        <is>
          <t>30001001679820</t>
        </is>
      </c>
      <c r="BF26" t="inlineStr">
        <is>
          <t>893467872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QV4 K26p 2003</t>
        </is>
      </c>
      <c r="E27" t="inlineStr">
        <is>
          <t>0                      QV 0004000K  26p         2003</t>
        </is>
      </c>
      <c r="F27" t="inlineStr">
        <is>
          <t>Pharmacology : a nursing process approach / Joyce LeFever Kee, Evelyn R. Hayes.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Yes</t>
        </is>
      </c>
      <c r="L27" t="inlineStr">
        <is>
          <t>0</t>
        </is>
      </c>
      <c r="M27" t="inlineStr">
        <is>
          <t>Kee, Joyce LeFever.</t>
        </is>
      </c>
      <c r="N27" t="inlineStr">
        <is>
          <t>Philadelphia : Saunders, c2003.</t>
        </is>
      </c>
      <c r="O27" t="inlineStr">
        <is>
          <t>2003</t>
        </is>
      </c>
      <c r="P27" t="inlineStr">
        <is>
          <t>4th ed.</t>
        </is>
      </c>
      <c r="Q27" t="inlineStr">
        <is>
          <t>eng</t>
        </is>
      </c>
      <c r="R27" t="inlineStr">
        <is>
          <t>pau</t>
        </is>
      </c>
      <c r="T27" t="inlineStr">
        <is>
          <t xml:space="preserve">QV </t>
        </is>
      </c>
      <c r="U27" t="n">
        <v>4</v>
      </c>
      <c r="V27" t="n">
        <v>4</v>
      </c>
      <c r="W27" t="inlineStr">
        <is>
          <t>2004-06-10</t>
        </is>
      </c>
      <c r="X27" t="inlineStr">
        <is>
          <t>2004-06-10</t>
        </is>
      </c>
      <c r="Y27" t="inlineStr">
        <is>
          <t>2003-06-09</t>
        </is>
      </c>
      <c r="Z27" t="inlineStr">
        <is>
          <t>2003-06-09</t>
        </is>
      </c>
      <c r="AA27" t="n">
        <v>268</v>
      </c>
      <c r="AB27" t="n">
        <v>213</v>
      </c>
      <c r="AC27" t="n">
        <v>821</v>
      </c>
      <c r="AD27" t="n">
        <v>1</v>
      </c>
      <c r="AE27" t="n">
        <v>7</v>
      </c>
      <c r="AF27" t="n">
        <v>7</v>
      </c>
      <c r="AG27" t="n">
        <v>25</v>
      </c>
      <c r="AH27" t="n">
        <v>4</v>
      </c>
      <c r="AI27" t="n">
        <v>10</v>
      </c>
      <c r="AJ27" t="n">
        <v>0</v>
      </c>
      <c r="AK27" t="n">
        <v>3</v>
      </c>
      <c r="AL27" t="n">
        <v>6</v>
      </c>
      <c r="AM27" t="n">
        <v>14</v>
      </c>
      <c r="AN27" t="n">
        <v>0</v>
      </c>
      <c r="AO27" t="n">
        <v>5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HYPERLINK("http://catalog.hathitrust.org/Record/004297412","HathiTrust Record")</f>
        <v/>
      </c>
      <c r="AU27">
        <f>HYPERLINK("https://creighton-primo.hosted.exlibrisgroup.com/primo-explore/search?tab=default_tab&amp;search_scope=EVERYTHING&amp;vid=01CRU&amp;lang=en_US&amp;offset=0&amp;query=any,contains,991001723059702656","Catalog Record")</f>
        <v/>
      </c>
      <c r="AV27">
        <f>HYPERLINK("http://www.worldcat.org/oclc/50002945","WorldCat Record")</f>
        <v/>
      </c>
      <c r="AW27" t="inlineStr">
        <is>
          <t>5945800:eng</t>
        </is>
      </c>
      <c r="AX27" t="inlineStr">
        <is>
          <t>50002945</t>
        </is>
      </c>
      <c r="AY27" t="inlineStr">
        <is>
          <t>991001723059702656</t>
        </is>
      </c>
      <c r="AZ27" t="inlineStr">
        <is>
          <t>991001723059702656</t>
        </is>
      </c>
      <c r="BA27" t="inlineStr">
        <is>
          <t>2270578670002656</t>
        </is>
      </c>
      <c r="BB27" t="inlineStr">
        <is>
          <t>BOOK</t>
        </is>
      </c>
      <c r="BD27" t="inlineStr">
        <is>
          <t>9780721693453</t>
        </is>
      </c>
      <c r="BE27" t="inlineStr">
        <is>
          <t>30001004501278</t>
        </is>
      </c>
      <c r="BF27" t="inlineStr">
        <is>
          <t>893736819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QV 4 K26p 2009</t>
        </is>
      </c>
      <c r="E28" t="inlineStr">
        <is>
          <t>0                      QV 0004000K  26p         2009</t>
        </is>
      </c>
      <c r="F28" t="inlineStr">
        <is>
          <t>Pharmacology : a nursing process approach / Joyce LeFever Kee, Evelyn R. Hayes, Linda E. McCuistion.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M28" t="inlineStr">
        <is>
          <t>Kee, Joyce LeFever.</t>
        </is>
      </c>
      <c r="N28" t="inlineStr">
        <is>
          <t>[St. Louis, Mo.] : Saunders, c2009.</t>
        </is>
      </c>
      <c r="O28" t="inlineStr">
        <is>
          <t>2009</t>
        </is>
      </c>
      <c r="P28" t="inlineStr">
        <is>
          <t>6th ed.</t>
        </is>
      </c>
      <c r="Q28" t="inlineStr">
        <is>
          <t>eng</t>
        </is>
      </c>
      <c r="R28" t="inlineStr">
        <is>
          <t>mou</t>
        </is>
      </c>
      <c r="T28" t="inlineStr">
        <is>
          <t xml:space="preserve">QV </t>
        </is>
      </c>
      <c r="U28" t="n">
        <v>0</v>
      </c>
      <c r="V28" t="n">
        <v>0</v>
      </c>
      <c r="W28" t="inlineStr">
        <is>
          <t>2009-04-30</t>
        </is>
      </c>
      <c r="X28" t="inlineStr">
        <is>
          <t>2009-04-30</t>
        </is>
      </c>
      <c r="Y28" t="inlineStr">
        <is>
          <t>2009-04-29</t>
        </is>
      </c>
      <c r="Z28" t="inlineStr">
        <is>
          <t>2009-04-29</t>
        </is>
      </c>
      <c r="AA28" t="n">
        <v>260</v>
      </c>
      <c r="AB28" t="n">
        <v>203</v>
      </c>
      <c r="AC28" t="n">
        <v>821</v>
      </c>
      <c r="AD28" t="n">
        <v>4</v>
      </c>
      <c r="AE28" t="n">
        <v>7</v>
      </c>
      <c r="AF28" t="n">
        <v>8</v>
      </c>
      <c r="AG28" t="n">
        <v>25</v>
      </c>
      <c r="AH28" t="n">
        <v>2</v>
      </c>
      <c r="AI28" t="n">
        <v>10</v>
      </c>
      <c r="AJ28" t="n">
        <v>0</v>
      </c>
      <c r="AK28" t="n">
        <v>3</v>
      </c>
      <c r="AL28" t="n">
        <v>4</v>
      </c>
      <c r="AM28" t="n">
        <v>14</v>
      </c>
      <c r="AN28" t="n">
        <v>3</v>
      </c>
      <c r="AO28" t="n">
        <v>5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HYPERLINK("https://creighton-primo.hosted.exlibrisgroup.com/primo-explore/search?tab=default_tab&amp;search_scope=EVERYTHING&amp;vid=01CRU&amp;lang=en_US&amp;offset=0&amp;query=any,contains,991001459249702656","Catalog Record")</f>
        <v/>
      </c>
      <c r="AV28">
        <f>HYPERLINK("http://www.worldcat.org/oclc/225874498","WorldCat Record")</f>
        <v/>
      </c>
      <c r="AW28" t="inlineStr">
        <is>
          <t>5945800:eng</t>
        </is>
      </c>
      <c r="AX28" t="inlineStr">
        <is>
          <t>225874498</t>
        </is>
      </c>
      <c r="AY28" t="inlineStr">
        <is>
          <t>991001459249702656</t>
        </is>
      </c>
      <c r="AZ28" t="inlineStr">
        <is>
          <t>991001459249702656</t>
        </is>
      </c>
      <c r="BA28" t="inlineStr">
        <is>
          <t>2267871170002656</t>
        </is>
      </c>
      <c r="BB28" t="inlineStr">
        <is>
          <t>BOOK</t>
        </is>
      </c>
      <c r="BD28" t="inlineStr">
        <is>
          <t>9781416046639</t>
        </is>
      </c>
      <c r="BE28" t="inlineStr">
        <is>
          <t>30001004916070</t>
        </is>
      </c>
      <c r="BF28" t="inlineStr">
        <is>
          <t>893268531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QV 4 K89p 1972</t>
        </is>
      </c>
      <c r="E29" t="inlineStr">
        <is>
          <t>0                      QV 0004000K  89p         1972</t>
        </is>
      </c>
      <c r="F29" t="inlineStr">
        <is>
          <t>Krantz and Carr's Pharmacologic principles of medical practice : a textbook on pharmacology and therapeutics for students and practitioners of medicine, pharmacy, and dentistry / [by] Domingo M. Aviado. Foreword by Alfred Gellhorn. Appendix by Harry Salem.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Krantz, John C. (John Christian), 1899-1983.</t>
        </is>
      </c>
      <c r="N29" t="inlineStr">
        <is>
          <t>Baltimore : Williams &amp; Wilkins, [1972]</t>
        </is>
      </c>
      <c r="O29" t="inlineStr">
        <is>
          <t>1972</t>
        </is>
      </c>
      <c r="P29" t="inlineStr">
        <is>
          <t>8th ed.</t>
        </is>
      </c>
      <c r="Q29" t="inlineStr">
        <is>
          <t>eng</t>
        </is>
      </c>
      <c r="R29" t="inlineStr">
        <is>
          <t>mdu</t>
        </is>
      </c>
      <c r="T29" t="inlineStr">
        <is>
          <t xml:space="preserve">QV </t>
        </is>
      </c>
      <c r="U29" t="n">
        <v>3</v>
      </c>
      <c r="V29" t="n">
        <v>3</v>
      </c>
      <c r="W29" t="inlineStr">
        <is>
          <t>2000-01-20</t>
        </is>
      </c>
      <c r="X29" t="inlineStr">
        <is>
          <t>2000-01-20</t>
        </is>
      </c>
      <c r="Y29" t="inlineStr">
        <is>
          <t>1988-01-20</t>
        </is>
      </c>
      <c r="Z29" t="inlineStr">
        <is>
          <t>1988-01-20</t>
        </is>
      </c>
      <c r="AA29" t="n">
        <v>151</v>
      </c>
      <c r="AB29" t="n">
        <v>121</v>
      </c>
      <c r="AC29" t="n">
        <v>122</v>
      </c>
      <c r="AD29" t="n">
        <v>1</v>
      </c>
      <c r="AE29" t="n">
        <v>1</v>
      </c>
      <c r="AF29" t="n">
        <v>3</v>
      </c>
      <c r="AG29" t="n">
        <v>3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0</v>
      </c>
      <c r="AO29" t="n">
        <v>0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HYPERLINK("http://catalog.hathitrust.org/Record/001579221","HathiTrust Record")</f>
        <v/>
      </c>
      <c r="AU29">
        <f>HYPERLINK("https://creighton-primo.hosted.exlibrisgroup.com/primo-explore/search?tab=default_tab&amp;search_scope=EVERYTHING&amp;vid=01CRU&amp;lang=en_US&amp;offset=0&amp;query=any,contains,991000917849702656","Catalog Record")</f>
        <v/>
      </c>
      <c r="AV29">
        <f>HYPERLINK("http://www.worldcat.org/oclc/524452","WorldCat Record")</f>
        <v/>
      </c>
      <c r="AW29" t="inlineStr">
        <is>
          <t>3858104439:eng</t>
        </is>
      </c>
      <c r="AX29" t="inlineStr">
        <is>
          <t>524452</t>
        </is>
      </c>
      <c r="AY29" t="inlineStr">
        <is>
          <t>991000917849702656</t>
        </is>
      </c>
      <c r="AZ29" t="inlineStr">
        <is>
          <t>991000917849702656</t>
        </is>
      </c>
      <c r="BA29" t="inlineStr">
        <is>
          <t>2260993390002656</t>
        </is>
      </c>
      <c r="BB29" t="inlineStr">
        <is>
          <t>BOOK</t>
        </is>
      </c>
      <c r="BE29" t="inlineStr">
        <is>
          <t>30001000179913</t>
        </is>
      </c>
      <c r="BF29" t="inlineStr">
        <is>
          <t>893826176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QV4 L523p 2004</t>
        </is>
      </c>
      <c r="E30" t="inlineStr">
        <is>
          <t>0                      QV 0004000L  523p        2004</t>
        </is>
      </c>
      <c r="F30" t="inlineStr">
        <is>
          <t>Pharmacology for nursing care / Richard A. Lehne, in consultation with Linda A. Moore, Leanna J. Crosby, Diane B. Hamilton.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Yes</t>
        </is>
      </c>
      <c r="L30" t="inlineStr">
        <is>
          <t>0</t>
        </is>
      </c>
      <c r="M30" t="inlineStr">
        <is>
          <t>Lehne, Richard A., 1943-</t>
        </is>
      </c>
      <c r="N30" t="inlineStr">
        <is>
          <t>St. Louis, Mo. : Saunders, c2004.</t>
        </is>
      </c>
      <c r="O30" t="inlineStr">
        <is>
          <t>2004</t>
        </is>
      </c>
      <c r="P30" t="inlineStr">
        <is>
          <t>5th ed.</t>
        </is>
      </c>
      <c r="Q30" t="inlineStr">
        <is>
          <t>eng</t>
        </is>
      </c>
      <c r="R30" t="inlineStr">
        <is>
          <t>mou</t>
        </is>
      </c>
      <c r="T30" t="inlineStr">
        <is>
          <t xml:space="preserve">QV </t>
        </is>
      </c>
      <c r="U30" t="n">
        <v>53</v>
      </c>
      <c r="V30" t="n">
        <v>53</v>
      </c>
      <c r="W30" t="inlineStr">
        <is>
          <t>2007-06-01</t>
        </is>
      </c>
      <c r="X30" t="inlineStr">
        <is>
          <t>2007-06-01</t>
        </is>
      </c>
      <c r="Y30" t="inlineStr">
        <is>
          <t>2004-01-21</t>
        </is>
      </c>
      <c r="Z30" t="inlineStr">
        <is>
          <t>2004-01-21</t>
        </is>
      </c>
      <c r="AA30" t="n">
        <v>251</v>
      </c>
      <c r="AB30" t="n">
        <v>186</v>
      </c>
      <c r="AC30" t="n">
        <v>712</v>
      </c>
      <c r="AD30" t="n">
        <v>1</v>
      </c>
      <c r="AE30" t="n">
        <v>6</v>
      </c>
      <c r="AF30" t="n">
        <v>2</v>
      </c>
      <c r="AG30" t="n">
        <v>23</v>
      </c>
      <c r="AH30" t="n">
        <v>0</v>
      </c>
      <c r="AI30" t="n">
        <v>9</v>
      </c>
      <c r="AJ30" t="n">
        <v>0</v>
      </c>
      <c r="AK30" t="n">
        <v>5</v>
      </c>
      <c r="AL30" t="n">
        <v>2</v>
      </c>
      <c r="AM30" t="n">
        <v>13</v>
      </c>
      <c r="AN30" t="n">
        <v>0</v>
      </c>
      <c r="AO30" t="n">
        <v>3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HYPERLINK("http://catalog.hathitrust.org/Record/004352379","HathiTrust Record")</f>
        <v/>
      </c>
      <c r="AU30">
        <f>HYPERLINK("https://creighton-primo.hosted.exlibrisgroup.com/primo-explore/search?tab=default_tab&amp;search_scope=EVERYTHING&amp;vid=01CRU&amp;lang=en_US&amp;offset=0&amp;query=any,contains,991001725529702656","Catalog Record")</f>
        <v/>
      </c>
      <c r="AV30">
        <f>HYPERLINK("http://www.worldcat.org/oclc/53954891","WorldCat Record")</f>
        <v/>
      </c>
      <c r="AW30" t="inlineStr">
        <is>
          <t>731798:eng</t>
        </is>
      </c>
      <c r="AX30" t="inlineStr">
        <is>
          <t>53954891</t>
        </is>
      </c>
      <c r="AY30" t="inlineStr">
        <is>
          <t>991001725529702656</t>
        </is>
      </c>
      <c r="AZ30" t="inlineStr">
        <is>
          <t>991001725529702656</t>
        </is>
      </c>
      <c r="BA30" t="inlineStr">
        <is>
          <t>2256726250002656</t>
        </is>
      </c>
      <c r="BB30" t="inlineStr">
        <is>
          <t>BOOK</t>
        </is>
      </c>
      <c r="BD30" t="inlineStr">
        <is>
          <t>9780721698434</t>
        </is>
      </c>
      <c r="BE30" t="inlineStr">
        <is>
          <t>30001004508596</t>
        </is>
      </c>
      <c r="BF30" t="inlineStr">
        <is>
          <t>893460886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QV 4 L729p 1996</t>
        </is>
      </c>
      <c r="E31" t="inlineStr">
        <is>
          <t>0                      QV 0004000L  729p        1996</t>
        </is>
      </c>
      <c r="F31" t="inlineStr">
        <is>
          <t>Pharmacology and the nursing process / Linda Lane Lilley, Robert S. Aucker, Joseph A. Albanese ; with contributions by Richard E. Lake, Carol Ruscin.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Yes</t>
        </is>
      </c>
      <c r="L31" t="inlineStr">
        <is>
          <t>0</t>
        </is>
      </c>
      <c r="M31" t="inlineStr">
        <is>
          <t>Lilley, Linda Lane.</t>
        </is>
      </c>
      <c r="N31" t="inlineStr">
        <is>
          <t>St. Louis : Mosby, c1996.</t>
        </is>
      </c>
      <c r="O31" t="inlineStr">
        <is>
          <t>1996</t>
        </is>
      </c>
      <c r="Q31" t="inlineStr">
        <is>
          <t>eng</t>
        </is>
      </c>
      <c r="R31" t="inlineStr">
        <is>
          <t>mou</t>
        </is>
      </c>
      <c r="T31" t="inlineStr">
        <is>
          <t xml:space="preserve">QV </t>
        </is>
      </c>
      <c r="U31" t="n">
        <v>14</v>
      </c>
      <c r="V31" t="n">
        <v>14</v>
      </c>
      <c r="W31" t="inlineStr">
        <is>
          <t>2005-11-16</t>
        </is>
      </c>
      <c r="X31" t="inlineStr">
        <is>
          <t>2005-11-16</t>
        </is>
      </c>
      <c r="Y31" t="inlineStr">
        <is>
          <t>1997-01-17</t>
        </is>
      </c>
      <c r="Z31" t="inlineStr">
        <is>
          <t>1997-01-17</t>
        </is>
      </c>
      <c r="AA31" t="n">
        <v>132</v>
      </c>
      <c r="AB31" t="n">
        <v>97</v>
      </c>
      <c r="AC31" t="n">
        <v>926</v>
      </c>
      <c r="AD31" t="n">
        <v>1</v>
      </c>
      <c r="AE31" t="n">
        <v>3</v>
      </c>
      <c r="AF31" t="n">
        <v>4</v>
      </c>
      <c r="AG31" t="n">
        <v>22</v>
      </c>
      <c r="AH31" t="n">
        <v>2</v>
      </c>
      <c r="AI31" t="n">
        <v>8</v>
      </c>
      <c r="AJ31" t="n">
        <v>0</v>
      </c>
      <c r="AK31" t="n">
        <v>5</v>
      </c>
      <c r="AL31" t="n">
        <v>2</v>
      </c>
      <c r="AM31" t="n">
        <v>10</v>
      </c>
      <c r="AN31" t="n">
        <v>0</v>
      </c>
      <c r="AO31" t="n">
        <v>2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HYPERLINK("http://catalog.hathitrust.org/Record/003052681","HathiTrust Record")</f>
        <v/>
      </c>
      <c r="AU31">
        <f>HYPERLINK("https://creighton-primo.hosted.exlibrisgroup.com/primo-explore/search?tab=default_tab&amp;search_scope=EVERYTHING&amp;vid=01CRU&amp;lang=en_US&amp;offset=0&amp;query=any,contains,991001552189702656","Catalog Record")</f>
        <v/>
      </c>
      <c r="AV31">
        <f>HYPERLINK("http://www.worldcat.org/oclc/33439085","WorldCat Record")</f>
        <v/>
      </c>
      <c r="AW31" t="inlineStr">
        <is>
          <t>897295:eng</t>
        </is>
      </c>
      <c r="AX31" t="inlineStr">
        <is>
          <t>33439085</t>
        </is>
      </c>
      <c r="AY31" t="inlineStr">
        <is>
          <t>991001552189702656</t>
        </is>
      </c>
      <c r="AZ31" t="inlineStr">
        <is>
          <t>991001552189702656</t>
        </is>
      </c>
      <c r="BA31" t="inlineStr">
        <is>
          <t>2261968530002656</t>
        </is>
      </c>
      <c r="BB31" t="inlineStr">
        <is>
          <t>BOOK</t>
        </is>
      </c>
      <c r="BD31" t="inlineStr">
        <is>
          <t>9780801678936</t>
        </is>
      </c>
      <c r="BE31" t="inlineStr">
        <is>
          <t>30001003474170</t>
        </is>
      </c>
      <c r="BF31" t="inlineStr">
        <is>
          <t>893546814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QV 4 M259p 1995</t>
        </is>
      </c>
      <c r="E32" t="inlineStr">
        <is>
          <t>0                      QV 0004000M  259p        1995</t>
        </is>
      </c>
      <c r="F32" t="inlineStr">
        <is>
          <t>Pharmacology : drug therapy and nursing considerations / Roger T. Malseed, Frederick J. Goldstein, Nancy Balkon.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Malseed, Roger T. (Roger Thomas)</t>
        </is>
      </c>
      <c r="N32" t="inlineStr">
        <is>
          <t>Philadelphia : Lippincott, c1995.</t>
        </is>
      </c>
      <c r="O32" t="inlineStr">
        <is>
          <t>1995</t>
        </is>
      </c>
      <c r="P32" t="inlineStr">
        <is>
          <t>4th ed.</t>
        </is>
      </c>
      <c r="Q32" t="inlineStr">
        <is>
          <t>eng</t>
        </is>
      </c>
      <c r="R32" t="inlineStr">
        <is>
          <t>pau</t>
        </is>
      </c>
      <c r="T32" t="inlineStr">
        <is>
          <t xml:space="preserve">QV </t>
        </is>
      </c>
      <c r="U32" t="n">
        <v>6</v>
      </c>
      <c r="V32" t="n">
        <v>6</v>
      </c>
      <c r="W32" t="inlineStr">
        <is>
          <t>2004-10-15</t>
        </is>
      </c>
      <c r="X32" t="inlineStr">
        <is>
          <t>2004-10-15</t>
        </is>
      </c>
      <c r="Y32" t="inlineStr">
        <is>
          <t>1996-09-10</t>
        </is>
      </c>
      <c r="Z32" t="inlineStr">
        <is>
          <t>1996-09-10</t>
        </is>
      </c>
      <c r="AA32" t="n">
        <v>187</v>
      </c>
      <c r="AB32" t="n">
        <v>142</v>
      </c>
      <c r="AC32" t="n">
        <v>339</v>
      </c>
      <c r="AD32" t="n">
        <v>1</v>
      </c>
      <c r="AE32" t="n">
        <v>4</v>
      </c>
      <c r="AF32" t="n">
        <v>3</v>
      </c>
      <c r="AG32" t="n">
        <v>10</v>
      </c>
      <c r="AH32" t="n">
        <v>1</v>
      </c>
      <c r="AI32" t="n">
        <v>4</v>
      </c>
      <c r="AJ32" t="n">
        <v>1</v>
      </c>
      <c r="AK32" t="n">
        <v>2</v>
      </c>
      <c r="AL32" t="n">
        <v>2</v>
      </c>
      <c r="AM32" t="n">
        <v>6</v>
      </c>
      <c r="AN32" t="n">
        <v>0</v>
      </c>
      <c r="AO32" t="n">
        <v>1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HYPERLINK("http://catalog.hathitrust.org/Record/002954630","HathiTrust Record")</f>
        <v/>
      </c>
      <c r="AU32">
        <f>HYPERLINK("https://creighton-primo.hosted.exlibrisgroup.com/primo-explore/search?tab=default_tab&amp;search_scope=EVERYTHING&amp;vid=01CRU&amp;lang=en_US&amp;offset=0&amp;query=any,contains,991001769159702656","Catalog Record")</f>
        <v/>
      </c>
      <c r="AV32">
        <f>HYPERLINK("http://www.worldcat.org/oclc/31076972","WorldCat Record")</f>
        <v/>
      </c>
      <c r="AW32" t="inlineStr">
        <is>
          <t>3837496:eng</t>
        </is>
      </c>
      <c r="AX32" t="inlineStr">
        <is>
          <t>31076972</t>
        </is>
      </c>
      <c r="AY32" t="inlineStr">
        <is>
          <t>991001769159702656</t>
        </is>
      </c>
      <c r="AZ32" t="inlineStr">
        <is>
          <t>991001769159702656</t>
        </is>
      </c>
      <c r="BA32" t="inlineStr">
        <is>
          <t>2271740410002656</t>
        </is>
      </c>
      <c r="BB32" t="inlineStr">
        <is>
          <t>BOOK</t>
        </is>
      </c>
      <c r="BD32" t="inlineStr">
        <is>
          <t>9780397550616</t>
        </is>
      </c>
      <c r="BE32" t="inlineStr">
        <is>
          <t>30001003441682</t>
        </is>
      </c>
      <c r="BF32" t="inlineStr">
        <is>
          <t>893816674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QV 4 M478m 1998</t>
        </is>
      </c>
      <c r="E33" t="inlineStr">
        <is>
          <t>0                      QV 0004000M  478m        1998</t>
        </is>
      </c>
      <c r="F33" t="inlineStr">
        <is>
          <t>Mosby's pharmacology in nursing / Leda M. McKenry, Evelyn Salerno.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Yes</t>
        </is>
      </c>
      <c r="L33" t="inlineStr">
        <is>
          <t>0</t>
        </is>
      </c>
      <c r="M33" t="inlineStr">
        <is>
          <t>McKenry, Leda M.</t>
        </is>
      </c>
      <c r="N33" t="inlineStr">
        <is>
          <t>St. Louis, Mo. : Mosby, c1998.</t>
        </is>
      </c>
      <c r="O33" t="inlineStr">
        <is>
          <t>1998</t>
        </is>
      </c>
      <c r="P33" t="inlineStr">
        <is>
          <t>20th ed.</t>
        </is>
      </c>
      <c r="Q33" t="inlineStr">
        <is>
          <t>eng</t>
        </is>
      </c>
      <c r="R33" t="inlineStr">
        <is>
          <t>mou</t>
        </is>
      </c>
      <c r="T33" t="inlineStr">
        <is>
          <t xml:space="preserve">QV </t>
        </is>
      </c>
      <c r="U33" t="n">
        <v>6</v>
      </c>
      <c r="V33" t="n">
        <v>6</v>
      </c>
      <c r="W33" t="inlineStr">
        <is>
          <t>2005-11-16</t>
        </is>
      </c>
      <c r="X33" t="inlineStr">
        <is>
          <t>2005-11-16</t>
        </is>
      </c>
      <c r="Y33" t="inlineStr">
        <is>
          <t>1998-04-14</t>
        </is>
      </c>
      <c r="Z33" t="inlineStr">
        <is>
          <t>1998-04-14</t>
        </is>
      </c>
      <c r="AA33" t="n">
        <v>235</v>
      </c>
      <c r="AB33" t="n">
        <v>200</v>
      </c>
      <c r="AC33" t="n">
        <v>782</v>
      </c>
      <c r="AD33" t="n">
        <v>1</v>
      </c>
      <c r="AE33" t="n">
        <v>4</v>
      </c>
      <c r="AF33" t="n">
        <v>5</v>
      </c>
      <c r="AG33" t="n">
        <v>16</v>
      </c>
      <c r="AH33" t="n">
        <v>3</v>
      </c>
      <c r="AI33" t="n">
        <v>6</v>
      </c>
      <c r="AJ33" t="n">
        <v>1</v>
      </c>
      <c r="AK33" t="n">
        <v>3</v>
      </c>
      <c r="AL33" t="n">
        <v>1</v>
      </c>
      <c r="AM33" t="n">
        <v>8</v>
      </c>
      <c r="AN33" t="n">
        <v>0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HYPERLINK("http://catalog.hathitrust.org/Record/003958608","HathiTrust Record")</f>
        <v/>
      </c>
      <c r="AU33">
        <f>HYPERLINK("https://creighton-primo.hosted.exlibrisgroup.com/primo-explore/search?tab=default_tab&amp;search_scope=EVERYTHING&amp;vid=01CRU&amp;lang=en_US&amp;offset=0&amp;query=any,contains,991001564509702656","Catalog Record")</f>
        <v/>
      </c>
      <c r="AV33">
        <f>HYPERLINK("http://www.worldcat.org/oclc/40517045","WorldCat Record")</f>
        <v/>
      </c>
      <c r="AW33" t="inlineStr">
        <is>
          <t>4928562265:eng</t>
        </is>
      </c>
      <c r="AX33" t="inlineStr">
        <is>
          <t>40517045</t>
        </is>
      </c>
      <c r="AY33" t="inlineStr">
        <is>
          <t>991001564509702656</t>
        </is>
      </c>
      <c r="AZ33" t="inlineStr">
        <is>
          <t>991001564509702656</t>
        </is>
      </c>
      <c r="BA33" t="inlineStr">
        <is>
          <t>2271752040002656</t>
        </is>
      </c>
      <c r="BB33" t="inlineStr">
        <is>
          <t>BOOK</t>
        </is>
      </c>
      <c r="BD33" t="inlineStr">
        <is>
          <t>9780815145158</t>
        </is>
      </c>
      <c r="BE33" t="inlineStr">
        <is>
          <t>30001004051290</t>
        </is>
      </c>
      <c r="BF33" t="inlineStr">
        <is>
          <t>893168272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QV4  M478M 2006 &amp; WORKBOOK</t>
        </is>
      </c>
      <c r="E34" t="inlineStr">
        <is>
          <t>0                      QV 0004000M  478M        2006                                        &amp; WORKBOOK</t>
        </is>
      </c>
      <c r="F34" t="inlineStr">
        <is>
          <t>Mosby's pharmacology in nursing / Leda McKenry, Ed Tessier, MaryAnn Hogan.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Yes</t>
        </is>
      </c>
      <c r="L34" t="inlineStr">
        <is>
          <t>0</t>
        </is>
      </c>
      <c r="M34" t="inlineStr">
        <is>
          <t>McKenry, Leda M.</t>
        </is>
      </c>
      <c r="N34" t="inlineStr">
        <is>
          <t>St. Louis, Mo. : Elsevier Mosby, c2006.</t>
        </is>
      </c>
      <c r="O34" t="inlineStr">
        <is>
          <t>2006</t>
        </is>
      </c>
      <c r="P34" t="inlineStr">
        <is>
          <t>22nd ed.</t>
        </is>
      </c>
      <c r="Q34" t="inlineStr">
        <is>
          <t>eng</t>
        </is>
      </c>
      <c r="R34" t="inlineStr">
        <is>
          <t>mou</t>
        </is>
      </c>
      <c r="T34" t="inlineStr">
        <is>
          <t xml:space="preserve">QV </t>
        </is>
      </c>
      <c r="U34" t="n">
        <v>1</v>
      </c>
      <c r="V34" t="n">
        <v>1</v>
      </c>
      <c r="W34" t="inlineStr">
        <is>
          <t>2007-01-24</t>
        </is>
      </c>
      <c r="X34" t="inlineStr">
        <is>
          <t>2007-01-24</t>
        </is>
      </c>
      <c r="Y34" t="inlineStr">
        <is>
          <t>2006-03-30</t>
        </is>
      </c>
      <c r="Z34" t="inlineStr">
        <is>
          <t>2006-03-30</t>
        </is>
      </c>
      <c r="AA34" t="n">
        <v>330</v>
      </c>
      <c r="AB34" t="n">
        <v>250</v>
      </c>
      <c r="AC34" t="n">
        <v>782</v>
      </c>
      <c r="AD34" t="n">
        <v>2</v>
      </c>
      <c r="AE34" t="n">
        <v>4</v>
      </c>
      <c r="AF34" t="n">
        <v>8</v>
      </c>
      <c r="AG34" t="n">
        <v>16</v>
      </c>
      <c r="AH34" t="n">
        <v>3</v>
      </c>
      <c r="AI34" t="n">
        <v>6</v>
      </c>
      <c r="AJ34" t="n">
        <v>0</v>
      </c>
      <c r="AK34" t="n">
        <v>3</v>
      </c>
      <c r="AL34" t="n">
        <v>4</v>
      </c>
      <c r="AM34" t="n">
        <v>8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HYPERLINK("https://creighton-primo.hosted.exlibrisgroup.com/primo-explore/search?tab=default_tab&amp;search_scope=EVERYTHING&amp;vid=01CRU&amp;lang=en_US&amp;offset=0&amp;query=any,contains,991001738269702656","Catalog Record")</f>
        <v/>
      </c>
      <c r="AV34">
        <f>HYPERLINK("http://www.worldcat.org/oclc/65195229","WorldCat Record")</f>
        <v/>
      </c>
      <c r="AW34" t="inlineStr">
        <is>
          <t>4928562265:eng</t>
        </is>
      </c>
      <c r="AX34" t="inlineStr">
        <is>
          <t>65195229</t>
        </is>
      </c>
      <c r="AY34" t="inlineStr">
        <is>
          <t>991001738269702656</t>
        </is>
      </c>
      <c r="AZ34" t="inlineStr">
        <is>
          <t>991001738269702656</t>
        </is>
      </c>
      <c r="BA34" t="inlineStr">
        <is>
          <t>2264524000002656</t>
        </is>
      </c>
      <c r="BB34" t="inlineStr">
        <is>
          <t>BOOK</t>
        </is>
      </c>
      <c r="BD34" t="inlineStr">
        <is>
          <t>9780323030083</t>
        </is>
      </c>
      <c r="BE34" t="inlineStr">
        <is>
          <t>30001005126349</t>
        </is>
      </c>
      <c r="BF34" t="inlineStr">
        <is>
          <t>893374972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QV 4 M6895 1994</t>
        </is>
      </c>
      <c r="E35" t="inlineStr">
        <is>
          <t>0                      QV 0004000M  6895        1994</t>
        </is>
      </c>
      <c r="F35" t="inlineStr">
        <is>
          <t>Modern pharmacology / edited by Charles R. Craig, Robert E. Stitzel.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Boston : Little, Brown, c1994.</t>
        </is>
      </c>
      <c r="O35" t="inlineStr">
        <is>
          <t>1994</t>
        </is>
      </c>
      <c r="P35" t="inlineStr">
        <is>
          <t>4th ed.</t>
        </is>
      </c>
      <c r="Q35" t="inlineStr">
        <is>
          <t>eng</t>
        </is>
      </c>
      <c r="R35" t="inlineStr">
        <is>
          <t>mau</t>
        </is>
      </c>
      <c r="T35" t="inlineStr">
        <is>
          <t xml:space="preserve">QV </t>
        </is>
      </c>
      <c r="U35" t="n">
        <v>86</v>
      </c>
      <c r="V35" t="n">
        <v>86</v>
      </c>
      <c r="W35" t="inlineStr">
        <is>
          <t>2004-11-05</t>
        </is>
      </c>
      <c r="X35" t="inlineStr">
        <is>
          <t>2004-11-05</t>
        </is>
      </c>
      <c r="Y35" t="inlineStr">
        <is>
          <t>1994-08-04</t>
        </is>
      </c>
      <c r="Z35" t="inlineStr">
        <is>
          <t>1994-08-04</t>
        </is>
      </c>
      <c r="AA35" t="n">
        <v>189</v>
      </c>
      <c r="AB35" t="n">
        <v>126</v>
      </c>
      <c r="AC35" t="n">
        <v>287</v>
      </c>
      <c r="AD35" t="n">
        <v>1</v>
      </c>
      <c r="AE35" t="n">
        <v>2</v>
      </c>
      <c r="AF35" t="n">
        <v>1</v>
      </c>
      <c r="AG35" t="n">
        <v>7</v>
      </c>
      <c r="AH35" t="n">
        <v>0</v>
      </c>
      <c r="AI35" t="n">
        <v>1</v>
      </c>
      <c r="AJ35" t="n">
        <v>0</v>
      </c>
      <c r="AK35" t="n">
        <v>3</v>
      </c>
      <c r="AL35" t="n">
        <v>1</v>
      </c>
      <c r="AM35" t="n">
        <v>3</v>
      </c>
      <c r="AN35" t="n">
        <v>0</v>
      </c>
      <c r="AO35" t="n">
        <v>1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HYPERLINK("http://catalog.hathitrust.org/Record/002795724","HathiTrust Record")</f>
        <v/>
      </c>
      <c r="AU35">
        <f>HYPERLINK("https://creighton-primo.hosted.exlibrisgroup.com/primo-explore/search?tab=default_tab&amp;search_scope=EVERYTHING&amp;vid=01CRU&amp;lang=en_US&amp;offset=0&amp;query=any,contains,991001119779702656","Catalog Record")</f>
        <v/>
      </c>
      <c r="AV35">
        <f>HYPERLINK("http://www.worldcat.org/oclc/28929399","WorldCat Record")</f>
        <v/>
      </c>
      <c r="AW35" t="inlineStr">
        <is>
          <t>350527569:eng</t>
        </is>
      </c>
      <c r="AX35" t="inlineStr">
        <is>
          <t>28929399</t>
        </is>
      </c>
      <c r="AY35" t="inlineStr">
        <is>
          <t>991001119779702656</t>
        </is>
      </c>
      <c r="AZ35" t="inlineStr">
        <is>
          <t>991001119779702656</t>
        </is>
      </c>
      <c r="BA35" t="inlineStr">
        <is>
          <t>2270676410002656</t>
        </is>
      </c>
      <c r="BB35" t="inlineStr">
        <is>
          <t>BOOK</t>
        </is>
      </c>
      <c r="BD35" t="inlineStr">
        <is>
          <t>9780316159326</t>
        </is>
      </c>
      <c r="BE35" t="inlineStr">
        <is>
          <t>30001002950196</t>
        </is>
      </c>
      <c r="BF35" t="inlineStr">
        <is>
          <t>893161693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QV4 M6898 2004</t>
        </is>
      </c>
      <c r="E36" t="inlineStr">
        <is>
          <t>0                      QV 0004000M  6898        2004</t>
        </is>
      </c>
      <c r="F36" t="inlineStr">
        <is>
          <t>Modern pharmacology with clinical applications / edited by Charles R. Craig, Robert E. Stitzel.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0</t>
        </is>
      </c>
      <c r="N36" t="inlineStr">
        <is>
          <t>Philadelphia : Lippincott Williams &amp; Wilkins, c2004.</t>
        </is>
      </c>
      <c r="O36" t="inlineStr">
        <is>
          <t>2004</t>
        </is>
      </c>
      <c r="P36" t="inlineStr">
        <is>
          <t>6th ed.</t>
        </is>
      </c>
      <c r="Q36" t="inlineStr">
        <is>
          <t>eng</t>
        </is>
      </c>
      <c r="R36" t="inlineStr">
        <is>
          <t>pau</t>
        </is>
      </c>
      <c r="T36" t="inlineStr">
        <is>
          <t xml:space="preserve">QV </t>
        </is>
      </c>
      <c r="U36" t="n">
        <v>15</v>
      </c>
      <c r="V36" t="n">
        <v>15</v>
      </c>
      <c r="W36" t="inlineStr">
        <is>
          <t>2007-11-28</t>
        </is>
      </c>
      <c r="X36" t="inlineStr">
        <is>
          <t>2007-11-28</t>
        </is>
      </c>
      <c r="Y36" t="inlineStr">
        <is>
          <t>2005-11-09</t>
        </is>
      </c>
      <c r="Z36" t="inlineStr">
        <is>
          <t>2005-11-09</t>
        </is>
      </c>
      <c r="AA36" t="n">
        <v>273</v>
      </c>
      <c r="AB36" t="n">
        <v>183</v>
      </c>
      <c r="AC36" t="n">
        <v>259</v>
      </c>
      <c r="AD36" t="n">
        <v>2</v>
      </c>
      <c r="AE36" t="n">
        <v>2</v>
      </c>
      <c r="AF36" t="n">
        <v>8</v>
      </c>
      <c r="AG36" t="n">
        <v>10</v>
      </c>
      <c r="AH36" t="n">
        <v>3</v>
      </c>
      <c r="AI36" t="n">
        <v>4</v>
      </c>
      <c r="AJ36" t="n">
        <v>1</v>
      </c>
      <c r="AK36" t="n">
        <v>1</v>
      </c>
      <c r="AL36" t="n">
        <v>3</v>
      </c>
      <c r="AM36" t="n">
        <v>4</v>
      </c>
      <c r="AN36" t="n">
        <v>1</v>
      </c>
      <c r="AO36" t="n">
        <v>1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HYPERLINK("https://creighton-primo.hosted.exlibrisgroup.com/primo-explore/search?tab=default_tab&amp;search_scope=EVERYTHING&amp;vid=01CRU&amp;lang=en_US&amp;offset=0&amp;query=any,contains,991000448159702656","Catalog Record")</f>
        <v/>
      </c>
      <c r="AV36">
        <f>HYPERLINK("http://www.worldcat.org/oclc/51258187","WorldCat Record")</f>
        <v/>
      </c>
      <c r="AW36" t="inlineStr">
        <is>
          <t>350365446:eng</t>
        </is>
      </c>
      <c r="AX36" t="inlineStr">
        <is>
          <t>51258187</t>
        </is>
      </c>
      <c r="AY36" t="inlineStr">
        <is>
          <t>991000448159702656</t>
        </is>
      </c>
      <c r="AZ36" t="inlineStr">
        <is>
          <t>991000448159702656</t>
        </is>
      </c>
      <c r="BA36" t="inlineStr">
        <is>
          <t>2268284680002656</t>
        </is>
      </c>
      <c r="BB36" t="inlineStr">
        <is>
          <t>BOOK</t>
        </is>
      </c>
      <c r="BD36" t="inlineStr">
        <is>
          <t>9780781737623</t>
        </is>
      </c>
      <c r="BE36" t="inlineStr">
        <is>
          <t>30001004911253</t>
        </is>
      </c>
      <c r="BF36" t="inlineStr">
        <is>
          <t>893456745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QV 4 M698 1997</t>
        </is>
      </c>
      <c r="E37" t="inlineStr">
        <is>
          <t>0                      QV 0004000M  698         1997</t>
        </is>
      </c>
      <c r="F37" t="inlineStr">
        <is>
          <t>Modern pharmacology with clinical applications / edited by Charles R. Craig, Robert E. Stitzel.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Yes</t>
        </is>
      </c>
      <c r="L37" t="inlineStr">
        <is>
          <t>0</t>
        </is>
      </c>
      <c r="N37" t="inlineStr">
        <is>
          <t>Boston : Little, Brown, c1997.</t>
        </is>
      </c>
      <c r="O37" t="inlineStr">
        <is>
          <t>1997</t>
        </is>
      </c>
      <c r="P37" t="inlineStr">
        <is>
          <t>5th ed.</t>
        </is>
      </c>
      <c r="Q37" t="inlineStr">
        <is>
          <t>eng</t>
        </is>
      </c>
      <c r="R37" t="inlineStr">
        <is>
          <t>mau</t>
        </is>
      </c>
      <c r="T37" t="inlineStr">
        <is>
          <t xml:space="preserve">QV </t>
        </is>
      </c>
      <c r="U37" t="n">
        <v>28</v>
      </c>
      <c r="V37" t="n">
        <v>28</v>
      </c>
      <c r="W37" t="inlineStr">
        <is>
          <t>2008-04-25</t>
        </is>
      </c>
      <c r="X37" t="inlineStr">
        <is>
          <t>2008-04-25</t>
        </is>
      </c>
      <c r="Y37" t="inlineStr">
        <is>
          <t>1997-04-14</t>
        </is>
      </c>
      <c r="Z37" t="inlineStr">
        <is>
          <t>1997-04-14</t>
        </is>
      </c>
      <c r="AA37" t="n">
        <v>211</v>
      </c>
      <c r="AB37" t="n">
        <v>144</v>
      </c>
      <c r="AC37" t="n">
        <v>259</v>
      </c>
      <c r="AD37" t="n">
        <v>1</v>
      </c>
      <c r="AE37" t="n">
        <v>2</v>
      </c>
      <c r="AF37" t="n">
        <v>5</v>
      </c>
      <c r="AG37" t="n">
        <v>10</v>
      </c>
      <c r="AH37" t="n">
        <v>2</v>
      </c>
      <c r="AI37" t="n">
        <v>4</v>
      </c>
      <c r="AJ37" t="n">
        <v>1</v>
      </c>
      <c r="AK37" t="n">
        <v>1</v>
      </c>
      <c r="AL37" t="n">
        <v>2</v>
      </c>
      <c r="AM37" t="n">
        <v>4</v>
      </c>
      <c r="AN37" t="n">
        <v>0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HYPERLINK("http://catalog.hathitrust.org/Record/003126395","HathiTrust Record")</f>
        <v/>
      </c>
      <c r="AU37">
        <f>HYPERLINK("https://creighton-primo.hosted.exlibrisgroup.com/primo-explore/search?tab=default_tab&amp;search_scope=EVERYTHING&amp;vid=01CRU&amp;lang=en_US&amp;offset=0&amp;query=any,contains,991000839499702656","Catalog Record")</f>
        <v/>
      </c>
      <c r="AV37">
        <f>HYPERLINK("http://www.worldcat.org/oclc/34912638","WorldCat Record")</f>
        <v/>
      </c>
      <c r="AW37" t="inlineStr">
        <is>
          <t>350365446:eng</t>
        </is>
      </c>
      <c r="AX37" t="inlineStr">
        <is>
          <t>34912638</t>
        </is>
      </c>
      <c r="AY37" t="inlineStr">
        <is>
          <t>991000839499702656</t>
        </is>
      </c>
      <c r="AZ37" t="inlineStr">
        <is>
          <t>991000839499702656</t>
        </is>
      </c>
      <c r="BA37" t="inlineStr">
        <is>
          <t>2258900780002656</t>
        </is>
      </c>
      <c r="BB37" t="inlineStr">
        <is>
          <t>BOOK</t>
        </is>
      </c>
      <c r="BD37" t="inlineStr">
        <is>
          <t>9780316159340</t>
        </is>
      </c>
      <c r="BE37" t="inlineStr">
        <is>
          <t>30001003443670</t>
        </is>
      </c>
      <c r="BF37" t="inlineStr">
        <is>
          <t>893557312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QV 4 S326i 1975</t>
        </is>
      </c>
      <c r="E38" t="inlineStr">
        <is>
          <t>0                      QV 0004000S  326i        1975</t>
        </is>
      </c>
      <c r="F38" t="inlineStr">
        <is>
          <t>Introductory clinical pharmacology / by Jeanne C. Scherer.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Yes</t>
        </is>
      </c>
      <c r="L38" t="inlineStr">
        <is>
          <t>0</t>
        </is>
      </c>
      <c r="M38" t="inlineStr">
        <is>
          <t>Scherer, Jeanne C.</t>
        </is>
      </c>
      <c r="N38" t="inlineStr">
        <is>
          <t>Philadelphia : Lippincott, 1975.</t>
        </is>
      </c>
      <c r="O38" t="inlineStr">
        <is>
          <t>1975</t>
        </is>
      </c>
      <c r="Q38" t="inlineStr">
        <is>
          <t>eng</t>
        </is>
      </c>
      <c r="R38" t="inlineStr">
        <is>
          <t>pau</t>
        </is>
      </c>
      <c r="T38" t="inlineStr">
        <is>
          <t xml:space="preserve">QV </t>
        </is>
      </c>
      <c r="U38" t="n">
        <v>6</v>
      </c>
      <c r="V38" t="n">
        <v>6</v>
      </c>
      <c r="W38" t="inlineStr">
        <is>
          <t>2001-06-16</t>
        </is>
      </c>
      <c r="X38" t="inlineStr">
        <is>
          <t>2001-06-16</t>
        </is>
      </c>
      <c r="Y38" t="inlineStr">
        <is>
          <t>1988-01-20</t>
        </is>
      </c>
      <c r="Z38" t="inlineStr">
        <is>
          <t>1988-01-20</t>
        </is>
      </c>
      <c r="AA38" t="n">
        <v>127</v>
      </c>
      <c r="AB38" t="n">
        <v>110</v>
      </c>
      <c r="AC38" t="n">
        <v>526</v>
      </c>
      <c r="AD38" t="n">
        <v>2</v>
      </c>
      <c r="AE38" t="n">
        <v>3</v>
      </c>
      <c r="AF38" t="n">
        <v>3</v>
      </c>
      <c r="AG38" t="n">
        <v>13</v>
      </c>
      <c r="AH38" t="n">
        <v>1</v>
      </c>
      <c r="AI38" t="n">
        <v>5</v>
      </c>
      <c r="AJ38" t="n">
        <v>0</v>
      </c>
      <c r="AK38" t="n">
        <v>4</v>
      </c>
      <c r="AL38" t="n">
        <v>1</v>
      </c>
      <c r="AM38" t="n">
        <v>6</v>
      </c>
      <c r="AN38" t="n">
        <v>1</v>
      </c>
      <c r="AO38" t="n">
        <v>2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HYPERLINK("http://catalog.hathitrust.org/Record/000020504","HathiTrust Record")</f>
        <v/>
      </c>
      <c r="AU38">
        <f>HYPERLINK("https://creighton-primo.hosted.exlibrisgroup.com/primo-explore/search?tab=default_tab&amp;search_scope=EVERYTHING&amp;vid=01CRU&amp;lang=en_US&amp;offset=0&amp;query=any,contains,991000947129702656","Catalog Record")</f>
        <v/>
      </c>
      <c r="AV38">
        <f>HYPERLINK("http://www.worldcat.org/oclc/1218402","WorldCat Record")</f>
        <v/>
      </c>
      <c r="AW38" t="inlineStr">
        <is>
          <t>2111701:eng</t>
        </is>
      </c>
      <c r="AX38" t="inlineStr">
        <is>
          <t>1218402</t>
        </is>
      </c>
      <c r="AY38" t="inlineStr">
        <is>
          <t>991000947129702656</t>
        </is>
      </c>
      <c r="AZ38" t="inlineStr">
        <is>
          <t>991000947129702656</t>
        </is>
      </c>
      <c r="BA38" t="inlineStr">
        <is>
          <t>2271805250002656</t>
        </is>
      </c>
      <c r="BB38" t="inlineStr">
        <is>
          <t>BOOK</t>
        </is>
      </c>
      <c r="BD38" t="inlineStr">
        <is>
          <t>9780397541645</t>
        </is>
      </c>
      <c r="BE38" t="inlineStr">
        <is>
          <t>30001000190134</t>
        </is>
      </c>
      <c r="BF38" t="inlineStr">
        <is>
          <t>893287133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QV 4 S558n 1993</t>
        </is>
      </c>
      <c r="E39" t="inlineStr">
        <is>
          <t>0                      QV 0004000S  558n        1993</t>
        </is>
      </c>
      <c r="F39" t="inlineStr">
        <is>
          <t>The nurse, pharmacology, and drug therapy : a prototype approach / Marshal Shlafer.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Shlafer, Marshal.</t>
        </is>
      </c>
      <c r="N39" t="inlineStr">
        <is>
          <t>Redwood City, Calif. : Addison-Wesley Nursing, c1993.</t>
        </is>
      </c>
      <c r="O39" t="inlineStr">
        <is>
          <t>1993</t>
        </is>
      </c>
      <c r="P39" t="inlineStr">
        <is>
          <t>2nd ed.</t>
        </is>
      </c>
      <c r="Q39" t="inlineStr">
        <is>
          <t>eng</t>
        </is>
      </c>
      <c r="R39" t="inlineStr">
        <is>
          <t>cau</t>
        </is>
      </c>
      <c r="T39" t="inlineStr">
        <is>
          <t xml:space="preserve">QV </t>
        </is>
      </c>
      <c r="U39" t="n">
        <v>90</v>
      </c>
      <c r="V39" t="n">
        <v>90</v>
      </c>
      <c r="W39" t="inlineStr">
        <is>
          <t>1997-10-30</t>
        </is>
      </c>
      <c r="X39" t="inlineStr">
        <is>
          <t>1997-10-30</t>
        </is>
      </c>
      <c r="Y39" t="inlineStr">
        <is>
          <t>1993-06-01</t>
        </is>
      </c>
      <c r="Z39" t="inlineStr">
        <is>
          <t>1993-06-01</t>
        </is>
      </c>
      <c r="AA39" t="n">
        <v>173</v>
      </c>
      <c r="AB39" t="n">
        <v>136</v>
      </c>
      <c r="AC39" t="n">
        <v>238</v>
      </c>
      <c r="AD39" t="n">
        <v>3</v>
      </c>
      <c r="AE39" t="n">
        <v>3</v>
      </c>
      <c r="AF39" t="n">
        <v>2</v>
      </c>
      <c r="AG39" t="n">
        <v>6</v>
      </c>
      <c r="AH39" t="n">
        <v>0</v>
      </c>
      <c r="AI39" t="n">
        <v>3</v>
      </c>
      <c r="AJ39" t="n">
        <v>1</v>
      </c>
      <c r="AK39" t="n">
        <v>2</v>
      </c>
      <c r="AL39" t="n">
        <v>2</v>
      </c>
      <c r="AM39" t="n">
        <v>4</v>
      </c>
      <c r="AN39" t="n">
        <v>0</v>
      </c>
      <c r="AO39" t="n">
        <v>0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HYPERLINK("http://catalog.hathitrust.org/Record/004546240","HathiTrust Record")</f>
        <v/>
      </c>
      <c r="AU39">
        <f>HYPERLINK("https://creighton-primo.hosted.exlibrisgroup.com/primo-explore/search?tab=default_tab&amp;search_scope=EVERYTHING&amp;vid=01CRU&amp;lang=en_US&amp;offset=0&amp;query=any,contains,991001479729702656","Catalog Record")</f>
        <v/>
      </c>
      <c r="AV39">
        <f>HYPERLINK("http://www.worldcat.org/oclc/27218119","WorldCat Record")</f>
        <v/>
      </c>
      <c r="AW39" t="inlineStr">
        <is>
          <t>894511015:eng</t>
        </is>
      </c>
      <c r="AX39" t="inlineStr">
        <is>
          <t>27218119</t>
        </is>
      </c>
      <c r="AY39" t="inlineStr">
        <is>
          <t>991001479729702656</t>
        </is>
      </c>
      <c r="AZ39" t="inlineStr">
        <is>
          <t>991001479729702656</t>
        </is>
      </c>
      <c r="BA39" t="inlineStr">
        <is>
          <t>2264945960002656</t>
        </is>
      </c>
      <c r="BB39" t="inlineStr">
        <is>
          <t>BOOK</t>
        </is>
      </c>
      <c r="BD39" t="inlineStr">
        <is>
          <t>9780805372410</t>
        </is>
      </c>
      <c r="BE39" t="inlineStr">
        <is>
          <t>30001002566786</t>
        </is>
      </c>
      <c r="BF39" t="inlineStr">
        <is>
          <t>893279142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QV 4 S777b 1985</t>
        </is>
      </c>
      <c r="E40" t="inlineStr">
        <is>
          <t>0                      QV 0004000S  777b        1985</t>
        </is>
      </c>
      <c r="F40" t="inlineStr">
        <is>
          <t>Squire's Basic pharmacology for nurses.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Squire, Jessie E.</t>
        </is>
      </c>
      <c r="N40" t="inlineStr">
        <is>
          <t>St. Louis : Mosby, c1985.</t>
        </is>
      </c>
      <c r="O40" t="inlineStr">
        <is>
          <t>1985</t>
        </is>
      </c>
      <c r="P40" t="inlineStr">
        <is>
          <t>8th ed. / Bruce D. Clayton, Yvonne N. Stock, Jessie E. Squire ; illustrated by Lana Carter Maher.</t>
        </is>
      </c>
      <c r="Q40" t="inlineStr">
        <is>
          <t>eng</t>
        </is>
      </c>
      <c r="R40" t="inlineStr">
        <is>
          <t>xxu</t>
        </is>
      </c>
      <c r="T40" t="inlineStr">
        <is>
          <t xml:space="preserve">QV </t>
        </is>
      </c>
      <c r="U40" t="n">
        <v>8</v>
      </c>
      <c r="V40" t="n">
        <v>8</v>
      </c>
      <c r="W40" t="inlineStr">
        <is>
          <t>1994-06-21</t>
        </is>
      </c>
      <c r="X40" t="inlineStr">
        <is>
          <t>1994-06-21</t>
        </is>
      </c>
      <c r="Y40" t="inlineStr">
        <is>
          <t>1988-01-27</t>
        </is>
      </c>
      <c r="Z40" t="inlineStr">
        <is>
          <t>1988-01-27</t>
        </is>
      </c>
      <c r="AA40" t="n">
        <v>157</v>
      </c>
      <c r="AB40" t="n">
        <v>133</v>
      </c>
      <c r="AC40" t="n">
        <v>135</v>
      </c>
      <c r="AD40" t="n">
        <v>3</v>
      </c>
      <c r="AE40" t="n">
        <v>3</v>
      </c>
      <c r="AF40" t="n">
        <v>4</v>
      </c>
      <c r="AG40" t="n">
        <v>4</v>
      </c>
      <c r="AH40" t="n">
        <v>1</v>
      </c>
      <c r="AI40" t="n">
        <v>1</v>
      </c>
      <c r="AJ40" t="n">
        <v>1</v>
      </c>
      <c r="AK40" t="n">
        <v>1</v>
      </c>
      <c r="AL40" t="n">
        <v>2</v>
      </c>
      <c r="AM40" t="n">
        <v>2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HYPERLINK("http://catalog.hathitrust.org/Record/000569813","HathiTrust Record")</f>
        <v/>
      </c>
      <c r="AU40">
        <f>HYPERLINK("https://creighton-primo.hosted.exlibrisgroup.com/primo-explore/search?tab=default_tab&amp;search_scope=EVERYTHING&amp;vid=01CRU&amp;lang=en_US&amp;offset=0&amp;query=any,contains,991000946889702656","Catalog Record")</f>
        <v/>
      </c>
      <c r="AV40">
        <f>HYPERLINK("http://www.worldcat.org/oclc/11649350","WorldCat Record")</f>
        <v/>
      </c>
      <c r="AW40" t="inlineStr">
        <is>
          <t>3901061877:eng</t>
        </is>
      </c>
      <c r="AX40" t="inlineStr">
        <is>
          <t>11649350</t>
        </is>
      </c>
      <c r="AY40" t="inlineStr">
        <is>
          <t>991000946889702656</t>
        </is>
      </c>
      <c r="AZ40" t="inlineStr">
        <is>
          <t>991000946889702656</t>
        </is>
      </c>
      <c r="BA40" t="inlineStr">
        <is>
          <t>2260830660002656</t>
        </is>
      </c>
      <c r="BB40" t="inlineStr">
        <is>
          <t>BOOK</t>
        </is>
      </c>
      <c r="BD40" t="inlineStr">
        <is>
          <t>9780801612602</t>
        </is>
      </c>
      <c r="BE40" t="inlineStr">
        <is>
          <t>30001000190084</t>
        </is>
      </c>
      <c r="BF40" t="inlineStr">
        <is>
          <t>893551960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QV 4 S918b 1996</t>
        </is>
      </c>
      <c r="E41" t="inlineStr">
        <is>
          <t>0                      QV 0004000S  918b        1996</t>
        </is>
      </c>
      <c r="F41" t="inlineStr">
        <is>
          <t>Basic concepts in pharmacology : a student's survival guide / Janet L. Stringer.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Yes</t>
        </is>
      </c>
      <c r="L41" t="inlineStr">
        <is>
          <t>0</t>
        </is>
      </c>
      <c r="M41" t="inlineStr">
        <is>
          <t>Stringer, Janet L.</t>
        </is>
      </c>
      <c r="N41" t="inlineStr">
        <is>
          <t>New York : McGraw-Hill, Health Professions Division, c1996.</t>
        </is>
      </c>
      <c r="O41" t="inlineStr">
        <is>
          <t>1996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QV </t>
        </is>
      </c>
      <c r="U41" t="n">
        <v>18</v>
      </c>
      <c r="V41" t="n">
        <v>18</v>
      </c>
      <c r="W41" t="inlineStr">
        <is>
          <t>2009-05-11</t>
        </is>
      </c>
      <c r="X41" t="inlineStr">
        <is>
          <t>2009-05-11</t>
        </is>
      </c>
      <c r="Y41" t="inlineStr">
        <is>
          <t>1997-09-09</t>
        </is>
      </c>
      <c r="Z41" t="inlineStr">
        <is>
          <t>1997-09-09</t>
        </is>
      </c>
      <c r="AA41" t="n">
        <v>127</v>
      </c>
      <c r="AB41" t="n">
        <v>93</v>
      </c>
      <c r="AC41" t="n">
        <v>202</v>
      </c>
      <c r="AD41" t="n">
        <v>1</v>
      </c>
      <c r="AE41" t="n">
        <v>1</v>
      </c>
      <c r="AF41" t="n">
        <v>7</v>
      </c>
      <c r="AG41" t="n">
        <v>11</v>
      </c>
      <c r="AH41" t="n">
        <v>1</v>
      </c>
      <c r="AI41" t="n">
        <v>5</v>
      </c>
      <c r="AJ41" t="n">
        <v>2</v>
      </c>
      <c r="AK41" t="n">
        <v>3</v>
      </c>
      <c r="AL41" t="n">
        <v>5</v>
      </c>
      <c r="AM41" t="n">
        <v>5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HYPERLINK("http://catalog.hathitrust.org/Record/003067158","HathiTrust Record")</f>
        <v/>
      </c>
      <c r="AU41">
        <f>HYPERLINK("https://creighton-primo.hosted.exlibrisgroup.com/primo-explore/search?tab=default_tab&amp;search_scope=EVERYTHING&amp;vid=01CRU&amp;lang=en_US&amp;offset=0&amp;query=any,contains,991001559339702656","Catalog Record")</f>
        <v/>
      </c>
      <c r="AV41">
        <f>HYPERLINK("http://www.worldcat.org/oclc/33105346","WorldCat Record")</f>
        <v/>
      </c>
      <c r="AW41" t="inlineStr">
        <is>
          <t>40538:eng</t>
        </is>
      </c>
      <c r="AX41" t="inlineStr">
        <is>
          <t>33105346</t>
        </is>
      </c>
      <c r="AY41" t="inlineStr">
        <is>
          <t>991001559339702656</t>
        </is>
      </c>
      <c r="AZ41" t="inlineStr">
        <is>
          <t>991001559339702656</t>
        </is>
      </c>
      <c r="BA41" t="inlineStr">
        <is>
          <t>2263248180002656</t>
        </is>
      </c>
      <c r="BB41" t="inlineStr">
        <is>
          <t>BOOK</t>
        </is>
      </c>
      <c r="BD41" t="inlineStr">
        <is>
          <t>9780070631656</t>
        </is>
      </c>
      <c r="BE41" t="inlineStr">
        <is>
          <t>30001003605807</t>
        </is>
      </c>
      <c r="BF41" t="inlineStr">
        <is>
          <t>893832310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QV 4 S979n 1991</t>
        </is>
      </c>
      <c r="E42" t="inlineStr">
        <is>
          <t>0                      QV 0004000S  979n        1991</t>
        </is>
      </c>
      <c r="F42" t="inlineStr">
        <is>
          <t>Nursing pharmacology : an integrated approach to drug therapy and nursing practice / Alvin K. Swonger, Myrtle P. Matejski.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Swonger, Alvin K.</t>
        </is>
      </c>
      <c r="N42" t="inlineStr">
        <is>
          <t>Philadelphia : Lippincott, c1991.</t>
        </is>
      </c>
      <c r="O42" t="inlineStr">
        <is>
          <t>1991</t>
        </is>
      </c>
      <c r="P42" t="inlineStr">
        <is>
          <t>2nd ed.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QV </t>
        </is>
      </c>
      <c r="U42" t="n">
        <v>2</v>
      </c>
      <c r="V42" t="n">
        <v>2</v>
      </c>
      <c r="W42" t="inlineStr">
        <is>
          <t>1995-09-09</t>
        </is>
      </c>
      <c r="X42" t="inlineStr">
        <is>
          <t>1995-09-09</t>
        </is>
      </c>
      <c r="Y42" t="inlineStr">
        <is>
          <t>1991-04-30</t>
        </is>
      </c>
      <c r="Z42" t="inlineStr">
        <is>
          <t>1991-04-30</t>
        </is>
      </c>
      <c r="AA42" t="n">
        <v>183</v>
      </c>
      <c r="AB42" t="n">
        <v>145</v>
      </c>
      <c r="AC42" t="n">
        <v>263</v>
      </c>
      <c r="AD42" t="n">
        <v>1</v>
      </c>
      <c r="AE42" t="n">
        <v>3</v>
      </c>
      <c r="AF42" t="n">
        <v>3</v>
      </c>
      <c r="AG42" t="n">
        <v>6</v>
      </c>
      <c r="AH42" t="n">
        <v>1</v>
      </c>
      <c r="AI42" t="n">
        <v>3</v>
      </c>
      <c r="AJ42" t="n">
        <v>0</v>
      </c>
      <c r="AK42" t="n">
        <v>0</v>
      </c>
      <c r="AL42" t="n">
        <v>2</v>
      </c>
      <c r="AM42" t="n">
        <v>4</v>
      </c>
      <c r="AN42" t="n">
        <v>0</v>
      </c>
      <c r="AO42" t="n">
        <v>1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HYPERLINK("http://catalog.hathitrust.org/Record/002432718","HathiTrust Record")</f>
        <v/>
      </c>
      <c r="AU42">
        <f>HYPERLINK("https://creighton-primo.hosted.exlibrisgroup.com/primo-explore/search?tab=default_tab&amp;search_scope=EVERYTHING&amp;vid=01CRU&amp;lang=en_US&amp;offset=0&amp;query=any,contains,991000935059702656","Catalog Record")</f>
        <v/>
      </c>
      <c r="AV42">
        <f>HYPERLINK("http://www.worldcat.org/oclc/22110607","WorldCat Record")</f>
        <v/>
      </c>
      <c r="AW42" t="inlineStr">
        <is>
          <t>290952779:eng</t>
        </is>
      </c>
      <c r="AX42" t="inlineStr">
        <is>
          <t>22110607</t>
        </is>
      </c>
      <c r="AY42" t="inlineStr">
        <is>
          <t>991000935059702656</t>
        </is>
      </c>
      <c r="AZ42" t="inlineStr">
        <is>
          <t>991000935059702656</t>
        </is>
      </c>
      <c r="BA42" t="inlineStr">
        <is>
          <t>2269852120002656</t>
        </is>
      </c>
      <c r="BB42" t="inlineStr">
        <is>
          <t>BOOK</t>
        </is>
      </c>
      <c r="BD42" t="inlineStr">
        <is>
          <t>9780397548545</t>
        </is>
      </c>
      <c r="BE42" t="inlineStr">
        <is>
          <t>30001002190538</t>
        </is>
      </c>
      <c r="BF42" t="inlineStr">
        <is>
          <t>893643029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QV 4 W893e 1992</t>
        </is>
      </c>
      <c r="E43" t="inlineStr">
        <is>
          <t>0                      QV 0004000W  893e        1992</t>
        </is>
      </c>
      <c r="F43" t="inlineStr">
        <is>
          <t>Essentials of pharmacology for health occupations / Ruth Woodrow.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Woodrow, Ruth.</t>
        </is>
      </c>
      <c r="N43" t="inlineStr">
        <is>
          <t>Albany, N.Y. : Delmar Publishers, c1992 [i.e. 1991]</t>
        </is>
      </c>
      <c r="O43" t="inlineStr">
        <is>
          <t>1991</t>
        </is>
      </c>
      <c r="P43" t="inlineStr">
        <is>
          <t>2nd ed.</t>
        </is>
      </c>
      <c r="Q43" t="inlineStr">
        <is>
          <t>eng</t>
        </is>
      </c>
      <c r="R43" t="inlineStr">
        <is>
          <t>nyu</t>
        </is>
      </c>
      <c r="T43" t="inlineStr">
        <is>
          <t xml:space="preserve">QV </t>
        </is>
      </c>
      <c r="U43" t="n">
        <v>9</v>
      </c>
      <c r="V43" t="n">
        <v>9</v>
      </c>
      <c r="W43" t="inlineStr">
        <is>
          <t>1998-01-23</t>
        </is>
      </c>
      <c r="X43" t="inlineStr">
        <is>
          <t>1998-01-23</t>
        </is>
      </c>
      <c r="Y43" t="inlineStr">
        <is>
          <t>1992-02-28</t>
        </is>
      </c>
      <c r="Z43" t="inlineStr">
        <is>
          <t>1992-02-28</t>
        </is>
      </c>
      <c r="AA43" t="n">
        <v>77</v>
      </c>
      <c r="AB43" t="n">
        <v>58</v>
      </c>
      <c r="AC43" t="n">
        <v>460</v>
      </c>
      <c r="AD43" t="n">
        <v>1</v>
      </c>
      <c r="AE43" t="n">
        <v>3</v>
      </c>
      <c r="AF43" t="n">
        <v>0</v>
      </c>
      <c r="AG43" t="n">
        <v>9</v>
      </c>
      <c r="AH43" t="n">
        <v>0</v>
      </c>
      <c r="AI43" t="n">
        <v>2</v>
      </c>
      <c r="AJ43" t="n">
        <v>0</v>
      </c>
      <c r="AK43" t="n">
        <v>3</v>
      </c>
      <c r="AL43" t="n">
        <v>0</v>
      </c>
      <c r="AM43" t="n">
        <v>4</v>
      </c>
      <c r="AN43" t="n">
        <v>0</v>
      </c>
      <c r="AO43" t="n">
        <v>2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HYPERLINK("https://creighton-primo.hosted.exlibrisgroup.com/primo-explore/search?tab=default_tab&amp;search_scope=EVERYTHING&amp;vid=01CRU&amp;lang=en_US&amp;offset=0&amp;query=any,contains,991001298029702656","Catalog Record")</f>
        <v/>
      </c>
      <c r="AV43">
        <f>HYPERLINK("http://www.worldcat.org/oclc/23286681","WorldCat Record")</f>
        <v/>
      </c>
      <c r="AW43" t="inlineStr">
        <is>
          <t>263703:eng</t>
        </is>
      </c>
      <c r="AX43" t="inlineStr">
        <is>
          <t>23286681</t>
        </is>
      </c>
      <c r="AY43" t="inlineStr">
        <is>
          <t>991001298029702656</t>
        </is>
      </c>
      <c r="AZ43" t="inlineStr">
        <is>
          <t>991001298029702656</t>
        </is>
      </c>
      <c r="BA43" t="inlineStr">
        <is>
          <t>2272183830002656</t>
        </is>
      </c>
      <c r="BB43" t="inlineStr">
        <is>
          <t>BOOK</t>
        </is>
      </c>
      <c r="BD43" t="inlineStr">
        <is>
          <t>9780827345997</t>
        </is>
      </c>
      <c r="BE43" t="inlineStr">
        <is>
          <t>30001002410480</t>
        </is>
      </c>
      <c r="BF43" t="inlineStr">
        <is>
          <t>893638214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QV 9 B616 1987</t>
        </is>
      </c>
      <c r="E44" t="inlineStr">
        <is>
          <t>0                      QV 0009000B  616         1987</t>
        </is>
      </c>
      <c r="F44" t="inlineStr">
        <is>
          <t>Biotechnologically derived medical agents : the scientific basis of their regulation : proceedings of a conference / sponsored and organized by Interscience, Paris, September 10-13, 1987 ; editors, John L. Gueriguian, Vittorio Fattorusso, Duilio Poggiolini.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New York, N.Y : Raven Press, c1988.</t>
        </is>
      </c>
      <c r="O44" t="inlineStr">
        <is>
          <t>1988</t>
        </is>
      </c>
      <c r="Q44" t="inlineStr">
        <is>
          <t>eng</t>
        </is>
      </c>
      <c r="R44" t="inlineStr">
        <is>
          <t>nyu</t>
        </is>
      </c>
      <c r="T44" t="inlineStr">
        <is>
          <t xml:space="preserve">QV </t>
        </is>
      </c>
      <c r="U44" t="n">
        <v>3</v>
      </c>
      <c r="V44" t="n">
        <v>3</v>
      </c>
      <c r="W44" t="inlineStr">
        <is>
          <t>1995-06-20</t>
        </is>
      </c>
      <c r="X44" t="inlineStr">
        <is>
          <t>1995-06-20</t>
        </is>
      </c>
      <c r="Y44" t="inlineStr">
        <is>
          <t>1989-02-17</t>
        </is>
      </c>
      <c r="Z44" t="inlineStr">
        <is>
          <t>1989-02-17</t>
        </is>
      </c>
      <c r="AA44" t="n">
        <v>80</v>
      </c>
      <c r="AB44" t="n">
        <v>61</v>
      </c>
      <c r="AC44" t="n">
        <v>64</v>
      </c>
      <c r="AD44" t="n">
        <v>1</v>
      </c>
      <c r="AE44" t="n">
        <v>1</v>
      </c>
      <c r="AF44" t="n">
        <v>1</v>
      </c>
      <c r="AG44" t="n">
        <v>1</v>
      </c>
      <c r="AH44" t="n">
        <v>0</v>
      </c>
      <c r="AI44" t="n">
        <v>0</v>
      </c>
      <c r="AJ44" t="n">
        <v>1</v>
      </c>
      <c r="AK44" t="n">
        <v>1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HYPERLINK("http://catalog.hathitrust.org/Record/001549921","HathiTrust Record")</f>
        <v/>
      </c>
      <c r="AU44">
        <f>HYPERLINK("https://creighton-primo.hosted.exlibrisgroup.com/primo-explore/search?tab=default_tab&amp;search_scope=EVERYTHING&amp;vid=01CRU&amp;lang=en_US&amp;offset=0&amp;query=any,contains,991001120879702656","Catalog Record")</f>
        <v/>
      </c>
      <c r="AV44">
        <f>HYPERLINK("http://www.worldcat.org/oclc/18537731","WorldCat Record")</f>
        <v/>
      </c>
      <c r="AW44" t="inlineStr">
        <is>
          <t>903481344:eng</t>
        </is>
      </c>
      <c r="AX44" t="inlineStr">
        <is>
          <t>18537731</t>
        </is>
      </c>
      <c r="AY44" t="inlineStr">
        <is>
          <t>991001120879702656</t>
        </is>
      </c>
      <c r="AZ44" t="inlineStr">
        <is>
          <t>991001120879702656</t>
        </is>
      </c>
      <c r="BA44" t="inlineStr">
        <is>
          <t>2270010060002656</t>
        </is>
      </c>
      <c r="BB44" t="inlineStr">
        <is>
          <t>BOOK</t>
        </is>
      </c>
      <c r="BE44" t="inlineStr">
        <is>
          <t>30001001614454</t>
        </is>
      </c>
      <c r="BF44" t="inlineStr">
        <is>
          <t>893374272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QV 11 AA1 M5b 1962</t>
        </is>
      </c>
      <c r="E45" t="inlineStr">
        <is>
          <t>0                      QV 0011000AA 1                  M  5b          1962</t>
        </is>
      </c>
      <c r="F45" t="inlineStr">
        <is>
          <t>By their fruits : some historic contributions to the chemistry of life, with chapters by Selman A. Waksman and Vannevar Bush. [Ed. by Osgood Nichols]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Merck Sharp &amp; Dohme.</t>
        </is>
      </c>
      <c r="N45" t="inlineStr">
        <is>
          <t>Rahway, N. J. : Merck, 1963, c1962.</t>
        </is>
      </c>
      <c r="O45" t="inlineStr">
        <is>
          <t>1963</t>
        </is>
      </c>
      <c r="Q45" t="inlineStr">
        <is>
          <t>eng</t>
        </is>
      </c>
      <c r="R45" t="inlineStr">
        <is>
          <t xml:space="preserve">xx </t>
        </is>
      </c>
      <c r="T45" t="inlineStr">
        <is>
          <t xml:space="preserve">QV </t>
        </is>
      </c>
      <c r="U45" t="n">
        <v>1</v>
      </c>
      <c r="V45" t="n">
        <v>1</v>
      </c>
      <c r="W45" t="inlineStr">
        <is>
          <t>1996-02-19</t>
        </is>
      </c>
      <c r="X45" t="inlineStr">
        <is>
          <t>1996-02-19</t>
        </is>
      </c>
      <c r="Y45" t="inlineStr">
        <is>
          <t>1988-01-20</t>
        </is>
      </c>
      <c r="Z45" t="inlineStr">
        <is>
          <t>1988-01-20</t>
        </is>
      </c>
      <c r="AA45" t="n">
        <v>23</v>
      </c>
      <c r="AB45" t="n">
        <v>23</v>
      </c>
      <c r="AC45" t="n">
        <v>23</v>
      </c>
      <c r="AD45" t="n">
        <v>1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HYPERLINK("https://creighton-primo.hosted.exlibrisgroup.com/primo-explore/search?tab=default_tab&amp;search_scope=EVERYTHING&amp;vid=01CRU&amp;lang=en_US&amp;offset=0&amp;query=any,contains,991000947949702656","Catalog Record")</f>
        <v/>
      </c>
      <c r="AV45">
        <f>HYPERLINK("http://www.worldcat.org/oclc/14549965","WorldCat Record")</f>
        <v/>
      </c>
      <c r="AW45" t="inlineStr">
        <is>
          <t>5609093431:eng</t>
        </is>
      </c>
      <c r="AX45" t="inlineStr">
        <is>
          <t>14549965</t>
        </is>
      </c>
      <c r="AY45" t="inlineStr">
        <is>
          <t>991000947949702656</t>
        </is>
      </c>
      <c r="AZ45" t="inlineStr">
        <is>
          <t>991000947949702656</t>
        </is>
      </c>
      <c r="BA45" t="inlineStr">
        <is>
          <t>2263782890002656</t>
        </is>
      </c>
      <c r="BB45" t="inlineStr">
        <is>
          <t>BOOK</t>
        </is>
      </c>
      <c r="BE45" t="inlineStr">
        <is>
          <t>30001000190332</t>
        </is>
      </c>
      <c r="BF45" t="inlineStr">
        <is>
          <t>893167970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QV 11 AA1 W722c 1998</t>
        </is>
      </c>
      <c r="E46" t="inlineStr">
        <is>
          <t>0                      QV 0011000AA 1                  W  722c        1998</t>
        </is>
      </c>
      <c r="F46" t="inlineStr">
        <is>
          <t>A century of service and beyond : a history of one hundred years of leadership for independent pharmacy / by C. Fred Williams.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Williams, C. Fred.</t>
        </is>
      </c>
      <c r="N46" t="inlineStr">
        <is>
          <t>Alexandria, VA : NCPA, c1998.</t>
        </is>
      </c>
      <c r="O46" t="inlineStr">
        <is>
          <t>1998</t>
        </is>
      </c>
      <c r="Q46" t="inlineStr">
        <is>
          <t>eng</t>
        </is>
      </c>
      <c r="R46" t="inlineStr">
        <is>
          <t>vau</t>
        </is>
      </c>
      <c r="T46" t="inlineStr">
        <is>
          <t xml:space="preserve">QV </t>
        </is>
      </c>
      <c r="U46" t="n">
        <v>6</v>
      </c>
      <c r="V46" t="n">
        <v>6</v>
      </c>
      <c r="W46" t="inlineStr">
        <is>
          <t>2003-01-28</t>
        </is>
      </c>
      <c r="X46" t="inlineStr">
        <is>
          <t>2003-01-28</t>
        </is>
      </c>
      <c r="Y46" t="inlineStr">
        <is>
          <t>1999-04-30</t>
        </is>
      </c>
      <c r="Z46" t="inlineStr">
        <is>
          <t>1999-04-30</t>
        </is>
      </c>
      <c r="AA46" t="n">
        <v>54</v>
      </c>
      <c r="AB46" t="n">
        <v>52</v>
      </c>
      <c r="AC46" t="n">
        <v>54</v>
      </c>
      <c r="AD46" t="n">
        <v>1</v>
      </c>
      <c r="AE46" t="n">
        <v>1</v>
      </c>
      <c r="AF46" t="n">
        <v>3</v>
      </c>
      <c r="AG46" t="n">
        <v>3</v>
      </c>
      <c r="AH46" t="n">
        <v>2</v>
      </c>
      <c r="AI46" t="n">
        <v>2</v>
      </c>
      <c r="AJ46" t="n">
        <v>1</v>
      </c>
      <c r="AK46" t="n">
        <v>1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HYPERLINK("http://catalog.hathitrust.org/Record/004198190","HathiTrust Record")</f>
        <v/>
      </c>
      <c r="AU46">
        <f>HYPERLINK("https://creighton-primo.hosted.exlibrisgroup.com/primo-explore/search?tab=default_tab&amp;search_scope=EVERYTHING&amp;vid=01CRU&amp;lang=en_US&amp;offset=0&amp;query=any,contains,991001557589702656","Catalog Record")</f>
        <v/>
      </c>
      <c r="AV46">
        <f>HYPERLINK("http://www.worldcat.org/oclc/40604657","WorldCat Record")</f>
        <v/>
      </c>
      <c r="AW46" t="inlineStr">
        <is>
          <t>435964471:eng</t>
        </is>
      </c>
      <c r="AX46" t="inlineStr">
        <is>
          <t>40604657</t>
        </is>
      </c>
      <c r="AY46" t="inlineStr">
        <is>
          <t>991001557589702656</t>
        </is>
      </c>
      <c r="AZ46" t="inlineStr">
        <is>
          <t>991001557589702656</t>
        </is>
      </c>
      <c r="BA46" t="inlineStr">
        <is>
          <t>2256855490002656</t>
        </is>
      </c>
      <c r="BB46" t="inlineStr">
        <is>
          <t>BOOK</t>
        </is>
      </c>
      <c r="BD46" t="inlineStr">
        <is>
          <t>9780966806700</t>
        </is>
      </c>
      <c r="BE46" t="inlineStr">
        <is>
          <t>30001004072155</t>
        </is>
      </c>
      <c r="BF46" t="inlineStr">
        <is>
          <t>893465649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QV 11.1 P974 1978</t>
        </is>
      </c>
      <c r="E47" t="inlineStr">
        <is>
          <t>0                      QV 0011100P  974         1978</t>
        </is>
      </c>
      <c r="F47" t="inlineStr">
        <is>
          <t>Psychopharmacology : a generation of progress / editors, Morris A. Lipton, Alberto DiMascio, Keith F. Killam.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New York : Raven Press, 1981, c1978.</t>
        </is>
      </c>
      <c r="O47" t="inlineStr">
        <is>
          <t>1978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QV </t>
        </is>
      </c>
      <c r="U47" t="n">
        <v>8</v>
      </c>
      <c r="V47" t="n">
        <v>8</v>
      </c>
      <c r="W47" t="inlineStr">
        <is>
          <t>2010-03-25</t>
        </is>
      </c>
      <c r="X47" t="inlineStr">
        <is>
          <t>2010-03-25</t>
        </is>
      </c>
      <c r="Y47" t="inlineStr">
        <is>
          <t>1988-01-27</t>
        </is>
      </c>
      <c r="Z47" t="inlineStr">
        <is>
          <t>1988-01-27</t>
        </is>
      </c>
      <c r="AA47" t="n">
        <v>441</v>
      </c>
      <c r="AB47" t="n">
        <v>318</v>
      </c>
      <c r="AC47" t="n">
        <v>325</v>
      </c>
      <c r="AD47" t="n">
        <v>1</v>
      </c>
      <c r="AE47" t="n">
        <v>1</v>
      </c>
      <c r="AF47" t="n">
        <v>8</v>
      </c>
      <c r="AG47" t="n">
        <v>8</v>
      </c>
      <c r="AH47" t="n">
        <v>3</v>
      </c>
      <c r="AI47" t="n">
        <v>3</v>
      </c>
      <c r="AJ47" t="n">
        <v>2</v>
      </c>
      <c r="AK47" t="n">
        <v>2</v>
      </c>
      <c r="AL47" t="n">
        <v>7</v>
      </c>
      <c r="AM47" t="n">
        <v>7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HYPERLINK("http://catalog.hathitrust.org/Record/000751228","HathiTrust Record")</f>
        <v/>
      </c>
      <c r="AU47">
        <f>HYPERLINK("https://creighton-primo.hosted.exlibrisgroup.com/primo-explore/search?tab=default_tab&amp;search_scope=EVERYTHING&amp;vid=01CRU&amp;lang=en_US&amp;offset=0&amp;query=any,contains,991000947829702656","Catalog Record")</f>
        <v/>
      </c>
      <c r="AV47">
        <f>HYPERLINK("http://www.worldcat.org/oclc/3396533","WorldCat Record")</f>
        <v/>
      </c>
      <c r="AW47" t="inlineStr">
        <is>
          <t>889735138:eng</t>
        </is>
      </c>
      <c r="AX47" t="inlineStr">
        <is>
          <t>3396533</t>
        </is>
      </c>
      <c r="AY47" t="inlineStr">
        <is>
          <t>991000947829702656</t>
        </is>
      </c>
      <c r="AZ47" t="inlineStr">
        <is>
          <t>991000947829702656</t>
        </is>
      </c>
      <c r="BA47" t="inlineStr">
        <is>
          <t>2267378790002656</t>
        </is>
      </c>
      <c r="BB47" t="inlineStr">
        <is>
          <t>BOOK</t>
        </is>
      </c>
      <c r="BD47" t="inlineStr">
        <is>
          <t>9780890041918</t>
        </is>
      </c>
      <c r="BE47" t="inlineStr">
        <is>
          <t>30001000190274</t>
        </is>
      </c>
      <c r="BF47" t="inlineStr">
        <is>
          <t>893648724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QV 11.1 S671d 1985</t>
        </is>
      </c>
      <c r="E48" t="inlineStr">
        <is>
          <t>0                      QV 0011100S  671d        1985</t>
        </is>
      </c>
      <c r="F48" t="inlineStr">
        <is>
          <t>Drug discovery : the evolution of modern medicines / Walter Sneader.</t>
        </is>
      </c>
      <c r="H48" t="inlineStr">
        <is>
          <t>No</t>
        </is>
      </c>
      <c r="I48" t="inlineStr">
        <is>
          <t>1</t>
        </is>
      </c>
      <c r="J48" t="inlineStr">
        <is>
          <t>Yes</t>
        </is>
      </c>
      <c r="K48" t="inlineStr">
        <is>
          <t>No</t>
        </is>
      </c>
      <c r="L48" t="inlineStr">
        <is>
          <t>0</t>
        </is>
      </c>
      <c r="M48" t="inlineStr">
        <is>
          <t>Sneader, Walter.</t>
        </is>
      </c>
      <c r="N48" t="inlineStr">
        <is>
          <t>Chichester ; New York : Wiley, c1985.</t>
        </is>
      </c>
      <c r="O48" t="inlineStr">
        <is>
          <t>1985</t>
        </is>
      </c>
      <c r="Q48" t="inlineStr">
        <is>
          <t>eng</t>
        </is>
      </c>
      <c r="R48" t="inlineStr">
        <is>
          <t>enk</t>
        </is>
      </c>
      <c r="S48" t="inlineStr">
        <is>
          <t>A Wiley medical publication</t>
        </is>
      </c>
      <c r="T48" t="inlineStr">
        <is>
          <t xml:space="preserve">QV </t>
        </is>
      </c>
      <c r="U48" t="n">
        <v>6</v>
      </c>
      <c r="V48" t="n">
        <v>6</v>
      </c>
      <c r="W48" t="inlineStr">
        <is>
          <t>1993-07-07</t>
        </is>
      </c>
      <c r="X48" t="inlineStr">
        <is>
          <t>1993-07-07</t>
        </is>
      </c>
      <c r="Y48" t="inlineStr">
        <is>
          <t>1988-01-27</t>
        </is>
      </c>
      <c r="Z48" t="inlineStr">
        <is>
          <t>1988-01-27</t>
        </is>
      </c>
      <c r="AA48" t="n">
        <v>361</v>
      </c>
      <c r="AB48" t="n">
        <v>261</v>
      </c>
      <c r="AC48" t="n">
        <v>263</v>
      </c>
      <c r="AD48" t="n">
        <v>4</v>
      </c>
      <c r="AE48" t="n">
        <v>4</v>
      </c>
      <c r="AF48" t="n">
        <v>15</v>
      </c>
      <c r="AG48" t="n">
        <v>15</v>
      </c>
      <c r="AH48" t="n">
        <v>5</v>
      </c>
      <c r="AI48" t="n">
        <v>5</v>
      </c>
      <c r="AJ48" t="n">
        <v>4</v>
      </c>
      <c r="AK48" t="n">
        <v>4</v>
      </c>
      <c r="AL48" t="n">
        <v>6</v>
      </c>
      <c r="AM48" t="n">
        <v>6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HYPERLINK("http://catalog.hathitrust.org/Record/000350318","HathiTrust Record")</f>
        <v/>
      </c>
      <c r="AU48">
        <f>HYPERLINK("https://creighton-primo.hosted.exlibrisgroup.com/primo-explore/search?tab=default_tab&amp;search_scope=EVERYTHING&amp;vid=01CRU&amp;lang=en_US&amp;offset=0&amp;query=any,contains,991000947679702656","Catalog Record")</f>
        <v/>
      </c>
      <c r="AV48">
        <f>HYPERLINK("http://www.worldcat.org/oclc/11650496","WorldCat Record")</f>
        <v/>
      </c>
      <c r="AW48" t="inlineStr">
        <is>
          <t>3144530392:eng</t>
        </is>
      </c>
      <c r="AX48" t="inlineStr">
        <is>
          <t>11650496</t>
        </is>
      </c>
      <c r="AY48" t="inlineStr">
        <is>
          <t>991000947679702656</t>
        </is>
      </c>
      <c r="AZ48" t="inlineStr">
        <is>
          <t>991000947679702656</t>
        </is>
      </c>
      <c r="BA48" t="inlineStr">
        <is>
          <t>2260800700002656</t>
        </is>
      </c>
      <c r="BB48" t="inlineStr">
        <is>
          <t>BOOK</t>
        </is>
      </c>
      <c r="BD48" t="inlineStr">
        <is>
          <t>9780471904717</t>
        </is>
      </c>
      <c r="BE48" t="inlineStr">
        <is>
          <t>30001000190266</t>
        </is>
      </c>
      <c r="BF48" t="inlineStr">
        <is>
          <t>893465035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QV 13 E56 2003</t>
        </is>
      </c>
      <c r="E49" t="inlineStr">
        <is>
          <t>0                      QV 0013000E  56          2003</t>
        </is>
      </c>
      <c r="F49" t="inlineStr">
        <is>
          <t>Encyclopedia of biopharmaceutical statistics / edited by Shein-Chung Chow.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New York : Marcel Dekker, c2003.</t>
        </is>
      </c>
      <c r="O49" t="inlineStr">
        <is>
          <t>2003</t>
        </is>
      </c>
      <c r="P49" t="inlineStr">
        <is>
          <t>2nd ed., rev. and expanded.</t>
        </is>
      </c>
      <c r="Q49" t="inlineStr">
        <is>
          <t>eng</t>
        </is>
      </c>
      <c r="R49" t="inlineStr">
        <is>
          <t>nyu</t>
        </is>
      </c>
      <c r="T49" t="inlineStr">
        <is>
          <t xml:space="preserve">QV </t>
        </is>
      </c>
      <c r="U49" t="n">
        <v>1</v>
      </c>
      <c r="V49" t="n">
        <v>1</v>
      </c>
      <c r="W49" t="inlineStr">
        <is>
          <t>2009-08-14</t>
        </is>
      </c>
      <c r="X49" t="inlineStr">
        <is>
          <t>2009-08-14</t>
        </is>
      </c>
      <c r="Y49" t="inlineStr">
        <is>
          <t>2004-09-29</t>
        </is>
      </c>
      <c r="Z49" t="inlineStr">
        <is>
          <t>2004-09-29</t>
        </is>
      </c>
      <c r="AA49" t="n">
        <v>108</v>
      </c>
      <c r="AB49" t="n">
        <v>72</v>
      </c>
      <c r="AC49" t="n">
        <v>167</v>
      </c>
      <c r="AD49" t="n">
        <v>1</v>
      </c>
      <c r="AE49" t="n">
        <v>1</v>
      </c>
      <c r="AF49" t="n">
        <v>1</v>
      </c>
      <c r="AG49" t="n">
        <v>2</v>
      </c>
      <c r="AH49" t="n">
        <v>0</v>
      </c>
      <c r="AI49" t="n">
        <v>1</v>
      </c>
      <c r="AJ49" t="n">
        <v>1</v>
      </c>
      <c r="AK49" t="n">
        <v>1</v>
      </c>
      <c r="AL49" t="n">
        <v>0</v>
      </c>
      <c r="AM49" t="n">
        <v>1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HYPERLINK("https://creighton-primo.hosted.exlibrisgroup.com/primo-explore/search?tab=default_tab&amp;search_scope=EVERYTHING&amp;vid=01CRU&amp;lang=en_US&amp;offset=0&amp;query=any,contains,991000398799702656","Catalog Record")</f>
        <v/>
      </c>
      <c r="AV49">
        <f>HYPERLINK("http://www.worldcat.org/oclc/52109678","WorldCat Record")</f>
        <v/>
      </c>
      <c r="AW49" t="inlineStr">
        <is>
          <t>861747887:eng</t>
        </is>
      </c>
      <c r="AX49" t="inlineStr">
        <is>
          <t>52109678</t>
        </is>
      </c>
      <c r="AY49" t="inlineStr">
        <is>
          <t>991000398799702656</t>
        </is>
      </c>
      <c r="AZ49" t="inlineStr">
        <is>
          <t>991000398799702656</t>
        </is>
      </c>
      <c r="BA49" t="inlineStr">
        <is>
          <t>2268825470002656</t>
        </is>
      </c>
      <c r="BB49" t="inlineStr">
        <is>
          <t>BOOK</t>
        </is>
      </c>
      <c r="BD49" t="inlineStr">
        <is>
          <t>9780824742614</t>
        </is>
      </c>
      <c r="BE49" t="inlineStr">
        <is>
          <t>30001004810331</t>
        </is>
      </c>
      <c r="BF49" t="inlineStr">
        <is>
          <t>893264210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QV 13 L776 1987</t>
        </is>
      </c>
      <c r="E50" t="inlineStr">
        <is>
          <t>0                      QV 0013000L  776         1987</t>
        </is>
      </c>
      <c r="F50" t="inlineStr">
        <is>
          <t>Lithium encyclopedia for clinical practice / by James W. Jefferson ... [et al.].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Washington, DC : American Psychiatric Press, c1987.</t>
        </is>
      </c>
      <c r="O50" t="inlineStr">
        <is>
          <t>1987</t>
        </is>
      </c>
      <c r="P50" t="inlineStr">
        <is>
          <t>2nd ed.</t>
        </is>
      </c>
      <c r="Q50" t="inlineStr">
        <is>
          <t>eng</t>
        </is>
      </c>
      <c r="R50" t="inlineStr">
        <is>
          <t>xxu</t>
        </is>
      </c>
      <c r="T50" t="inlineStr">
        <is>
          <t xml:space="preserve">QV </t>
        </is>
      </c>
      <c r="U50" t="n">
        <v>13</v>
      </c>
      <c r="V50" t="n">
        <v>13</v>
      </c>
      <c r="W50" t="inlineStr">
        <is>
          <t>1993-04-20</t>
        </is>
      </c>
      <c r="X50" t="inlineStr">
        <is>
          <t>1993-04-20</t>
        </is>
      </c>
      <c r="Y50" t="inlineStr">
        <is>
          <t>1988-01-27</t>
        </is>
      </c>
      <c r="Z50" t="inlineStr">
        <is>
          <t>1988-01-27</t>
        </is>
      </c>
      <c r="AA50" t="n">
        <v>127</v>
      </c>
      <c r="AB50" t="n">
        <v>94</v>
      </c>
      <c r="AC50" t="n">
        <v>157</v>
      </c>
      <c r="AD50" t="n">
        <v>1</v>
      </c>
      <c r="AE50" t="n">
        <v>1</v>
      </c>
      <c r="AF50" t="n">
        <v>3</v>
      </c>
      <c r="AG50" t="n">
        <v>5</v>
      </c>
      <c r="AH50" t="n">
        <v>0</v>
      </c>
      <c r="AI50" t="n">
        <v>1</v>
      </c>
      <c r="AJ50" t="n">
        <v>0</v>
      </c>
      <c r="AK50" t="n">
        <v>1</v>
      </c>
      <c r="AL50" t="n">
        <v>3</v>
      </c>
      <c r="AM50" t="n">
        <v>4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HYPERLINK("https://creighton-primo.hosted.exlibrisgroup.com/primo-explore/search?tab=default_tab&amp;search_scope=EVERYTHING&amp;vid=01CRU&amp;lang=en_US&amp;offset=0&amp;query=any,contains,991000947719702656","Catalog Record")</f>
        <v/>
      </c>
      <c r="AV50">
        <f>HYPERLINK("http://www.worldcat.org/oclc/14692695","WorldCat Record")</f>
        <v/>
      </c>
      <c r="AW50" t="inlineStr">
        <is>
          <t>373982017:eng</t>
        </is>
      </c>
      <c r="AX50" t="inlineStr">
        <is>
          <t>14692695</t>
        </is>
      </c>
      <c r="AY50" t="inlineStr">
        <is>
          <t>991000947719702656</t>
        </is>
      </c>
      <c r="AZ50" t="inlineStr">
        <is>
          <t>991000947719702656</t>
        </is>
      </c>
      <c r="BA50" t="inlineStr">
        <is>
          <t>2259386470002656</t>
        </is>
      </c>
      <c r="BB50" t="inlineStr">
        <is>
          <t>BOOK</t>
        </is>
      </c>
      <c r="BD50" t="inlineStr">
        <is>
          <t>9780880482301</t>
        </is>
      </c>
      <c r="BE50" t="inlineStr">
        <is>
          <t>30001000190258</t>
        </is>
      </c>
      <c r="BF50" t="inlineStr">
        <is>
          <t>893727111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QV 13 M347p 1990</t>
        </is>
      </c>
      <c r="E51" t="inlineStr">
        <is>
          <t>0                      QV 0013000M  347p        1990</t>
        </is>
      </c>
      <c r="F51" t="inlineStr">
        <is>
          <t>Pharmacological and chemical synonyms : a collection of names of drugs, pesticides and other compounds drawn from the medical literature of the world / compiled by E.E.J. Marler.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Marler, E. E. J.</t>
        </is>
      </c>
      <c r="N51" t="inlineStr">
        <is>
          <t>Amsterdam ; New York : Elsevier, c1990.</t>
        </is>
      </c>
      <c r="O51" t="inlineStr">
        <is>
          <t>1990</t>
        </is>
      </c>
      <c r="P51" t="inlineStr">
        <is>
          <t>9th ed.</t>
        </is>
      </c>
      <c r="Q51" t="inlineStr">
        <is>
          <t>eng</t>
        </is>
      </c>
      <c r="R51" t="inlineStr">
        <is>
          <t xml:space="preserve">ne </t>
        </is>
      </c>
      <c r="T51" t="inlineStr">
        <is>
          <t xml:space="preserve">QV </t>
        </is>
      </c>
      <c r="U51" t="n">
        <v>2</v>
      </c>
      <c r="V51" t="n">
        <v>2</v>
      </c>
      <c r="W51" t="inlineStr">
        <is>
          <t>1990-08-16</t>
        </is>
      </c>
      <c r="X51" t="inlineStr">
        <is>
          <t>1990-08-16</t>
        </is>
      </c>
      <c r="Y51" t="inlineStr">
        <is>
          <t>1990-08-16</t>
        </is>
      </c>
      <c r="Z51" t="inlineStr">
        <is>
          <t>1990-08-16</t>
        </is>
      </c>
      <c r="AA51" t="n">
        <v>192</v>
      </c>
      <c r="AB51" t="n">
        <v>121</v>
      </c>
      <c r="AC51" t="n">
        <v>349</v>
      </c>
      <c r="AD51" t="n">
        <v>2</v>
      </c>
      <c r="AE51" t="n">
        <v>2</v>
      </c>
      <c r="AF51" t="n">
        <v>3</v>
      </c>
      <c r="AG51" t="n">
        <v>6</v>
      </c>
      <c r="AH51" t="n">
        <v>0</v>
      </c>
      <c r="AI51" t="n">
        <v>0</v>
      </c>
      <c r="AJ51" t="n">
        <v>0</v>
      </c>
      <c r="AK51" t="n">
        <v>2</v>
      </c>
      <c r="AL51" t="n">
        <v>2</v>
      </c>
      <c r="AM51" t="n">
        <v>3</v>
      </c>
      <c r="AN51" t="n">
        <v>1</v>
      </c>
      <c r="AO51" t="n">
        <v>1</v>
      </c>
      <c r="AP51" t="n">
        <v>0</v>
      </c>
      <c r="AQ51" t="n">
        <v>1</v>
      </c>
      <c r="AR51" t="inlineStr">
        <is>
          <t>No</t>
        </is>
      </c>
      <c r="AS51" t="inlineStr">
        <is>
          <t>Yes</t>
        </is>
      </c>
      <c r="AT51">
        <f>HYPERLINK("http://catalog.hathitrust.org/Record/001828265","HathiTrust Record")</f>
        <v/>
      </c>
      <c r="AU51">
        <f>HYPERLINK("https://creighton-primo.hosted.exlibrisgroup.com/primo-explore/search?tab=default_tab&amp;search_scope=EVERYTHING&amp;vid=01CRU&amp;lang=en_US&amp;offset=0&amp;query=any,contains,991001453649702656","Catalog Record")</f>
        <v/>
      </c>
      <c r="AV51">
        <f>HYPERLINK("http://www.worldcat.org/oclc/22542134","WorldCat Record")</f>
        <v/>
      </c>
      <c r="AW51" t="inlineStr">
        <is>
          <t>6728863:eng</t>
        </is>
      </c>
      <c r="AX51" t="inlineStr">
        <is>
          <t>22542134</t>
        </is>
      </c>
      <c r="AY51" t="inlineStr">
        <is>
          <t>991001453649702656</t>
        </is>
      </c>
      <c r="AZ51" t="inlineStr">
        <is>
          <t>991001453649702656</t>
        </is>
      </c>
      <c r="BA51" t="inlineStr">
        <is>
          <t>2269593610002656</t>
        </is>
      </c>
      <c r="BB51" t="inlineStr">
        <is>
          <t>BOOK</t>
        </is>
      </c>
      <c r="BD51" t="inlineStr">
        <is>
          <t>9780444904874</t>
        </is>
      </c>
      <c r="BE51" t="inlineStr">
        <is>
          <t>30001001884180</t>
        </is>
      </c>
      <c r="BF51" t="inlineStr">
        <is>
          <t>893546731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QV 15 S979i 1992-93</t>
        </is>
      </c>
      <c r="E52" t="inlineStr">
        <is>
          <t>0                      QV 0015000S  979i        1992                                        -93</t>
        </is>
      </c>
      <c r="F52" t="inlineStr">
        <is>
          <t>Index nominum, international drug directory 1992/1993 = internationales Arzneistoff-und Arzneimittelverzeichnis 1992/93 = répertoire international des substances médicamenteuses et spécialitiés pharmaceutiques 1992/93 / edited by the Swiss Pharmaceutical Society.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Stuttgart : Medpharm Scientific Publishers, c1992.</t>
        </is>
      </c>
      <c r="O52" t="inlineStr">
        <is>
          <t>1992</t>
        </is>
      </c>
      <c r="P52" t="inlineStr">
        <is>
          <t>[15th ed.]</t>
        </is>
      </c>
      <c r="Q52" t="inlineStr">
        <is>
          <t>eng</t>
        </is>
      </c>
      <c r="R52" t="inlineStr">
        <is>
          <t xml:space="preserve">gw </t>
        </is>
      </c>
      <c r="T52" t="inlineStr">
        <is>
          <t xml:space="preserve">QV </t>
        </is>
      </c>
      <c r="U52" t="n">
        <v>5</v>
      </c>
      <c r="V52" t="n">
        <v>5</v>
      </c>
      <c r="W52" t="inlineStr">
        <is>
          <t>1992-11-05</t>
        </is>
      </c>
      <c r="X52" t="inlineStr">
        <is>
          <t>1992-11-05</t>
        </is>
      </c>
      <c r="Y52" t="inlineStr">
        <is>
          <t>1992-10-20</t>
        </is>
      </c>
      <c r="Z52" t="inlineStr">
        <is>
          <t>1992-10-20</t>
        </is>
      </c>
      <c r="AA52" t="n">
        <v>29</v>
      </c>
      <c r="AB52" t="n">
        <v>15</v>
      </c>
      <c r="AC52" t="n">
        <v>15</v>
      </c>
      <c r="AD52" t="n">
        <v>1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HYPERLINK("https://creighton-primo.hosted.exlibrisgroup.com/primo-explore/search?tab=default_tab&amp;search_scope=EVERYTHING&amp;vid=01CRU&amp;lang=en_US&amp;offset=0&amp;query=any,contains,991001344199702656","Catalog Record")</f>
        <v/>
      </c>
      <c r="AV52">
        <f>HYPERLINK("http://www.worldcat.org/oclc/26733640","WorldCat Record")</f>
        <v/>
      </c>
      <c r="AW52" t="inlineStr">
        <is>
          <t>9323695733:eng</t>
        </is>
      </c>
      <c r="AX52" t="inlineStr">
        <is>
          <t>26733640</t>
        </is>
      </c>
      <c r="AY52" t="inlineStr">
        <is>
          <t>991001344199702656</t>
        </is>
      </c>
      <c r="AZ52" t="inlineStr">
        <is>
          <t>991001344199702656</t>
        </is>
      </c>
      <c r="BA52" t="inlineStr">
        <is>
          <t>2272596610002656</t>
        </is>
      </c>
      <c r="BB52" t="inlineStr">
        <is>
          <t>BOOK</t>
        </is>
      </c>
      <c r="BD52" t="inlineStr">
        <is>
          <t>9783887630188</t>
        </is>
      </c>
      <c r="BE52" t="inlineStr">
        <is>
          <t>30001002456467</t>
        </is>
      </c>
      <c r="BF52" t="inlineStr">
        <is>
          <t>893377216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QV 16 D186c 1990</t>
        </is>
      </c>
      <c r="E53" t="inlineStr">
        <is>
          <t>0                      QV 0016000D  186c        1990</t>
        </is>
      </c>
      <c r="F53" t="inlineStr">
        <is>
          <t>Clinical calculations : a unified approach / Joanne M. Daniels, Loretta M. Smith.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Daniels, Joanne M.</t>
        </is>
      </c>
      <c r="N53" t="inlineStr">
        <is>
          <t>Albany, N.Y. : Delmar Publishers, c1990.</t>
        </is>
      </c>
      <c r="O53" t="inlineStr">
        <is>
          <t>1990</t>
        </is>
      </c>
      <c r="P53" t="inlineStr">
        <is>
          <t>2nd ed.</t>
        </is>
      </c>
      <c r="Q53" t="inlineStr">
        <is>
          <t>eng</t>
        </is>
      </c>
      <c r="R53" t="inlineStr">
        <is>
          <t>nyu</t>
        </is>
      </c>
      <c r="T53" t="inlineStr">
        <is>
          <t xml:space="preserve">QV </t>
        </is>
      </c>
      <c r="U53" t="n">
        <v>3</v>
      </c>
      <c r="V53" t="n">
        <v>3</v>
      </c>
      <c r="W53" t="inlineStr">
        <is>
          <t>2005-08-27</t>
        </is>
      </c>
      <c r="X53" t="inlineStr">
        <is>
          <t>2005-08-27</t>
        </is>
      </c>
      <c r="Y53" t="inlineStr">
        <is>
          <t>1994-09-23</t>
        </is>
      </c>
      <c r="Z53" t="inlineStr">
        <is>
          <t>1994-09-23</t>
        </is>
      </c>
      <c r="AA53" t="n">
        <v>61</v>
      </c>
      <c r="AB53" t="n">
        <v>48</v>
      </c>
      <c r="AC53" t="n">
        <v>262</v>
      </c>
      <c r="AD53" t="n">
        <v>2</v>
      </c>
      <c r="AE53" t="n">
        <v>2</v>
      </c>
      <c r="AF53" t="n">
        <v>1</v>
      </c>
      <c r="AG53" t="n">
        <v>5</v>
      </c>
      <c r="AH53" t="n">
        <v>0</v>
      </c>
      <c r="AI53" t="n">
        <v>3</v>
      </c>
      <c r="AJ53" t="n">
        <v>0</v>
      </c>
      <c r="AK53" t="n">
        <v>0</v>
      </c>
      <c r="AL53" t="n">
        <v>0</v>
      </c>
      <c r="AM53" t="n">
        <v>3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HYPERLINK("http://catalog.hathitrust.org/Record/002204544","HathiTrust Record")</f>
        <v/>
      </c>
      <c r="AU53">
        <f>HYPERLINK("https://creighton-primo.hosted.exlibrisgroup.com/primo-explore/search?tab=default_tab&amp;search_scope=EVERYTHING&amp;vid=01CRU&amp;lang=en_US&amp;offset=0&amp;query=any,contains,991000680929702656","Catalog Record")</f>
        <v/>
      </c>
      <c r="AV53">
        <f>HYPERLINK("http://www.worldcat.org/oclc/19672212","WorldCat Record")</f>
        <v/>
      </c>
      <c r="AW53" t="inlineStr">
        <is>
          <t>911281:eng</t>
        </is>
      </c>
      <c r="AX53" t="inlineStr">
        <is>
          <t>19672212</t>
        </is>
      </c>
      <c r="AY53" t="inlineStr">
        <is>
          <t>991000680929702656</t>
        </is>
      </c>
      <c r="AZ53" t="inlineStr">
        <is>
          <t>991000680929702656</t>
        </is>
      </c>
      <c r="BA53" t="inlineStr">
        <is>
          <t>2262604380002656</t>
        </is>
      </c>
      <c r="BB53" t="inlineStr">
        <is>
          <t>BOOK</t>
        </is>
      </c>
      <c r="BD53" t="inlineStr">
        <is>
          <t>9780827337978</t>
        </is>
      </c>
      <c r="BE53" t="inlineStr">
        <is>
          <t>30001002697482</t>
        </is>
      </c>
      <c r="BF53" t="inlineStr">
        <is>
          <t>893362786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QV16 D794 1999</t>
        </is>
      </c>
      <c r="E54" t="inlineStr">
        <is>
          <t>0                      QV 0016000D  794         1999</t>
        </is>
      </c>
      <c r="F54" t="inlineStr">
        <is>
          <t>Drug prescribing in renal failure : dosing guidelines for adults / George R. Aronoff ... [et al.].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Philadelphia, Pa. : American College of Physicians, c1999.</t>
        </is>
      </c>
      <c r="O54" t="inlineStr">
        <is>
          <t>1999</t>
        </is>
      </c>
      <c r="P54" t="inlineStr">
        <is>
          <t>4th ed.</t>
        </is>
      </c>
      <c r="Q54" t="inlineStr">
        <is>
          <t>eng</t>
        </is>
      </c>
      <c r="R54" t="inlineStr">
        <is>
          <t>pau</t>
        </is>
      </c>
      <c r="T54" t="inlineStr">
        <is>
          <t xml:space="preserve">QV </t>
        </is>
      </c>
      <c r="U54" t="n">
        <v>5</v>
      </c>
      <c r="V54" t="n">
        <v>5</v>
      </c>
      <c r="W54" t="inlineStr">
        <is>
          <t>2006-12-19</t>
        </is>
      </c>
      <c r="X54" t="inlineStr">
        <is>
          <t>2006-12-19</t>
        </is>
      </c>
      <c r="Y54" t="inlineStr">
        <is>
          <t>2004-11-22</t>
        </is>
      </c>
      <c r="Z54" t="inlineStr">
        <is>
          <t>2004-11-22</t>
        </is>
      </c>
      <c r="AA54" t="n">
        <v>136</v>
      </c>
      <c r="AB54" t="n">
        <v>98</v>
      </c>
      <c r="AC54" t="n">
        <v>225</v>
      </c>
      <c r="AD54" t="n">
        <v>2</v>
      </c>
      <c r="AE54" t="n">
        <v>2</v>
      </c>
      <c r="AF54" t="n">
        <v>3</v>
      </c>
      <c r="AG54" t="n">
        <v>8</v>
      </c>
      <c r="AH54" t="n">
        <v>1</v>
      </c>
      <c r="AI54" t="n">
        <v>5</v>
      </c>
      <c r="AJ54" t="n">
        <v>2</v>
      </c>
      <c r="AK54" t="n">
        <v>2</v>
      </c>
      <c r="AL54" t="n">
        <v>0</v>
      </c>
      <c r="AM54" t="n">
        <v>2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HYPERLINK("http://catalog.hathitrust.org/Record/004026559","HathiTrust Record")</f>
        <v/>
      </c>
      <c r="AU54">
        <f>HYPERLINK("https://creighton-primo.hosted.exlibrisgroup.com/primo-explore/search?tab=default_tab&amp;search_scope=EVERYTHING&amp;vid=01CRU&amp;lang=en_US&amp;offset=0&amp;query=any,contains,991000414209702656","Catalog Record")</f>
        <v/>
      </c>
      <c r="AV54">
        <f>HYPERLINK("http://www.worldcat.org/oclc/39891402","WorldCat Record")</f>
        <v/>
      </c>
      <c r="AW54" t="inlineStr">
        <is>
          <t>54781156:eng</t>
        </is>
      </c>
      <c r="AX54" t="inlineStr">
        <is>
          <t>39891402</t>
        </is>
      </c>
      <c r="AY54" t="inlineStr">
        <is>
          <t>991000414209702656</t>
        </is>
      </c>
      <c r="AZ54" t="inlineStr">
        <is>
          <t>991000414209702656</t>
        </is>
      </c>
      <c r="BA54" t="inlineStr">
        <is>
          <t>2261758540002656</t>
        </is>
      </c>
      <c r="BB54" t="inlineStr">
        <is>
          <t>BOOK</t>
        </is>
      </c>
      <c r="BD54" t="inlineStr">
        <is>
          <t>9780943126760</t>
        </is>
      </c>
      <c r="BE54" t="inlineStr">
        <is>
          <t>30001004925626</t>
        </is>
      </c>
      <c r="BF54" t="inlineStr">
        <is>
          <t>893370459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QV 16 R863c 1976</t>
        </is>
      </c>
      <c r="E55" t="inlineStr">
        <is>
          <t>0                      QV 0016000R  863c        1976</t>
        </is>
      </c>
      <c r="F55" t="inlineStr">
        <is>
          <t>Calculations in pharmacy / Sue H. Rouse and M. George Webber.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Rouse, Sue H.</t>
        </is>
      </c>
      <c r="N55" t="inlineStr">
        <is>
          <t>Philadelphia : Lippincott, c1976.</t>
        </is>
      </c>
      <c r="O55" t="inlineStr">
        <is>
          <t>1976</t>
        </is>
      </c>
      <c r="P55" t="inlineStr">
        <is>
          <t>3rd ed.</t>
        </is>
      </c>
      <c r="Q55" t="inlineStr">
        <is>
          <t>eng</t>
        </is>
      </c>
      <c r="R55" t="inlineStr">
        <is>
          <t>pau</t>
        </is>
      </c>
      <c r="T55" t="inlineStr">
        <is>
          <t xml:space="preserve">QV </t>
        </is>
      </c>
      <c r="U55" t="n">
        <v>13</v>
      </c>
      <c r="V55" t="n">
        <v>13</v>
      </c>
      <c r="W55" t="inlineStr">
        <is>
          <t>2003-10-08</t>
        </is>
      </c>
      <c r="X55" t="inlineStr">
        <is>
          <t>2003-10-08</t>
        </is>
      </c>
      <c r="Y55" t="inlineStr">
        <is>
          <t>1988-01-20</t>
        </is>
      </c>
      <c r="Z55" t="inlineStr">
        <is>
          <t>1988-01-20</t>
        </is>
      </c>
      <c r="AA55" t="n">
        <v>76</v>
      </c>
      <c r="AB55" t="n">
        <v>60</v>
      </c>
      <c r="AC55" t="n">
        <v>97</v>
      </c>
      <c r="AD55" t="n">
        <v>2</v>
      </c>
      <c r="AE55" t="n">
        <v>2</v>
      </c>
      <c r="AF55" t="n">
        <v>5</v>
      </c>
      <c r="AG55" t="n">
        <v>8</v>
      </c>
      <c r="AH55" t="n">
        <v>2</v>
      </c>
      <c r="AI55" t="n">
        <v>5</v>
      </c>
      <c r="AJ55" t="n">
        <v>2</v>
      </c>
      <c r="AK55" t="n">
        <v>3</v>
      </c>
      <c r="AL55" t="n">
        <v>0</v>
      </c>
      <c r="AM55" t="n">
        <v>1</v>
      </c>
      <c r="AN55" t="n">
        <v>1</v>
      </c>
      <c r="AO55" t="n">
        <v>1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HYPERLINK("https://creighton-primo.hosted.exlibrisgroup.com/primo-explore/search?tab=default_tab&amp;search_scope=EVERYTHING&amp;vid=01CRU&amp;lang=en_US&amp;offset=0&amp;query=any,contains,991000948529702656","Catalog Record")</f>
        <v/>
      </c>
      <c r="AV55">
        <f>HYPERLINK("http://www.worldcat.org/oclc/1659685","WorldCat Record")</f>
        <v/>
      </c>
      <c r="AW55" t="inlineStr">
        <is>
          <t>1587572:eng</t>
        </is>
      </c>
      <c r="AX55" t="inlineStr">
        <is>
          <t>1659685</t>
        </is>
      </c>
      <c r="AY55" t="inlineStr">
        <is>
          <t>991000948529702656</t>
        </is>
      </c>
      <c r="AZ55" t="inlineStr">
        <is>
          <t>991000948529702656</t>
        </is>
      </c>
      <c r="BA55" t="inlineStr">
        <is>
          <t>2256724440002656</t>
        </is>
      </c>
      <c r="BB55" t="inlineStr">
        <is>
          <t>BOOK</t>
        </is>
      </c>
      <c r="BD55" t="inlineStr">
        <is>
          <t>9780397520732</t>
        </is>
      </c>
      <c r="BE55" t="inlineStr">
        <is>
          <t>30001000190530</t>
        </is>
      </c>
      <c r="BF55" t="inlineStr">
        <is>
          <t>893467737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QV 16 S874p 1986</t>
        </is>
      </c>
      <c r="E56" t="inlineStr">
        <is>
          <t>0                      QV 0016000S  874p        1986</t>
        </is>
      </c>
      <c r="F56" t="inlineStr">
        <is>
          <t>Pharmaceutical calculations / Mitchell J. Stoklosa and Howard C. Ansel.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Yes</t>
        </is>
      </c>
      <c r="L56" t="inlineStr">
        <is>
          <t>0</t>
        </is>
      </c>
      <c r="M56" t="inlineStr">
        <is>
          <t>Stoklosa, Mitchell J.</t>
        </is>
      </c>
      <c r="N56" t="inlineStr">
        <is>
          <t>Philadelphia : Lea &amp; Febiger, c1986.</t>
        </is>
      </c>
      <c r="O56" t="inlineStr">
        <is>
          <t>1986</t>
        </is>
      </c>
      <c r="P56" t="inlineStr">
        <is>
          <t>8th ed.</t>
        </is>
      </c>
      <c r="Q56" t="inlineStr">
        <is>
          <t>eng</t>
        </is>
      </c>
      <c r="R56" t="inlineStr">
        <is>
          <t>xxu</t>
        </is>
      </c>
      <c r="T56" t="inlineStr">
        <is>
          <t xml:space="preserve">QV </t>
        </is>
      </c>
      <c r="U56" t="n">
        <v>35</v>
      </c>
      <c r="V56" t="n">
        <v>35</v>
      </c>
      <c r="W56" t="inlineStr">
        <is>
          <t>2003-09-24</t>
        </is>
      </c>
      <c r="X56" t="inlineStr">
        <is>
          <t>2003-09-24</t>
        </is>
      </c>
      <c r="Y56" t="inlineStr">
        <is>
          <t>1987-09-28</t>
        </is>
      </c>
      <c r="Z56" t="inlineStr">
        <is>
          <t>1987-09-28</t>
        </is>
      </c>
      <c r="AA56" t="n">
        <v>121</v>
      </c>
      <c r="AB56" t="n">
        <v>94</v>
      </c>
      <c r="AC56" t="n">
        <v>461</v>
      </c>
      <c r="AD56" t="n">
        <v>1</v>
      </c>
      <c r="AE56" t="n">
        <v>4</v>
      </c>
      <c r="AF56" t="n">
        <v>2</v>
      </c>
      <c r="AG56" t="n">
        <v>17</v>
      </c>
      <c r="AH56" t="n">
        <v>1</v>
      </c>
      <c r="AI56" t="n">
        <v>11</v>
      </c>
      <c r="AJ56" t="n">
        <v>1</v>
      </c>
      <c r="AK56" t="n">
        <v>4</v>
      </c>
      <c r="AL56" t="n">
        <v>0</v>
      </c>
      <c r="AM56" t="n">
        <v>5</v>
      </c>
      <c r="AN56" t="n">
        <v>0</v>
      </c>
      <c r="AO56" t="n">
        <v>2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HYPERLINK("http://catalog.hathitrust.org/Record/000378449","HathiTrust Record")</f>
        <v/>
      </c>
      <c r="AU56">
        <f>HYPERLINK("https://creighton-primo.hosted.exlibrisgroup.com/primo-explore/search?tab=default_tab&amp;search_scope=EVERYTHING&amp;vid=01CRU&amp;lang=en_US&amp;offset=0&amp;query=any,contains,991000747399702656","Catalog Record")</f>
        <v/>
      </c>
      <c r="AV56">
        <f>HYPERLINK("http://www.worldcat.org/oclc/12237530","WorldCat Record")</f>
        <v/>
      </c>
      <c r="AW56" t="inlineStr">
        <is>
          <t>1787946:eng</t>
        </is>
      </c>
      <c r="AX56" t="inlineStr">
        <is>
          <t>12237530</t>
        </is>
      </c>
      <c r="AY56" t="inlineStr">
        <is>
          <t>991000747399702656</t>
        </is>
      </c>
      <c r="AZ56" t="inlineStr">
        <is>
          <t>991000747399702656</t>
        </is>
      </c>
      <c r="BA56" t="inlineStr">
        <is>
          <t>2268088500002656</t>
        </is>
      </c>
      <c r="BB56" t="inlineStr">
        <is>
          <t>BOOK</t>
        </is>
      </c>
      <c r="BD56" t="inlineStr">
        <is>
          <t>9780812110074</t>
        </is>
      </c>
      <c r="BE56" t="inlineStr">
        <is>
          <t>30001000046153</t>
        </is>
      </c>
      <c r="BF56" t="inlineStr">
        <is>
          <t>893161095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QV 16 S874p 1991</t>
        </is>
      </c>
      <c r="E57" t="inlineStr">
        <is>
          <t>0                      QV 0016000S  874p        1991</t>
        </is>
      </c>
      <c r="F57" t="inlineStr">
        <is>
          <t>Pharmaceutical calculations / Mitchell J. Stoklosa and Howard C. Ansel.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Yes</t>
        </is>
      </c>
      <c r="L57" t="inlineStr">
        <is>
          <t>0</t>
        </is>
      </c>
      <c r="M57" t="inlineStr">
        <is>
          <t>Stoklosa, Mitchell J.</t>
        </is>
      </c>
      <c r="N57" t="inlineStr">
        <is>
          <t>Philadelphia : Lea &amp; Febiger, c1991.</t>
        </is>
      </c>
      <c r="O57" t="inlineStr">
        <is>
          <t>1991</t>
        </is>
      </c>
      <c r="P57" t="inlineStr">
        <is>
          <t>9th ed.</t>
        </is>
      </c>
      <c r="Q57" t="inlineStr">
        <is>
          <t>eng</t>
        </is>
      </c>
      <c r="R57" t="inlineStr">
        <is>
          <t>pau</t>
        </is>
      </c>
      <c r="T57" t="inlineStr">
        <is>
          <t xml:space="preserve">QV </t>
        </is>
      </c>
      <c r="U57" t="n">
        <v>51</v>
      </c>
      <c r="V57" t="n">
        <v>51</v>
      </c>
      <c r="W57" t="inlineStr">
        <is>
          <t>2003-10-08</t>
        </is>
      </c>
      <c r="X57" t="inlineStr">
        <is>
          <t>2003-10-08</t>
        </is>
      </c>
      <c r="Y57" t="inlineStr">
        <is>
          <t>1991-07-26</t>
        </is>
      </c>
      <c r="Z57" t="inlineStr">
        <is>
          <t>1991-07-26</t>
        </is>
      </c>
      <c r="AA57" t="n">
        <v>103</v>
      </c>
      <c r="AB57" t="n">
        <v>64</v>
      </c>
      <c r="AC57" t="n">
        <v>461</v>
      </c>
      <c r="AD57" t="n">
        <v>1</v>
      </c>
      <c r="AE57" t="n">
        <v>4</v>
      </c>
      <c r="AF57" t="n">
        <v>3</v>
      </c>
      <c r="AG57" t="n">
        <v>17</v>
      </c>
      <c r="AH57" t="n">
        <v>2</v>
      </c>
      <c r="AI57" t="n">
        <v>11</v>
      </c>
      <c r="AJ57" t="n">
        <v>1</v>
      </c>
      <c r="AK57" t="n">
        <v>4</v>
      </c>
      <c r="AL57" t="n">
        <v>1</v>
      </c>
      <c r="AM57" t="n">
        <v>5</v>
      </c>
      <c r="AN57" t="n">
        <v>0</v>
      </c>
      <c r="AO57" t="n">
        <v>2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HYPERLINK("http://catalog.hathitrust.org/Record/002473741","HathiTrust Record")</f>
        <v/>
      </c>
      <c r="AU57">
        <f>HYPERLINK("https://creighton-primo.hosted.exlibrisgroup.com/primo-explore/search?tab=default_tab&amp;search_scope=EVERYTHING&amp;vid=01CRU&amp;lang=en_US&amp;offset=0&amp;query=any,contains,991000944289702656","Catalog Record")</f>
        <v/>
      </c>
      <c r="AV57">
        <f>HYPERLINK("http://www.worldcat.org/oclc/22596271","WorldCat Record")</f>
        <v/>
      </c>
      <c r="AW57" t="inlineStr">
        <is>
          <t>1787946:eng</t>
        </is>
      </c>
      <c r="AX57" t="inlineStr">
        <is>
          <t>22596271</t>
        </is>
      </c>
      <c r="AY57" t="inlineStr">
        <is>
          <t>991000944289702656</t>
        </is>
      </c>
      <c r="AZ57" t="inlineStr">
        <is>
          <t>991000944289702656</t>
        </is>
      </c>
      <c r="BA57" t="inlineStr">
        <is>
          <t>2262357920002656</t>
        </is>
      </c>
      <c r="BB57" t="inlineStr">
        <is>
          <t>BOOK</t>
        </is>
      </c>
      <c r="BD57" t="inlineStr">
        <is>
          <t>9780812113846</t>
        </is>
      </c>
      <c r="BE57" t="inlineStr">
        <is>
          <t>30001002193342</t>
        </is>
      </c>
      <c r="BF57" t="inlineStr">
        <is>
          <t>893815943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QV 16 S874p 1996</t>
        </is>
      </c>
      <c r="E58" t="inlineStr">
        <is>
          <t>0                      QV 0016000S  874p        1996</t>
        </is>
      </c>
      <c r="F58" t="inlineStr">
        <is>
          <t>Pharmaceutical calculations.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Yes</t>
        </is>
      </c>
      <c r="L58" t="inlineStr">
        <is>
          <t>0</t>
        </is>
      </c>
      <c r="M58" t="inlineStr">
        <is>
          <t>Stoklosa, Mitchell J.</t>
        </is>
      </c>
      <c r="N58" t="inlineStr">
        <is>
          <t>Baltimore : Williams &amp; Wilkins, c1996.</t>
        </is>
      </c>
      <c r="O58" t="inlineStr">
        <is>
          <t>1996</t>
        </is>
      </c>
      <c r="P58" t="inlineStr">
        <is>
          <t>10th ed. / Mitchell J. Stoklosa, Howard C. Ansel.</t>
        </is>
      </c>
      <c r="Q58" t="inlineStr">
        <is>
          <t>eng</t>
        </is>
      </c>
      <c r="R58" t="inlineStr">
        <is>
          <t>mdu</t>
        </is>
      </c>
      <c r="T58" t="inlineStr">
        <is>
          <t xml:space="preserve">QV </t>
        </is>
      </c>
      <c r="U58" t="n">
        <v>93</v>
      </c>
      <c r="V58" t="n">
        <v>93</v>
      </c>
      <c r="W58" t="inlineStr">
        <is>
          <t>2008-08-27</t>
        </is>
      </c>
      <c r="X58" t="inlineStr">
        <is>
          <t>2008-08-27</t>
        </is>
      </c>
      <c r="Y58" t="inlineStr">
        <is>
          <t>1996-09-10</t>
        </is>
      </c>
      <c r="Z58" t="inlineStr">
        <is>
          <t>1996-09-10</t>
        </is>
      </c>
      <c r="AA58" t="n">
        <v>133</v>
      </c>
      <c r="AB58" t="n">
        <v>82</v>
      </c>
      <c r="AC58" t="n">
        <v>461</v>
      </c>
      <c r="AD58" t="n">
        <v>1</v>
      </c>
      <c r="AE58" t="n">
        <v>4</v>
      </c>
      <c r="AF58" t="n">
        <v>1</v>
      </c>
      <c r="AG58" t="n">
        <v>17</v>
      </c>
      <c r="AH58" t="n">
        <v>1</v>
      </c>
      <c r="AI58" t="n">
        <v>11</v>
      </c>
      <c r="AJ58" t="n">
        <v>0</v>
      </c>
      <c r="AK58" t="n">
        <v>4</v>
      </c>
      <c r="AL58" t="n">
        <v>0</v>
      </c>
      <c r="AM58" t="n">
        <v>5</v>
      </c>
      <c r="AN58" t="n">
        <v>0</v>
      </c>
      <c r="AO58" t="n">
        <v>2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HYPERLINK("http://catalog.hathitrust.org/Record/003022923","HathiTrust Record")</f>
        <v/>
      </c>
      <c r="AU58">
        <f>HYPERLINK("https://creighton-primo.hosted.exlibrisgroup.com/primo-explore/search?tab=default_tab&amp;search_scope=EVERYTHING&amp;vid=01CRU&amp;lang=en_US&amp;offset=0&amp;query=any,contains,991000835919702656","Catalog Record")</f>
        <v/>
      </c>
      <c r="AV58">
        <f>HYPERLINK("http://www.worldcat.org/oclc/32968804","WorldCat Record")</f>
        <v/>
      </c>
      <c r="AW58" t="inlineStr">
        <is>
          <t>1787946:eng</t>
        </is>
      </c>
      <c r="AX58" t="inlineStr">
        <is>
          <t>32968804</t>
        </is>
      </c>
      <c r="AY58" t="inlineStr">
        <is>
          <t>991000835919702656</t>
        </is>
      </c>
      <c r="AZ58" t="inlineStr">
        <is>
          <t>991000835919702656</t>
        </is>
      </c>
      <c r="BA58" t="inlineStr">
        <is>
          <t>2262672040002656</t>
        </is>
      </c>
      <c r="BB58" t="inlineStr">
        <is>
          <t>BOOK</t>
        </is>
      </c>
      <c r="BD58" t="inlineStr">
        <is>
          <t>9780683080018</t>
        </is>
      </c>
      <c r="BE58" t="inlineStr">
        <is>
          <t>30001003441815</t>
        </is>
      </c>
      <c r="BF58" t="inlineStr">
        <is>
          <t>893731373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QV 16 S936c 1903</t>
        </is>
      </c>
      <c r="E59" t="inlineStr">
        <is>
          <t>0                      QV 0016000S  936c        1903</t>
        </is>
      </c>
      <c r="F59" t="inlineStr">
        <is>
          <t>Course in pharmaceutical and chemical arithmetic : including weights and measures / by Julius William Sturmer.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Sturmer, Julius William, 1870-1952.</t>
        </is>
      </c>
      <c r="N59" t="inlineStr">
        <is>
          <t>[Phiadelphia] : The author, c1903.</t>
        </is>
      </c>
      <c r="O59" t="inlineStr">
        <is>
          <t>1903</t>
        </is>
      </c>
      <c r="P59" t="inlineStr">
        <is>
          <t>3rd. ed., with answers.</t>
        </is>
      </c>
      <c r="Q59" t="inlineStr">
        <is>
          <t>eng</t>
        </is>
      </c>
      <c r="R59" t="inlineStr">
        <is>
          <t xml:space="preserve">xx </t>
        </is>
      </c>
      <c r="T59" t="inlineStr">
        <is>
          <t xml:space="preserve">QV </t>
        </is>
      </c>
      <c r="U59" t="n">
        <v>5</v>
      </c>
      <c r="V59" t="n">
        <v>5</v>
      </c>
      <c r="W59" t="inlineStr">
        <is>
          <t>1991-09-20</t>
        </is>
      </c>
      <c r="X59" t="inlineStr">
        <is>
          <t>1991-09-20</t>
        </is>
      </c>
      <c r="Y59" t="inlineStr">
        <is>
          <t>1988-01-27</t>
        </is>
      </c>
      <c r="Z59" t="inlineStr">
        <is>
          <t>1988-01-27</t>
        </is>
      </c>
      <c r="AA59" t="n">
        <v>7</v>
      </c>
      <c r="AB59" t="n">
        <v>7</v>
      </c>
      <c r="AC59" t="n">
        <v>69</v>
      </c>
      <c r="AD59" t="n">
        <v>1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HYPERLINK("https://creighton-primo.hosted.exlibrisgroup.com/primo-explore/search?tab=default_tab&amp;search_scope=EVERYTHING&amp;vid=01CRU&amp;lang=en_US&amp;offset=0&amp;query=any,contains,991000948609702656","Catalog Record")</f>
        <v/>
      </c>
      <c r="AV59">
        <f>HYPERLINK("http://www.worldcat.org/oclc/3754693","WorldCat Record")</f>
        <v/>
      </c>
      <c r="AW59" t="inlineStr">
        <is>
          <t>2423032:eng</t>
        </is>
      </c>
      <c r="AX59" t="inlineStr">
        <is>
          <t>3754693</t>
        </is>
      </c>
      <c r="AY59" t="inlineStr">
        <is>
          <t>991000948609702656</t>
        </is>
      </c>
      <c r="AZ59" t="inlineStr">
        <is>
          <t>991000948609702656</t>
        </is>
      </c>
      <c r="BA59" t="inlineStr">
        <is>
          <t>2270724560002656</t>
        </is>
      </c>
      <c r="BB59" t="inlineStr">
        <is>
          <t>BOOK</t>
        </is>
      </c>
      <c r="BE59" t="inlineStr">
        <is>
          <t>30001000190571</t>
        </is>
      </c>
      <c r="BF59" t="inlineStr">
        <is>
          <t>893551962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QV 18 A813p 1994</t>
        </is>
      </c>
      <c r="E60" t="inlineStr">
        <is>
          <t>0                      QV 0018000A  813p        1994</t>
        </is>
      </c>
      <c r="F60" t="inlineStr">
        <is>
          <t>Principles of drug information and scientific literature evaluation / Frank J. Ascione, Carol Colvin Manifold, Mary A. Parenti.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Ascione, Frank J., 1946-</t>
        </is>
      </c>
      <c r="N60" t="inlineStr">
        <is>
          <t>Hamilton, Ill. : Drug Intelligence Publication, c1994.</t>
        </is>
      </c>
      <c r="O60" t="inlineStr">
        <is>
          <t>1994</t>
        </is>
      </c>
      <c r="Q60" t="inlineStr">
        <is>
          <t>eng</t>
        </is>
      </c>
      <c r="R60" t="inlineStr">
        <is>
          <t>ilu</t>
        </is>
      </c>
      <c r="T60" t="inlineStr">
        <is>
          <t xml:space="preserve">QV </t>
        </is>
      </c>
      <c r="U60" t="n">
        <v>5</v>
      </c>
      <c r="V60" t="n">
        <v>5</v>
      </c>
      <c r="W60" t="inlineStr">
        <is>
          <t>1999-09-28</t>
        </is>
      </c>
      <c r="X60" t="inlineStr">
        <is>
          <t>1999-09-28</t>
        </is>
      </c>
      <c r="Y60" t="inlineStr">
        <is>
          <t>1998-01-27</t>
        </is>
      </c>
      <c r="Z60" t="inlineStr">
        <is>
          <t>1998-01-27</t>
        </is>
      </c>
      <c r="AA60" t="n">
        <v>82</v>
      </c>
      <c r="AB60" t="n">
        <v>61</v>
      </c>
      <c r="AC60" t="n">
        <v>64</v>
      </c>
      <c r="AD60" t="n">
        <v>1</v>
      </c>
      <c r="AE60" t="n">
        <v>1</v>
      </c>
      <c r="AF60" t="n">
        <v>2</v>
      </c>
      <c r="AG60" t="n">
        <v>2</v>
      </c>
      <c r="AH60" t="n">
        <v>1</v>
      </c>
      <c r="AI60" t="n">
        <v>1</v>
      </c>
      <c r="AJ60" t="n">
        <v>0</v>
      </c>
      <c r="AK60" t="n">
        <v>0</v>
      </c>
      <c r="AL60" t="n">
        <v>1</v>
      </c>
      <c r="AM60" t="n">
        <v>1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HYPERLINK("http://catalog.hathitrust.org/Record/002905361","HathiTrust Record")</f>
        <v/>
      </c>
      <c r="AU60">
        <f>HYPERLINK("https://creighton-primo.hosted.exlibrisgroup.com/primo-explore/search?tab=default_tab&amp;search_scope=EVERYTHING&amp;vid=01CRU&amp;lang=en_US&amp;offset=0&amp;query=any,contains,991001283619702656","Catalog Record")</f>
        <v/>
      </c>
      <c r="AV60">
        <f>HYPERLINK("http://www.worldcat.org/oclc/29358612","WorldCat Record")</f>
        <v/>
      </c>
      <c r="AW60" t="inlineStr">
        <is>
          <t>31234793:eng</t>
        </is>
      </c>
      <c r="AX60" t="inlineStr">
        <is>
          <t>29358612</t>
        </is>
      </c>
      <c r="AY60" t="inlineStr">
        <is>
          <t>991001283619702656</t>
        </is>
      </c>
      <c r="AZ60" t="inlineStr">
        <is>
          <t>991001283619702656</t>
        </is>
      </c>
      <c r="BA60" t="inlineStr">
        <is>
          <t>2268321110002656</t>
        </is>
      </c>
      <c r="BB60" t="inlineStr">
        <is>
          <t>BOOK</t>
        </is>
      </c>
      <c r="BD60" t="inlineStr">
        <is>
          <t>9780914768524</t>
        </is>
      </c>
      <c r="BE60" t="inlineStr">
        <is>
          <t>30001003720754</t>
        </is>
      </c>
      <c r="BF60" t="inlineStr">
        <is>
          <t>893161851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QV 18 A928d 1987</t>
        </is>
      </c>
      <c r="E61" t="inlineStr">
        <is>
          <t>0                      QV 0018000A  928d        1987</t>
        </is>
      </c>
      <c r="F61" t="inlineStr">
        <is>
          <t>Dosage calculation : method and workbook / Ann Aurigemma, Barbara J. Bohny.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M61" t="inlineStr">
        <is>
          <t>Aurigemma, Ann.</t>
        </is>
      </c>
      <c r="N61" t="inlineStr">
        <is>
          <t>New York : National League for Nursing, c1987.</t>
        </is>
      </c>
      <c r="O61" t="inlineStr">
        <is>
          <t>1987</t>
        </is>
      </c>
      <c r="P61" t="inlineStr">
        <is>
          <t>3rd ed.</t>
        </is>
      </c>
      <c r="Q61" t="inlineStr">
        <is>
          <t>eng</t>
        </is>
      </c>
      <c r="R61" t="inlineStr">
        <is>
          <t>nyu</t>
        </is>
      </c>
      <c r="S61" t="inlineStr">
        <is>
          <t>Pub. ; no. 20-2197.</t>
        </is>
      </c>
      <c r="T61" t="inlineStr">
        <is>
          <t xml:space="preserve">QV </t>
        </is>
      </c>
      <c r="U61" t="n">
        <v>6</v>
      </c>
      <c r="V61" t="n">
        <v>6</v>
      </c>
      <c r="W61" t="inlineStr">
        <is>
          <t>1997-10-15</t>
        </is>
      </c>
      <c r="X61" t="inlineStr">
        <is>
          <t>1997-10-15</t>
        </is>
      </c>
      <c r="Y61" t="inlineStr">
        <is>
          <t>1993-02-19</t>
        </is>
      </c>
      <c r="Z61" t="inlineStr">
        <is>
          <t>1993-02-19</t>
        </is>
      </c>
      <c r="AA61" t="n">
        <v>148</v>
      </c>
      <c r="AB61" t="n">
        <v>131</v>
      </c>
      <c r="AC61" t="n">
        <v>183</v>
      </c>
      <c r="AD61" t="n">
        <v>1</v>
      </c>
      <c r="AE61" t="n">
        <v>2</v>
      </c>
      <c r="AF61" t="n">
        <v>4</v>
      </c>
      <c r="AG61" t="n">
        <v>6</v>
      </c>
      <c r="AH61" t="n">
        <v>0</v>
      </c>
      <c r="AI61" t="n">
        <v>1</v>
      </c>
      <c r="AJ61" t="n">
        <v>2</v>
      </c>
      <c r="AK61" t="n">
        <v>3</v>
      </c>
      <c r="AL61" t="n">
        <v>2</v>
      </c>
      <c r="AM61" t="n">
        <v>3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HYPERLINK("http://catalog.hathitrust.org/Record/002494654","HathiTrust Record")</f>
        <v/>
      </c>
      <c r="AU61">
        <f>HYPERLINK("https://creighton-primo.hosted.exlibrisgroup.com/primo-explore/search?tab=default_tab&amp;search_scope=EVERYTHING&amp;vid=01CRU&amp;lang=en_US&amp;offset=0&amp;query=any,contains,991001233529702656","Catalog Record")</f>
        <v/>
      </c>
      <c r="AV61">
        <f>HYPERLINK("http://www.worldcat.org/oclc/17951997","WorldCat Record")</f>
        <v/>
      </c>
      <c r="AW61" t="inlineStr">
        <is>
          <t>5813635:eng</t>
        </is>
      </c>
      <c r="AX61" t="inlineStr">
        <is>
          <t>17951997</t>
        </is>
      </c>
      <c r="AY61" t="inlineStr">
        <is>
          <t>991001233529702656</t>
        </is>
      </c>
      <c r="AZ61" t="inlineStr">
        <is>
          <t>991001233529702656</t>
        </is>
      </c>
      <c r="BA61" t="inlineStr">
        <is>
          <t>2261082250002656</t>
        </is>
      </c>
      <c r="BB61" t="inlineStr">
        <is>
          <t>BOOK</t>
        </is>
      </c>
      <c r="BD61" t="inlineStr">
        <is>
          <t>9780887373824</t>
        </is>
      </c>
      <c r="BE61" t="inlineStr">
        <is>
          <t>30001002339226</t>
        </is>
      </c>
      <c r="BF61" t="inlineStr">
        <is>
          <t>893168079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QV 18 B879b 1984</t>
        </is>
      </c>
      <c r="E62" t="inlineStr">
        <is>
          <t>0                      QV 0018000B  879b        1984</t>
        </is>
      </c>
      <c r="F62" t="inlineStr">
        <is>
          <t>Basic drug calculations / Meta Brown, Joyce L. Mulholland.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Seltzer, Meta Brown.</t>
        </is>
      </c>
      <c r="N62" t="inlineStr">
        <is>
          <t>St. Louis : Mosby, c1984.</t>
        </is>
      </c>
      <c r="O62" t="inlineStr">
        <is>
          <t>1984</t>
        </is>
      </c>
      <c r="P62" t="inlineStr">
        <is>
          <t>2nd ed.</t>
        </is>
      </c>
      <c r="Q62" t="inlineStr">
        <is>
          <t>eng</t>
        </is>
      </c>
      <c r="R62" t="inlineStr">
        <is>
          <t>mou</t>
        </is>
      </c>
      <c r="T62" t="inlineStr">
        <is>
          <t xml:space="preserve">QV </t>
        </is>
      </c>
      <c r="U62" t="n">
        <v>8</v>
      </c>
      <c r="V62" t="n">
        <v>8</v>
      </c>
      <c r="W62" t="inlineStr">
        <is>
          <t>1992-12-21</t>
        </is>
      </c>
      <c r="X62" t="inlineStr">
        <is>
          <t>1992-12-21</t>
        </is>
      </c>
      <c r="Y62" t="inlineStr">
        <is>
          <t>1988-01-27</t>
        </is>
      </c>
      <c r="Z62" t="inlineStr">
        <is>
          <t>1988-01-27</t>
        </is>
      </c>
      <c r="AA62" t="n">
        <v>68</v>
      </c>
      <c r="AB62" t="n">
        <v>51</v>
      </c>
      <c r="AC62" t="n">
        <v>91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J62" t="n">
        <v>0</v>
      </c>
      <c r="AK62" t="n">
        <v>0</v>
      </c>
      <c r="AL62" t="n">
        <v>1</v>
      </c>
      <c r="AM62" t="n">
        <v>1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HYPERLINK("https://creighton-primo.hosted.exlibrisgroup.com/primo-explore/search?tab=default_tab&amp;search_scope=EVERYTHING&amp;vid=01CRU&amp;lang=en_US&amp;offset=0&amp;query=any,contains,991000948769702656","Catalog Record")</f>
        <v/>
      </c>
      <c r="AV62">
        <f>HYPERLINK("http://www.worldcat.org/oclc/9830792","WorldCat Record")</f>
        <v/>
      </c>
      <c r="AW62" t="inlineStr">
        <is>
          <t>15033209:eng</t>
        </is>
      </c>
      <c r="AX62" t="inlineStr">
        <is>
          <t>9830792</t>
        </is>
      </c>
      <c r="AY62" t="inlineStr">
        <is>
          <t>991000948769702656</t>
        </is>
      </c>
      <c r="AZ62" t="inlineStr">
        <is>
          <t>991000948769702656</t>
        </is>
      </c>
      <c r="BA62" t="inlineStr">
        <is>
          <t>2255502040002656</t>
        </is>
      </c>
      <c r="BB62" t="inlineStr">
        <is>
          <t>BOOK</t>
        </is>
      </c>
      <c r="BD62" t="inlineStr">
        <is>
          <t>9780801608636</t>
        </is>
      </c>
      <c r="BE62" t="inlineStr">
        <is>
          <t>30001000190613</t>
        </is>
      </c>
      <c r="BF62" t="inlineStr">
        <is>
          <t>893826255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QV 18 C796c 1989</t>
        </is>
      </c>
      <c r="E63" t="inlineStr">
        <is>
          <t>0                      QV 0018000C  796c        1989</t>
        </is>
      </c>
      <c r="F63" t="inlineStr">
        <is>
          <t>Clinical calculations for nurses : with basic mathematics review / Mary Jane Cordón.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Yes</t>
        </is>
      </c>
      <c r="L63" t="inlineStr">
        <is>
          <t>0</t>
        </is>
      </c>
      <c r="M63" t="inlineStr">
        <is>
          <t>Cordón, Mary Jane.</t>
        </is>
      </c>
      <c r="N63" t="inlineStr">
        <is>
          <t>East Norwalk, Conn. : Appleton &amp; Lange, c1989.</t>
        </is>
      </c>
      <c r="O63" t="inlineStr">
        <is>
          <t>1989</t>
        </is>
      </c>
      <c r="P63" t="inlineStr">
        <is>
          <t>2nd ed.</t>
        </is>
      </c>
      <c r="Q63" t="inlineStr">
        <is>
          <t>eng</t>
        </is>
      </c>
      <c r="R63" t="inlineStr">
        <is>
          <t>xxu</t>
        </is>
      </c>
      <c r="T63" t="inlineStr">
        <is>
          <t xml:space="preserve">QV </t>
        </is>
      </c>
      <c r="U63" t="n">
        <v>13</v>
      </c>
      <c r="V63" t="n">
        <v>13</v>
      </c>
      <c r="W63" t="inlineStr">
        <is>
          <t>1993-10-15</t>
        </is>
      </c>
      <c r="X63" t="inlineStr">
        <is>
          <t>1993-10-15</t>
        </is>
      </c>
      <c r="Y63" t="inlineStr">
        <is>
          <t>1989-11-21</t>
        </is>
      </c>
      <c r="Z63" t="inlineStr">
        <is>
          <t>1989-11-21</t>
        </is>
      </c>
      <c r="AA63" t="n">
        <v>133</v>
      </c>
      <c r="AB63" t="n">
        <v>108</v>
      </c>
      <c r="AC63" t="n">
        <v>336</v>
      </c>
      <c r="AD63" t="n">
        <v>1</v>
      </c>
      <c r="AE63" t="n">
        <v>1</v>
      </c>
      <c r="AF63" t="n">
        <v>1</v>
      </c>
      <c r="AG63" t="n">
        <v>9</v>
      </c>
      <c r="AH63" t="n">
        <v>0</v>
      </c>
      <c r="AI63" t="n">
        <v>4</v>
      </c>
      <c r="AJ63" t="n">
        <v>0</v>
      </c>
      <c r="AK63" t="n">
        <v>1</v>
      </c>
      <c r="AL63" t="n">
        <v>1</v>
      </c>
      <c r="AM63" t="n">
        <v>6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HYPERLINK("http://catalog.hathitrust.org/Record/002423973","HathiTrust Record")</f>
        <v/>
      </c>
      <c r="AU63">
        <f>HYPERLINK("https://creighton-primo.hosted.exlibrisgroup.com/primo-explore/search?tab=default_tab&amp;search_scope=EVERYTHING&amp;vid=01CRU&amp;lang=en_US&amp;offset=0&amp;query=any,contains,991001375009702656","Catalog Record")</f>
        <v/>
      </c>
      <c r="AV63">
        <f>HYPERLINK("http://www.worldcat.org/oclc/19722574","WorldCat Record")</f>
        <v/>
      </c>
      <c r="AW63" t="inlineStr">
        <is>
          <t>21473422:eng</t>
        </is>
      </c>
      <c r="AX63" t="inlineStr">
        <is>
          <t>19722574</t>
        </is>
      </c>
      <c r="AY63" t="inlineStr">
        <is>
          <t>991001375009702656</t>
        </is>
      </c>
      <c r="AZ63" t="inlineStr">
        <is>
          <t>991001375009702656</t>
        </is>
      </c>
      <c r="BA63" t="inlineStr">
        <is>
          <t>2266093000002656</t>
        </is>
      </c>
      <c r="BB63" t="inlineStr">
        <is>
          <t>BOOK</t>
        </is>
      </c>
      <c r="BD63" t="inlineStr">
        <is>
          <t>9780838512142</t>
        </is>
      </c>
      <c r="BE63" t="inlineStr">
        <is>
          <t>30001001798109</t>
        </is>
      </c>
      <c r="BF63" t="inlineStr">
        <is>
          <t>893279028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QV 18 C976m 1984</t>
        </is>
      </c>
      <c r="E64" t="inlineStr">
        <is>
          <t>0                      QV 0018000C  976m        1984</t>
        </is>
      </c>
      <c r="F64" t="inlineStr">
        <is>
          <t>Math for meds : a programmed text / Anna M. Curren, Laurie D. Munday.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Yes</t>
        </is>
      </c>
      <c r="L64" t="inlineStr">
        <is>
          <t>0</t>
        </is>
      </c>
      <c r="M64" t="inlineStr">
        <is>
          <t>Curren, Anna M.</t>
        </is>
      </c>
      <c r="N64" t="inlineStr">
        <is>
          <t>San Diego, CA : Wallcur, c1984.</t>
        </is>
      </c>
      <c r="O64" t="inlineStr">
        <is>
          <t>1984</t>
        </is>
      </c>
      <c r="P64" t="inlineStr">
        <is>
          <t>4th ed.</t>
        </is>
      </c>
      <c r="Q64" t="inlineStr">
        <is>
          <t>eng</t>
        </is>
      </c>
      <c r="R64" t="inlineStr">
        <is>
          <t>cau</t>
        </is>
      </c>
      <c r="T64" t="inlineStr">
        <is>
          <t xml:space="preserve">QV </t>
        </is>
      </c>
      <c r="U64" t="n">
        <v>2</v>
      </c>
      <c r="V64" t="n">
        <v>2</v>
      </c>
      <c r="W64" t="inlineStr">
        <is>
          <t>1991-08-29</t>
        </is>
      </c>
      <c r="X64" t="inlineStr">
        <is>
          <t>1991-08-29</t>
        </is>
      </c>
      <c r="Y64" t="inlineStr">
        <is>
          <t>1988-01-27</t>
        </is>
      </c>
      <c r="Z64" t="inlineStr">
        <is>
          <t>1988-01-27</t>
        </is>
      </c>
      <c r="AA64" t="n">
        <v>28</v>
      </c>
      <c r="AB64" t="n">
        <v>24</v>
      </c>
      <c r="AC64" t="n">
        <v>639</v>
      </c>
      <c r="AD64" t="n">
        <v>1</v>
      </c>
      <c r="AE64" t="n">
        <v>6</v>
      </c>
      <c r="AF64" t="n">
        <v>1</v>
      </c>
      <c r="AG64" t="n">
        <v>18</v>
      </c>
      <c r="AH64" t="n">
        <v>1</v>
      </c>
      <c r="AI64" t="n">
        <v>7</v>
      </c>
      <c r="AJ64" t="n">
        <v>0</v>
      </c>
      <c r="AK64" t="n">
        <v>1</v>
      </c>
      <c r="AL64" t="n">
        <v>1</v>
      </c>
      <c r="AM64" t="n">
        <v>9</v>
      </c>
      <c r="AN64" t="n">
        <v>0</v>
      </c>
      <c r="AO64" t="n">
        <v>3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HYPERLINK("https://creighton-primo.hosted.exlibrisgroup.com/primo-explore/search?tab=default_tab&amp;search_scope=EVERYTHING&amp;vid=01CRU&amp;lang=en_US&amp;offset=0&amp;query=any,contains,991000949169702656","Catalog Record")</f>
        <v/>
      </c>
      <c r="AV64">
        <f>HYPERLINK("http://www.worldcat.org/oclc/10494099","WorldCat Record")</f>
        <v/>
      </c>
      <c r="AW64" t="inlineStr">
        <is>
          <t>1042326:eng</t>
        </is>
      </c>
      <c r="AX64" t="inlineStr">
        <is>
          <t>10494099</t>
        </is>
      </c>
      <c r="AY64" t="inlineStr">
        <is>
          <t>991000949169702656</t>
        </is>
      </c>
      <c r="AZ64" t="inlineStr">
        <is>
          <t>991000949169702656</t>
        </is>
      </c>
      <c r="BA64" t="inlineStr">
        <is>
          <t>2261040400002656</t>
        </is>
      </c>
      <c r="BB64" t="inlineStr">
        <is>
          <t>BOOK</t>
        </is>
      </c>
      <c r="BE64" t="inlineStr">
        <is>
          <t>30001000190670</t>
        </is>
      </c>
      <c r="BF64" t="inlineStr">
        <is>
          <t>893450631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QV 18 G378p 1991</t>
        </is>
      </c>
      <c r="E65" t="inlineStr">
        <is>
          <t>0                      QV 0018000G  378p        1991</t>
        </is>
      </c>
      <c r="F65" t="inlineStr">
        <is>
          <t>Pharmacy examination review : 1000 multiple choice questions and explanatory answers / Robert J. Gerraughty, Joan M. Lausier, and Michele A. Danish.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Gerraughty, Robert J., 1928-</t>
        </is>
      </c>
      <c r="N65" t="inlineStr">
        <is>
          <t>New York, N.Y. : Medical Examination Pub. Co., c1991.</t>
        </is>
      </c>
      <c r="O65" t="inlineStr">
        <is>
          <t>1991</t>
        </is>
      </c>
      <c r="P65" t="inlineStr">
        <is>
          <t>10th ed.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QV </t>
        </is>
      </c>
      <c r="U65" t="n">
        <v>23</v>
      </c>
      <c r="V65" t="n">
        <v>23</v>
      </c>
      <c r="W65" t="inlineStr">
        <is>
          <t>2005-10-30</t>
        </is>
      </c>
      <c r="X65" t="inlineStr">
        <is>
          <t>2005-10-30</t>
        </is>
      </c>
      <c r="Y65" t="inlineStr">
        <is>
          <t>1991-04-26</t>
        </is>
      </c>
      <c r="Z65" t="inlineStr">
        <is>
          <t>1991-04-26</t>
        </is>
      </c>
      <c r="AA65" t="n">
        <v>45</v>
      </c>
      <c r="AB65" t="n">
        <v>33</v>
      </c>
      <c r="AC65" t="n">
        <v>67</v>
      </c>
      <c r="AD65" t="n">
        <v>1</v>
      </c>
      <c r="AE65" t="n">
        <v>1</v>
      </c>
      <c r="AF65" t="n">
        <v>0</v>
      </c>
      <c r="AG65" t="n">
        <v>2</v>
      </c>
      <c r="AH65" t="n">
        <v>0</v>
      </c>
      <c r="AI65" t="n">
        <v>1</v>
      </c>
      <c r="AJ65" t="n">
        <v>0</v>
      </c>
      <c r="AK65" t="n">
        <v>1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HYPERLINK("https://creighton-primo.hosted.exlibrisgroup.com/primo-explore/search?tab=default_tab&amp;search_scope=EVERYTHING&amp;vid=01CRU&amp;lang=en_US&amp;offset=0&amp;query=any,contains,991000934439702656","Catalog Record")</f>
        <v/>
      </c>
      <c r="AV65">
        <f>HYPERLINK("http://www.worldcat.org/oclc/22837087","WorldCat Record")</f>
        <v/>
      </c>
      <c r="AW65" t="inlineStr">
        <is>
          <t>2864356759:eng</t>
        </is>
      </c>
      <c r="AX65" t="inlineStr">
        <is>
          <t>22837087</t>
        </is>
      </c>
      <c r="AY65" t="inlineStr">
        <is>
          <t>991000934439702656</t>
        </is>
      </c>
      <c r="AZ65" t="inlineStr">
        <is>
          <t>991000934439702656</t>
        </is>
      </c>
      <c r="BA65" t="inlineStr">
        <is>
          <t>2260765420002656</t>
        </is>
      </c>
      <c r="BB65" t="inlineStr">
        <is>
          <t>BOOK</t>
        </is>
      </c>
      <c r="BD65" t="inlineStr">
        <is>
          <t>9780444015587</t>
        </is>
      </c>
      <c r="BE65" t="inlineStr">
        <is>
          <t>30001002190421</t>
        </is>
      </c>
      <c r="BF65" t="inlineStr">
        <is>
          <t>893727101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QV 18 H176a 1993</t>
        </is>
      </c>
      <c r="E66" t="inlineStr">
        <is>
          <t>0                      QV 0018000H  176a        1993</t>
        </is>
      </c>
      <c r="F66" t="inlineStr">
        <is>
          <t>Appleton &amp; Lange's review of pharmacy.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Yes</t>
        </is>
      </c>
      <c r="L66" t="inlineStr">
        <is>
          <t>0</t>
        </is>
      </c>
      <c r="M66" t="inlineStr">
        <is>
          <t>Hall, Gary D.</t>
        </is>
      </c>
      <c r="N66" t="inlineStr">
        <is>
          <t>Norwalk, Conn. : Appleton &amp; Lange, c1993.</t>
        </is>
      </c>
      <c r="O66" t="inlineStr">
        <is>
          <t>1993</t>
        </is>
      </c>
      <c r="P66" t="inlineStr">
        <is>
          <t>5th ed. / Gary D. Hall, Barry S. Reiss.</t>
        </is>
      </c>
      <c r="Q66" t="inlineStr">
        <is>
          <t>eng</t>
        </is>
      </c>
      <c r="R66" t="inlineStr">
        <is>
          <t>ctu</t>
        </is>
      </c>
      <c r="S66" t="inlineStr">
        <is>
          <t>A &amp; L's review series</t>
        </is>
      </c>
      <c r="T66" t="inlineStr">
        <is>
          <t xml:space="preserve">QV </t>
        </is>
      </c>
      <c r="U66" t="n">
        <v>27</v>
      </c>
      <c r="V66" t="n">
        <v>27</v>
      </c>
      <c r="W66" t="inlineStr">
        <is>
          <t>2007-06-04</t>
        </is>
      </c>
      <c r="X66" t="inlineStr">
        <is>
          <t>2007-06-04</t>
        </is>
      </c>
      <c r="Y66" t="inlineStr">
        <is>
          <t>1993-08-31</t>
        </is>
      </c>
      <c r="Z66" t="inlineStr">
        <is>
          <t>1993-08-31</t>
        </is>
      </c>
      <c r="AA66" t="n">
        <v>55</v>
      </c>
      <c r="AB66" t="n">
        <v>32</v>
      </c>
      <c r="AC66" t="n">
        <v>135</v>
      </c>
      <c r="AD66" t="n">
        <v>1</v>
      </c>
      <c r="AE66" t="n">
        <v>3</v>
      </c>
      <c r="AF66" t="n">
        <v>0</v>
      </c>
      <c r="AG66" t="n">
        <v>6</v>
      </c>
      <c r="AH66" t="n">
        <v>0</v>
      </c>
      <c r="AI66" t="n">
        <v>2</v>
      </c>
      <c r="AJ66" t="n">
        <v>0</v>
      </c>
      <c r="AK66" t="n">
        <v>0</v>
      </c>
      <c r="AL66" t="n">
        <v>0</v>
      </c>
      <c r="AM66" t="n">
        <v>2</v>
      </c>
      <c r="AN66" t="n">
        <v>0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HYPERLINK("http://catalog.hathitrust.org/Record/002865173","HathiTrust Record")</f>
        <v/>
      </c>
      <c r="AU66">
        <f>HYPERLINK("https://creighton-primo.hosted.exlibrisgroup.com/primo-explore/search?tab=default_tab&amp;search_scope=EVERYTHING&amp;vid=01CRU&amp;lang=en_US&amp;offset=0&amp;query=any,contains,991001511509702656","Catalog Record")</f>
        <v/>
      </c>
      <c r="AV66">
        <f>HYPERLINK("http://www.worldcat.org/oclc/27311184","WorldCat Record")</f>
        <v/>
      </c>
      <c r="AW66" t="inlineStr">
        <is>
          <t>40559:eng</t>
        </is>
      </c>
      <c r="AX66" t="inlineStr">
        <is>
          <t>27311184</t>
        </is>
      </c>
      <c r="AY66" t="inlineStr">
        <is>
          <t>991001511509702656</t>
        </is>
      </c>
      <c r="AZ66" t="inlineStr">
        <is>
          <t>991001511509702656</t>
        </is>
      </c>
      <c r="BA66" t="inlineStr">
        <is>
          <t>2255806120002656</t>
        </is>
      </c>
      <c r="BB66" t="inlineStr">
        <is>
          <t>BOOK</t>
        </is>
      </c>
      <c r="BD66" t="inlineStr">
        <is>
          <t>9780838501627</t>
        </is>
      </c>
      <c r="BE66" t="inlineStr">
        <is>
          <t>30001002600890</t>
        </is>
      </c>
      <c r="BF66" t="inlineStr">
        <is>
          <t>893727718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QV 18 N277c 1989</t>
        </is>
      </c>
      <c r="E67" t="inlineStr">
        <is>
          <t>0                      QV 0018000N  277c        1989</t>
        </is>
      </c>
      <c r="F67" t="inlineStr">
        <is>
          <t>A candidate's review guide to the National Association of Boards of Pharmacy Licensure Examination.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National Association of Boards of Pharmacy.</t>
        </is>
      </c>
      <c r="N67" t="inlineStr">
        <is>
          <t>[Chicago] : National Association of Boards of Pharmacy, c1989.</t>
        </is>
      </c>
      <c r="O67" t="inlineStr">
        <is>
          <t>1989</t>
        </is>
      </c>
      <c r="Q67" t="inlineStr">
        <is>
          <t>eng</t>
        </is>
      </c>
      <c r="R67" t="inlineStr">
        <is>
          <t>ilu</t>
        </is>
      </c>
      <c r="T67" t="inlineStr">
        <is>
          <t xml:space="preserve">QV </t>
        </is>
      </c>
      <c r="U67" t="n">
        <v>12</v>
      </c>
      <c r="V67" t="n">
        <v>12</v>
      </c>
      <c r="W67" t="inlineStr">
        <is>
          <t>1995-04-30</t>
        </is>
      </c>
      <c r="X67" t="inlineStr">
        <is>
          <t>1995-04-30</t>
        </is>
      </c>
      <c r="Y67" t="inlineStr">
        <is>
          <t>1989-04-13</t>
        </is>
      </c>
      <c r="Z67" t="inlineStr">
        <is>
          <t>1989-04-13</t>
        </is>
      </c>
      <c r="AA67" t="n">
        <v>1</v>
      </c>
      <c r="AB67" t="n">
        <v>1</v>
      </c>
      <c r="AC67" t="n">
        <v>1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HYPERLINK("https://creighton-primo.hosted.exlibrisgroup.com/primo-explore/search?tab=default_tab&amp;search_scope=EVERYTHING&amp;vid=01CRU&amp;lang=en_US&amp;offset=0&amp;query=any,contains,991001115529702656","Catalog Record")</f>
        <v/>
      </c>
      <c r="AV67">
        <f>HYPERLINK("http://www.worldcat.org/oclc/19482264","WorldCat Record")</f>
        <v/>
      </c>
      <c r="AW67" t="inlineStr">
        <is>
          <t>3855813969:eng</t>
        </is>
      </c>
      <c r="AX67" t="inlineStr">
        <is>
          <t>19482264</t>
        </is>
      </c>
      <c r="AY67" t="inlineStr">
        <is>
          <t>991001115529702656</t>
        </is>
      </c>
      <c r="AZ67" t="inlineStr">
        <is>
          <t>991001115529702656</t>
        </is>
      </c>
      <c r="BA67" t="inlineStr">
        <is>
          <t>2262436310002656</t>
        </is>
      </c>
      <c r="BB67" t="inlineStr">
        <is>
          <t>BOOK</t>
        </is>
      </c>
      <c r="BE67" t="inlineStr">
        <is>
          <t>30001001613159</t>
        </is>
      </c>
      <c r="BF67" t="inlineStr">
        <is>
          <t>893834568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QV18 N277C 1996-97</t>
        </is>
      </c>
      <c r="E68" t="inlineStr">
        <is>
          <t>0                      QV 0018000N  277C        1996                                        -97</t>
        </is>
      </c>
      <c r="F68" t="inlineStr">
        <is>
          <t>A candidate's guide for the National Association of Boards of Pharmacy licensure examination / NABPLEX Review Committee.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National Association of Boards of Pharmacy.</t>
        </is>
      </c>
      <c r="N68" t="inlineStr">
        <is>
          <t>Chicago : National Association of Boards of Pharmacy, c1995.</t>
        </is>
      </c>
      <c r="O68" t="inlineStr">
        <is>
          <t>1995</t>
        </is>
      </c>
      <c r="Q68" t="inlineStr">
        <is>
          <t>eng</t>
        </is>
      </c>
      <c r="R68" t="inlineStr">
        <is>
          <t>ilu</t>
        </is>
      </c>
      <c r="T68" t="inlineStr">
        <is>
          <t xml:space="preserve">QV </t>
        </is>
      </c>
      <c r="U68" t="n">
        <v>2</v>
      </c>
      <c r="V68" t="n">
        <v>2</v>
      </c>
      <c r="W68" t="inlineStr">
        <is>
          <t>2006-09-15</t>
        </is>
      </c>
      <c r="X68" t="inlineStr">
        <is>
          <t>2006-09-15</t>
        </is>
      </c>
      <c r="Y68" t="inlineStr">
        <is>
          <t>2002-11-19</t>
        </is>
      </c>
      <c r="Z68" t="inlineStr">
        <is>
          <t>2002-11-19</t>
        </is>
      </c>
      <c r="AA68" t="n">
        <v>2</v>
      </c>
      <c r="AB68" t="n">
        <v>2</v>
      </c>
      <c r="AC68" t="n">
        <v>2</v>
      </c>
      <c r="AD68" t="n">
        <v>1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HYPERLINK("https://creighton-primo.hosted.exlibrisgroup.com/primo-explore/search?tab=default_tab&amp;search_scope=EVERYTHING&amp;vid=01CRU&amp;lang=en_US&amp;offset=0&amp;query=any,contains,991000332529702656","Catalog Record")</f>
        <v/>
      </c>
      <c r="AV68">
        <f>HYPERLINK("http://www.worldcat.org/oclc/35215031","WorldCat Record")</f>
        <v/>
      </c>
      <c r="AW68" t="inlineStr">
        <is>
          <t>5612715766:eng</t>
        </is>
      </c>
      <c r="AX68" t="inlineStr">
        <is>
          <t>35215031</t>
        </is>
      </c>
      <c r="AY68" t="inlineStr">
        <is>
          <t>991000332529702656</t>
        </is>
      </c>
      <c r="AZ68" t="inlineStr">
        <is>
          <t>991000332529702656</t>
        </is>
      </c>
      <c r="BA68" t="inlineStr">
        <is>
          <t>2255837080002656</t>
        </is>
      </c>
      <c r="BB68" t="inlineStr">
        <is>
          <t>BOOK</t>
        </is>
      </c>
      <c r="BE68" t="inlineStr">
        <is>
          <t>30001004445179</t>
        </is>
      </c>
      <c r="BF68" t="inlineStr">
        <is>
          <t>893542262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QV 18 N675c 1989</t>
        </is>
      </c>
      <c r="E69" t="inlineStr">
        <is>
          <t>0                      QV 0018000N  675c        1989</t>
        </is>
      </c>
      <c r="F69" t="inlineStr">
        <is>
          <t>Clinical problems in basic pharmacology / David W. Nierenberg, Roger P. Smith.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Nierenberg, David W.</t>
        </is>
      </c>
      <c r="N69" t="inlineStr">
        <is>
          <t>St. Louis : Mosby, c1989.</t>
        </is>
      </c>
      <c r="O69" t="inlineStr">
        <is>
          <t>1989</t>
        </is>
      </c>
      <c r="P69" t="inlineStr">
        <is>
          <t>1st ed.</t>
        </is>
      </c>
      <c r="Q69" t="inlineStr">
        <is>
          <t>eng</t>
        </is>
      </c>
      <c r="R69" t="inlineStr">
        <is>
          <t>mou</t>
        </is>
      </c>
      <c r="T69" t="inlineStr">
        <is>
          <t xml:space="preserve">QV </t>
        </is>
      </c>
      <c r="U69" t="n">
        <v>26</v>
      </c>
      <c r="V69" t="n">
        <v>26</v>
      </c>
      <c r="W69" t="inlineStr">
        <is>
          <t>2001-09-14</t>
        </is>
      </c>
      <c r="X69" t="inlineStr">
        <is>
          <t>2001-09-14</t>
        </is>
      </c>
      <c r="Y69" t="inlineStr">
        <is>
          <t>1988-12-28</t>
        </is>
      </c>
      <c r="Z69" t="inlineStr">
        <is>
          <t>1988-12-28</t>
        </is>
      </c>
      <c r="AA69" t="n">
        <v>70</v>
      </c>
      <c r="AB69" t="n">
        <v>46</v>
      </c>
      <c r="AC69" t="n">
        <v>48</v>
      </c>
      <c r="AD69" t="n">
        <v>1</v>
      </c>
      <c r="AE69" t="n">
        <v>1</v>
      </c>
      <c r="AF69" t="n">
        <v>3</v>
      </c>
      <c r="AG69" t="n">
        <v>3</v>
      </c>
      <c r="AH69" t="n">
        <v>2</v>
      </c>
      <c r="AI69" t="n">
        <v>2</v>
      </c>
      <c r="AJ69" t="n">
        <v>0</v>
      </c>
      <c r="AK69" t="n">
        <v>0</v>
      </c>
      <c r="AL69" t="n">
        <v>1</v>
      </c>
      <c r="AM69" t="n">
        <v>1</v>
      </c>
      <c r="AN69" t="n">
        <v>0</v>
      </c>
      <c r="AO69" t="n">
        <v>0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HYPERLINK("http://catalog.hathitrust.org/Record/002451490","HathiTrust Record")</f>
        <v/>
      </c>
      <c r="AU69">
        <f>HYPERLINK("https://creighton-primo.hosted.exlibrisgroup.com/primo-explore/search?tab=default_tab&amp;search_scope=EVERYTHING&amp;vid=01CRU&amp;lang=en_US&amp;offset=0&amp;query=any,contains,991001112799702656","Catalog Record")</f>
        <v/>
      </c>
      <c r="AV69">
        <f>HYPERLINK("http://www.worldcat.org/oclc/18136897","WorldCat Record")</f>
        <v/>
      </c>
      <c r="AW69" t="inlineStr">
        <is>
          <t>16968298:eng</t>
        </is>
      </c>
      <c r="AX69" t="inlineStr">
        <is>
          <t>18136897</t>
        </is>
      </c>
      <c r="AY69" t="inlineStr">
        <is>
          <t>991001112799702656</t>
        </is>
      </c>
      <c r="AZ69" t="inlineStr">
        <is>
          <t>991001112799702656</t>
        </is>
      </c>
      <c r="BA69" t="inlineStr">
        <is>
          <t>2267992510002656</t>
        </is>
      </c>
      <c r="BB69" t="inlineStr">
        <is>
          <t>BOOK</t>
        </is>
      </c>
      <c r="BD69" t="inlineStr">
        <is>
          <t>9780801638602</t>
        </is>
      </c>
      <c r="BE69" t="inlineStr">
        <is>
          <t>30001001612441</t>
        </is>
      </c>
      <c r="BF69" t="inlineStr">
        <is>
          <t>893638042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QV 18 P252r 1977</t>
        </is>
      </c>
      <c r="E70" t="inlineStr">
        <is>
          <t>0                      QV 0018000P  252r        1977</t>
        </is>
      </c>
      <c r="F70" t="inlineStr">
        <is>
          <t>Review mathematics for nurses and health professionals : a text-workbook including dosages and solutions / Lucille M. Parks.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Parks, Lucille M.</t>
        </is>
      </c>
      <c r="N70" t="inlineStr">
        <is>
          <t>Menlo Park, Calif. : Cummings Pub. Co., c1977.</t>
        </is>
      </c>
      <c r="O70" t="inlineStr">
        <is>
          <t>1977</t>
        </is>
      </c>
      <c r="Q70" t="inlineStr">
        <is>
          <t>eng</t>
        </is>
      </c>
      <c r="R70" t="inlineStr">
        <is>
          <t>cau</t>
        </is>
      </c>
      <c r="T70" t="inlineStr">
        <is>
          <t xml:space="preserve">QV </t>
        </is>
      </c>
      <c r="U70" t="n">
        <v>4</v>
      </c>
      <c r="V70" t="n">
        <v>4</v>
      </c>
      <c r="W70" t="inlineStr">
        <is>
          <t>1999-08-23</t>
        </is>
      </c>
      <c r="X70" t="inlineStr">
        <is>
          <t>1999-08-23</t>
        </is>
      </c>
      <c r="Y70" t="inlineStr">
        <is>
          <t>1988-01-27</t>
        </is>
      </c>
      <c r="Z70" t="inlineStr">
        <is>
          <t>1988-01-27</t>
        </is>
      </c>
      <c r="AA70" t="n">
        <v>41</v>
      </c>
      <c r="AB70" t="n">
        <v>34</v>
      </c>
      <c r="AC70" t="n">
        <v>40</v>
      </c>
      <c r="AD70" t="n">
        <v>1</v>
      </c>
      <c r="AE70" t="n">
        <v>1</v>
      </c>
      <c r="AF70" t="n">
        <v>1</v>
      </c>
      <c r="AG70" t="n">
        <v>1</v>
      </c>
      <c r="AH70" t="n">
        <v>0</v>
      </c>
      <c r="AI70" t="n">
        <v>0</v>
      </c>
      <c r="AJ70" t="n">
        <v>0</v>
      </c>
      <c r="AK70" t="n">
        <v>0</v>
      </c>
      <c r="AL70" t="n">
        <v>1</v>
      </c>
      <c r="AM70" t="n">
        <v>1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HYPERLINK("http://catalog.hathitrust.org/Record/007050981","HathiTrust Record")</f>
        <v/>
      </c>
      <c r="AU70">
        <f>HYPERLINK("https://creighton-primo.hosted.exlibrisgroup.com/primo-explore/search?tab=default_tab&amp;search_scope=EVERYTHING&amp;vid=01CRU&amp;lang=en_US&amp;offset=0&amp;query=any,contains,991000949779702656","Catalog Record")</f>
        <v/>
      </c>
      <c r="AV70">
        <f>HYPERLINK("http://www.worldcat.org/oclc/3312385","WorldCat Record")</f>
        <v/>
      </c>
      <c r="AW70" t="inlineStr">
        <is>
          <t>9467100:eng</t>
        </is>
      </c>
      <c r="AX70" t="inlineStr">
        <is>
          <t>3312385</t>
        </is>
      </c>
      <c r="AY70" t="inlineStr">
        <is>
          <t>991000949779702656</t>
        </is>
      </c>
      <c r="AZ70" t="inlineStr">
        <is>
          <t>991000949779702656</t>
        </is>
      </c>
      <c r="BA70" t="inlineStr">
        <is>
          <t>2270956710002656</t>
        </is>
      </c>
      <c r="BB70" t="inlineStr">
        <is>
          <t>BOOK</t>
        </is>
      </c>
      <c r="BD70" t="inlineStr">
        <is>
          <t>9780846548904</t>
        </is>
      </c>
      <c r="BE70" t="inlineStr">
        <is>
          <t>30001000190753</t>
        </is>
      </c>
      <c r="BF70" t="inlineStr">
        <is>
          <t>893736065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QV 18 P5365 1991</t>
        </is>
      </c>
      <c r="E71" t="inlineStr">
        <is>
          <t>0                      QV 0018000P  5365        1991</t>
        </is>
      </c>
      <c r="F71" t="inlineStr">
        <is>
          <t>Pharmacology : PreTest self-assessment and review.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New York : McGraw-Hill Inc., Health Professions Division, PreTest Series, c1991.</t>
        </is>
      </c>
      <c r="O71" t="inlineStr">
        <is>
          <t>1991</t>
        </is>
      </c>
      <c r="P71" t="inlineStr">
        <is>
          <t>6th ed. / senior editor, Joseph R. DiPalma ; contributing editors, Edward J. Barbieri ... [et. al.].</t>
        </is>
      </c>
      <c r="Q71" t="inlineStr">
        <is>
          <t>eng</t>
        </is>
      </c>
      <c r="R71" t="inlineStr">
        <is>
          <t>cou</t>
        </is>
      </c>
      <c r="T71" t="inlineStr">
        <is>
          <t xml:space="preserve">QV </t>
        </is>
      </c>
      <c r="U71" t="n">
        <v>47</v>
      </c>
      <c r="V71" t="n">
        <v>47</v>
      </c>
      <c r="W71" t="inlineStr">
        <is>
          <t>2005-04-20</t>
        </is>
      </c>
      <c r="X71" t="inlineStr">
        <is>
          <t>2005-04-20</t>
        </is>
      </c>
      <c r="Y71" t="inlineStr">
        <is>
          <t>1991-02-19</t>
        </is>
      </c>
      <c r="Z71" t="inlineStr">
        <is>
          <t>1991-02-19</t>
        </is>
      </c>
      <c r="AA71" t="n">
        <v>59</v>
      </c>
      <c r="AB71" t="n">
        <v>43</v>
      </c>
      <c r="AC71" t="n">
        <v>111</v>
      </c>
      <c r="AD71" t="n">
        <v>1</v>
      </c>
      <c r="AE71" t="n">
        <v>1</v>
      </c>
      <c r="AF71" t="n">
        <v>1</v>
      </c>
      <c r="AG71" t="n">
        <v>4</v>
      </c>
      <c r="AH71" t="n">
        <v>0</v>
      </c>
      <c r="AI71" t="n">
        <v>1</v>
      </c>
      <c r="AJ71" t="n">
        <v>1</v>
      </c>
      <c r="AK71" t="n">
        <v>1</v>
      </c>
      <c r="AL71" t="n">
        <v>0</v>
      </c>
      <c r="AM71" t="n">
        <v>3</v>
      </c>
      <c r="AN71" t="n">
        <v>0</v>
      </c>
      <c r="AO71" t="n">
        <v>0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HYPERLINK("https://creighton-primo.hosted.exlibrisgroup.com/primo-explore/search?tab=default_tab&amp;search_scope=EVERYTHING&amp;vid=01CRU&amp;lang=en_US&amp;offset=0&amp;query=any,contains,991000821159702656","Catalog Record")</f>
        <v/>
      </c>
      <c r="AV71">
        <f>HYPERLINK("http://www.worldcat.org/oclc/21078298","WorldCat Record")</f>
        <v/>
      </c>
      <c r="AW71" t="inlineStr">
        <is>
          <t>3901001388:eng</t>
        </is>
      </c>
      <c r="AX71" t="inlineStr">
        <is>
          <t>21078298</t>
        </is>
      </c>
      <c r="AY71" t="inlineStr">
        <is>
          <t>991000821159702656</t>
        </is>
      </c>
      <c r="AZ71" t="inlineStr">
        <is>
          <t>991000821159702656</t>
        </is>
      </c>
      <c r="BA71" t="inlineStr">
        <is>
          <t>2272702920002656</t>
        </is>
      </c>
      <c r="BB71" t="inlineStr">
        <is>
          <t>BOOK</t>
        </is>
      </c>
      <c r="BD71" t="inlineStr">
        <is>
          <t>9780070519794</t>
        </is>
      </c>
      <c r="BE71" t="inlineStr">
        <is>
          <t>30001002087577</t>
        </is>
      </c>
      <c r="BF71" t="inlineStr">
        <is>
          <t>893464766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QV 18 P5366 1991</t>
        </is>
      </c>
      <c r="E72" t="inlineStr">
        <is>
          <t>0                      QV 0018000P  5366        1991</t>
        </is>
      </c>
      <c r="F72" t="inlineStr">
        <is>
          <t>Pharmacy practice exam / editors, Alan H. Mutnick, Paul F. Souney ; associate editors, Louise Glassner Cohen ... [et al.].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Media, Pa. : Harwal Pub. Co., c1991.</t>
        </is>
      </c>
      <c r="O72" t="inlineStr">
        <is>
          <t>1991</t>
        </is>
      </c>
      <c r="Q72" t="inlineStr">
        <is>
          <t>eng</t>
        </is>
      </c>
      <c r="R72" t="inlineStr">
        <is>
          <t>pau</t>
        </is>
      </c>
      <c r="T72" t="inlineStr">
        <is>
          <t xml:space="preserve">QV </t>
        </is>
      </c>
      <c r="U72" t="n">
        <v>29</v>
      </c>
      <c r="V72" t="n">
        <v>29</v>
      </c>
      <c r="W72" t="inlineStr">
        <is>
          <t>2006-09-15</t>
        </is>
      </c>
      <c r="X72" t="inlineStr">
        <is>
          <t>2006-09-15</t>
        </is>
      </c>
      <c r="Y72" t="inlineStr">
        <is>
          <t>1992-09-21</t>
        </is>
      </c>
      <c r="Z72" t="inlineStr">
        <is>
          <t>1992-09-21</t>
        </is>
      </c>
      <c r="AA72" t="n">
        <v>4</v>
      </c>
      <c r="AB72" t="n">
        <v>4</v>
      </c>
      <c r="AC72" t="n">
        <v>4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HYPERLINK("https://creighton-primo.hosted.exlibrisgroup.com/primo-explore/search?tab=default_tab&amp;search_scope=EVERYTHING&amp;vid=01CRU&amp;lang=en_US&amp;offset=0&amp;query=any,contains,991001344879702656","Catalog Record")</f>
        <v/>
      </c>
      <c r="AV72">
        <f>HYPERLINK("http://www.worldcat.org/oclc/24471202","WorldCat Record")</f>
        <v/>
      </c>
      <c r="AW72" t="inlineStr">
        <is>
          <t>26661256:eng</t>
        </is>
      </c>
      <c r="AX72" t="inlineStr">
        <is>
          <t>24471202</t>
        </is>
      </c>
      <c r="AY72" t="inlineStr">
        <is>
          <t>991001344879702656</t>
        </is>
      </c>
      <c r="AZ72" t="inlineStr">
        <is>
          <t>991001344879702656</t>
        </is>
      </c>
      <c r="BA72" t="inlineStr">
        <is>
          <t>2261995570002656</t>
        </is>
      </c>
      <c r="BB72" t="inlineStr">
        <is>
          <t>BOOK</t>
        </is>
      </c>
      <c r="BD72" t="inlineStr">
        <is>
          <t>9780683062526</t>
        </is>
      </c>
      <c r="BE72" t="inlineStr">
        <is>
          <t>30001002456863</t>
        </is>
      </c>
      <c r="BF72" t="inlineStr">
        <is>
          <t>893168143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QV 18 P5375 1985</t>
        </is>
      </c>
      <c r="E73" t="inlineStr">
        <is>
          <t>0                      QV 0018000P  5375        1985</t>
        </is>
      </c>
      <c r="F73" t="inlineStr">
        <is>
          <t>Pharmacy review / Walter Singer ... [et al.].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Norwalk, Conn. : Appleton-Century-Crofts, c1985.</t>
        </is>
      </c>
      <c r="O73" t="inlineStr">
        <is>
          <t>1985</t>
        </is>
      </c>
      <c r="P73" t="inlineStr">
        <is>
          <t>3rd ed.</t>
        </is>
      </c>
      <c r="Q73" t="inlineStr">
        <is>
          <t>eng</t>
        </is>
      </c>
      <c r="R73" t="inlineStr">
        <is>
          <t xml:space="preserve">aa </t>
        </is>
      </c>
      <c r="T73" t="inlineStr">
        <is>
          <t xml:space="preserve">QV </t>
        </is>
      </c>
      <c r="U73" t="n">
        <v>32</v>
      </c>
      <c r="V73" t="n">
        <v>32</v>
      </c>
      <c r="W73" t="inlineStr">
        <is>
          <t>2001-09-13</t>
        </is>
      </c>
      <c r="X73" t="inlineStr">
        <is>
          <t>2001-09-13</t>
        </is>
      </c>
      <c r="Y73" t="inlineStr">
        <is>
          <t>1987-09-28</t>
        </is>
      </c>
      <c r="Z73" t="inlineStr">
        <is>
          <t>1987-09-28</t>
        </is>
      </c>
      <c r="AA73" t="n">
        <v>41</v>
      </c>
      <c r="AB73" t="n">
        <v>34</v>
      </c>
      <c r="AC73" t="n">
        <v>95</v>
      </c>
      <c r="AD73" t="n">
        <v>1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HYPERLINK("https://creighton-primo.hosted.exlibrisgroup.com/primo-explore/search?tab=default_tab&amp;search_scope=EVERYTHING&amp;vid=01CRU&amp;lang=en_US&amp;offset=0&amp;query=any,contains,991000747439702656","Catalog Record")</f>
        <v/>
      </c>
      <c r="AV73">
        <f>HYPERLINK("http://www.worldcat.org/oclc/10949510","WorldCat Record")</f>
        <v/>
      </c>
      <c r="AW73" t="inlineStr">
        <is>
          <t>54114604:eng</t>
        </is>
      </c>
      <c r="AX73" t="inlineStr">
        <is>
          <t>10949510</t>
        </is>
      </c>
      <c r="AY73" t="inlineStr">
        <is>
          <t>991000747439702656</t>
        </is>
      </c>
      <c r="AZ73" t="inlineStr">
        <is>
          <t>991000747439702656</t>
        </is>
      </c>
      <c r="BA73" t="inlineStr">
        <is>
          <t>2265164470002656</t>
        </is>
      </c>
      <c r="BB73" t="inlineStr">
        <is>
          <t>BOOK</t>
        </is>
      </c>
      <c r="BD73" t="inlineStr">
        <is>
          <t>9780838578407</t>
        </is>
      </c>
      <c r="BE73" t="inlineStr">
        <is>
          <t>30001000046195</t>
        </is>
      </c>
      <c r="BF73" t="inlineStr">
        <is>
          <t>893560502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QV 18 P53751 1988</t>
        </is>
      </c>
      <c r="E74" t="inlineStr">
        <is>
          <t>0                      QV 0018000P  53751       1988</t>
        </is>
      </c>
      <c r="F74" t="inlineStr">
        <is>
          <t>Pharmacy review / [edited by] Leon Shargel.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N74" t="inlineStr">
        <is>
          <t>New York : Wiley ; Media, Pa. : Harwal Pub. Co., c1988.</t>
        </is>
      </c>
      <c r="O74" t="inlineStr">
        <is>
          <t>1988</t>
        </is>
      </c>
      <c r="Q74" t="inlineStr">
        <is>
          <t>eng</t>
        </is>
      </c>
      <c r="R74" t="inlineStr">
        <is>
          <t>xxu</t>
        </is>
      </c>
      <c r="S74" t="inlineStr">
        <is>
          <t>A Wiley medical publication</t>
        </is>
      </c>
      <c r="T74" t="inlineStr">
        <is>
          <t xml:space="preserve">QV </t>
        </is>
      </c>
      <c r="U74" t="n">
        <v>51</v>
      </c>
      <c r="V74" t="n">
        <v>51</v>
      </c>
      <c r="W74" t="inlineStr">
        <is>
          <t>2007-12-07</t>
        </is>
      </c>
      <c r="X74" t="inlineStr">
        <is>
          <t>2007-12-07</t>
        </is>
      </c>
      <c r="Y74" t="inlineStr">
        <is>
          <t>1990-01-23</t>
        </is>
      </c>
      <c r="Z74" t="inlineStr">
        <is>
          <t>1990-01-23</t>
        </is>
      </c>
      <c r="AA74" t="n">
        <v>45</v>
      </c>
      <c r="AB74" t="n">
        <v>32</v>
      </c>
      <c r="AC74" t="n">
        <v>35</v>
      </c>
      <c r="AD74" t="n">
        <v>1</v>
      </c>
      <c r="AE74" t="n">
        <v>1</v>
      </c>
      <c r="AF74" t="n">
        <v>1</v>
      </c>
      <c r="AG74" t="n">
        <v>1</v>
      </c>
      <c r="AH74" t="n">
        <v>1</v>
      </c>
      <c r="AI74" t="n">
        <v>1</v>
      </c>
      <c r="AJ74" t="n">
        <v>0</v>
      </c>
      <c r="AK74" t="n">
        <v>0</v>
      </c>
      <c r="AL74" t="n">
        <v>1</v>
      </c>
      <c r="AM74" t="n">
        <v>1</v>
      </c>
      <c r="AN74" t="n">
        <v>0</v>
      </c>
      <c r="AO74" t="n">
        <v>0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HYPERLINK("http://catalog.hathitrust.org/Record/002053798","HathiTrust Record")</f>
        <v/>
      </c>
      <c r="AU74">
        <f>HYPERLINK("https://creighton-primo.hosted.exlibrisgroup.com/primo-explore/search?tab=default_tab&amp;search_scope=EVERYTHING&amp;vid=01CRU&amp;lang=en_US&amp;offset=0&amp;query=any,contains,991001386719702656","Catalog Record")</f>
        <v/>
      </c>
      <c r="AV74">
        <f>HYPERLINK("http://www.worldcat.org/oclc/18816916","WorldCat Record")</f>
        <v/>
      </c>
      <c r="AW74" t="inlineStr">
        <is>
          <t>431851724:eng</t>
        </is>
      </c>
      <c r="AX74" t="inlineStr">
        <is>
          <t>18816916</t>
        </is>
      </c>
      <c r="AY74" t="inlineStr">
        <is>
          <t>991001386719702656</t>
        </is>
      </c>
      <c r="AZ74" t="inlineStr">
        <is>
          <t>991001386719702656</t>
        </is>
      </c>
      <c r="BA74" t="inlineStr">
        <is>
          <t>2258374150002656</t>
        </is>
      </c>
      <c r="BB74" t="inlineStr">
        <is>
          <t>BOOK</t>
        </is>
      </c>
      <c r="BD74" t="inlineStr">
        <is>
          <t>9780471857006</t>
        </is>
      </c>
      <c r="BE74" t="inlineStr">
        <is>
          <t>30001001799909</t>
        </is>
      </c>
      <c r="BF74" t="inlineStr">
        <is>
          <t>893816346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QV 18 R125 1995</t>
        </is>
      </c>
      <c r="E75" t="inlineStr">
        <is>
          <t>0                      QV 0018000R  125         1995</t>
        </is>
      </c>
      <c r="F75" t="inlineStr">
        <is>
          <t>Radcliff and Ogden's calculation of drug dosages : an interactive workbook / Sheila J. Ogden ; contributor, Angela G. Opsahl.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Ogden, Sheila J., 1949-</t>
        </is>
      </c>
      <c r="N75" t="inlineStr">
        <is>
          <t>St. Louis, Mo. : Mosby-Year Book, c1995.</t>
        </is>
      </c>
      <c r="O75" t="inlineStr">
        <is>
          <t>1995</t>
        </is>
      </c>
      <c r="P75" t="inlineStr">
        <is>
          <t>5th ed.</t>
        </is>
      </c>
      <c r="Q75" t="inlineStr">
        <is>
          <t>eng</t>
        </is>
      </c>
      <c r="R75" t="inlineStr">
        <is>
          <t>mou</t>
        </is>
      </c>
      <c r="T75" t="inlineStr">
        <is>
          <t xml:space="preserve">QV </t>
        </is>
      </c>
      <c r="U75" t="n">
        <v>17</v>
      </c>
      <c r="V75" t="n">
        <v>17</v>
      </c>
      <c r="W75" t="inlineStr">
        <is>
          <t>2006-11-27</t>
        </is>
      </c>
      <c r="X75" t="inlineStr">
        <is>
          <t>2006-11-27</t>
        </is>
      </c>
      <c r="Y75" t="inlineStr">
        <is>
          <t>1995-05-11</t>
        </is>
      </c>
      <c r="Z75" t="inlineStr">
        <is>
          <t>1995-05-11</t>
        </is>
      </c>
      <c r="AA75" t="n">
        <v>64</v>
      </c>
      <c r="AB75" t="n">
        <v>61</v>
      </c>
      <c r="AC75" t="n">
        <v>114</v>
      </c>
      <c r="AD75" t="n">
        <v>1</v>
      </c>
      <c r="AE75" t="n">
        <v>1</v>
      </c>
      <c r="AF75" t="n">
        <v>0</v>
      </c>
      <c r="AG75" t="n">
        <v>2</v>
      </c>
      <c r="AH75" t="n">
        <v>0</v>
      </c>
      <c r="AI75" t="n">
        <v>1</v>
      </c>
      <c r="AJ75" t="n">
        <v>0</v>
      </c>
      <c r="AK75" t="n">
        <v>0</v>
      </c>
      <c r="AL75" t="n">
        <v>0</v>
      </c>
      <c r="AM75" t="n">
        <v>1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HYPERLINK("https://creighton-primo.hosted.exlibrisgroup.com/primo-explore/search?tab=default_tab&amp;search_scope=EVERYTHING&amp;vid=01CRU&amp;lang=en_US&amp;offset=0&amp;query=any,contains,991001400249702656","Catalog Record")</f>
        <v/>
      </c>
      <c r="AV75">
        <f>HYPERLINK("http://www.worldcat.org/oclc/30974794","WorldCat Record")</f>
        <v/>
      </c>
      <c r="AW75" t="inlineStr">
        <is>
          <t>25539618:eng</t>
        </is>
      </c>
      <c r="AX75" t="inlineStr">
        <is>
          <t>30974794</t>
        </is>
      </c>
      <c r="AY75" t="inlineStr">
        <is>
          <t>991001400249702656</t>
        </is>
      </c>
      <c r="AZ75" t="inlineStr">
        <is>
          <t>991001400249702656</t>
        </is>
      </c>
      <c r="BA75" t="inlineStr">
        <is>
          <t>2259987490002656</t>
        </is>
      </c>
      <c r="BB75" t="inlineStr">
        <is>
          <t>BOOK</t>
        </is>
      </c>
      <c r="BD75" t="inlineStr">
        <is>
          <t>9780815170020</t>
        </is>
      </c>
      <c r="BE75" t="inlineStr">
        <is>
          <t>30001003147727</t>
        </is>
      </c>
      <c r="BF75" t="inlineStr">
        <is>
          <t>893557930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QV 18 R125c 1991</t>
        </is>
      </c>
      <c r="E76" t="inlineStr">
        <is>
          <t>0                      QV 0018000R  125c        1991</t>
        </is>
      </c>
      <c r="F76" t="inlineStr">
        <is>
          <t>Calculation of drug dosages : a workbook / Ruth K. Radcliff, Sheila J. Ogden.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Radcliff, Ruth K., 1925-</t>
        </is>
      </c>
      <c r="N76" t="inlineStr">
        <is>
          <t>St. Louis : Mosby-Year Book Inc., c1991.</t>
        </is>
      </c>
      <c r="O76" t="inlineStr">
        <is>
          <t>1991</t>
        </is>
      </c>
      <c r="P76" t="inlineStr">
        <is>
          <t>4th ed.</t>
        </is>
      </c>
      <c r="Q76" t="inlineStr">
        <is>
          <t>eng</t>
        </is>
      </c>
      <c r="R76" t="inlineStr">
        <is>
          <t>mou</t>
        </is>
      </c>
      <c r="T76" t="inlineStr">
        <is>
          <t xml:space="preserve">QV </t>
        </is>
      </c>
      <c r="U76" t="n">
        <v>9</v>
      </c>
      <c r="V76" t="n">
        <v>9</v>
      </c>
      <c r="W76" t="inlineStr">
        <is>
          <t>1999-08-23</t>
        </is>
      </c>
      <c r="X76" t="inlineStr">
        <is>
          <t>1999-08-23</t>
        </is>
      </c>
      <c r="Y76" t="inlineStr">
        <is>
          <t>1991-07-26</t>
        </is>
      </c>
      <c r="Z76" t="inlineStr">
        <is>
          <t>1991-07-26</t>
        </is>
      </c>
      <c r="AA76" t="n">
        <v>52</v>
      </c>
      <c r="AB76" t="n">
        <v>48</v>
      </c>
      <c r="AC76" t="n">
        <v>151</v>
      </c>
      <c r="AD76" t="n">
        <v>1</v>
      </c>
      <c r="AE76" t="n">
        <v>2</v>
      </c>
      <c r="AF76" t="n">
        <v>2</v>
      </c>
      <c r="AG76" t="n">
        <v>3</v>
      </c>
      <c r="AH76" t="n">
        <v>1</v>
      </c>
      <c r="AI76" t="n">
        <v>2</v>
      </c>
      <c r="AJ76" t="n">
        <v>0</v>
      </c>
      <c r="AK76" t="n">
        <v>0</v>
      </c>
      <c r="AL76" t="n">
        <v>1</v>
      </c>
      <c r="AM76" t="n">
        <v>2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HYPERLINK("https://creighton-primo.hosted.exlibrisgroup.com/primo-explore/search?tab=default_tab&amp;search_scope=EVERYTHING&amp;vid=01CRU&amp;lang=en_US&amp;offset=0&amp;query=any,contains,991000944189702656","Catalog Record")</f>
        <v/>
      </c>
      <c r="AV76">
        <f>HYPERLINK("http://www.worldcat.org/oclc/22840570","WorldCat Record")</f>
        <v/>
      </c>
      <c r="AW76" t="inlineStr">
        <is>
          <t>1909032844:eng</t>
        </is>
      </c>
      <c r="AX76" t="inlineStr">
        <is>
          <t>22840570</t>
        </is>
      </c>
      <c r="AY76" t="inlineStr">
        <is>
          <t>991000944189702656</t>
        </is>
      </c>
      <c r="AZ76" t="inlineStr">
        <is>
          <t>991000944189702656</t>
        </is>
      </c>
      <c r="BA76" t="inlineStr">
        <is>
          <t>2256186390002656</t>
        </is>
      </c>
      <c r="BB76" t="inlineStr">
        <is>
          <t>BOOK</t>
        </is>
      </c>
      <c r="BD76" t="inlineStr">
        <is>
          <t>9780801652714</t>
        </is>
      </c>
      <c r="BE76" t="inlineStr">
        <is>
          <t>30001002193284</t>
        </is>
      </c>
      <c r="BF76" t="inlineStr">
        <is>
          <t>893273517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QV 18 R5155m 1990</t>
        </is>
      </c>
      <c r="E77" t="inlineStr">
        <is>
          <t>0                      QV 0018000R  5155m       1990</t>
        </is>
      </c>
      <c r="F77" t="inlineStr">
        <is>
          <t>The mathematics of drugs and solutions with clinical applications / Judith Knight Richardson, Lloyd I. Richardson.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Richardson, Judith Knight.</t>
        </is>
      </c>
      <c r="N77" t="inlineStr">
        <is>
          <t>St. Louis : C.V. Mosby, c1990.</t>
        </is>
      </c>
      <c r="O77" t="inlineStr">
        <is>
          <t>1990</t>
        </is>
      </c>
      <c r="P77" t="inlineStr">
        <is>
          <t>4th ed.</t>
        </is>
      </c>
      <c r="Q77" t="inlineStr">
        <is>
          <t>eng</t>
        </is>
      </c>
      <c r="R77" t="inlineStr">
        <is>
          <t>mou</t>
        </is>
      </c>
      <c r="T77" t="inlineStr">
        <is>
          <t xml:space="preserve">QV </t>
        </is>
      </c>
      <c r="U77" t="n">
        <v>6</v>
      </c>
      <c r="V77" t="n">
        <v>6</v>
      </c>
      <c r="W77" t="inlineStr">
        <is>
          <t>2006-09-15</t>
        </is>
      </c>
      <c r="X77" t="inlineStr">
        <is>
          <t>2006-09-15</t>
        </is>
      </c>
      <c r="Y77" t="inlineStr">
        <is>
          <t>1990-08-17</t>
        </is>
      </c>
      <c r="Z77" t="inlineStr">
        <is>
          <t>1990-08-17</t>
        </is>
      </c>
      <c r="AA77" t="n">
        <v>96</v>
      </c>
      <c r="AB77" t="n">
        <v>85</v>
      </c>
      <c r="AC77" t="n">
        <v>299</v>
      </c>
      <c r="AD77" t="n">
        <v>1</v>
      </c>
      <c r="AE77" t="n">
        <v>5</v>
      </c>
      <c r="AF77" t="n">
        <v>2</v>
      </c>
      <c r="AG77" t="n">
        <v>7</v>
      </c>
      <c r="AH77" t="n">
        <v>0</v>
      </c>
      <c r="AI77" t="n">
        <v>1</v>
      </c>
      <c r="AJ77" t="n">
        <v>0</v>
      </c>
      <c r="AK77" t="n">
        <v>1</v>
      </c>
      <c r="AL77" t="n">
        <v>2</v>
      </c>
      <c r="AM77" t="n">
        <v>5</v>
      </c>
      <c r="AN77" t="n">
        <v>0</v>
      </c>
      <c r="AO77" t="n">
        <v>2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HYPERLINK("http://catalog.hathitrust.org/Record/007066465","HathiTrust Record")</f>
        <v/>
      </c>
      <c r="AU77">
        <f>HYPERLINK("https://creighton-primo.hosted.exlibrisgroup.com/primo-explore/search?tab=default_tab&amp;search_scope=EVERYTHING&amp;vid=01CRU&amp;lang=en_US&amp;offset=0&amp;query=any,contains,991001453979702656","Catalog Record")</f>
        <v/>
      </c>
      <c r="AV77">
        <f>HYPERLINK("http://www.worldcat.org/oclc/20671643","WorldCat Record")</f>
        <v/>
      </c>
      <c r="AW77" t="inlineStr">
        <is>
          <t>2373383:eng</t>
        </is>
      </c>
      <c r="AX77" t="inlineStr">
        <is>
          <t>20671643</t>
        </is>
      </c>
      <c r="AY77" t="inlineStr">
        <is>
          <t>991001453979702656</t>
        </is>
      </c>
      <c r="AZ77" t="inlineStr">
        <is>
          <t>991001453979702656</t>
        </is>
      </c>
      <c r="BA77" t="inlineStr">
        <is>
          <t>2260288450002656</t>
        </is>
      </c>
      <c r="BB77" t="inlineStr">
        <is>
          <t>BOOK</t>
        </is>
      </c>
      <c r="BD77" t="inlineStr">
        <is>
          <t>9780801660498</t>
        </is>
      </c>
      <c r="BE77" t="inlineStr">
        <is>
          <t>30001001884263</t>
        </is>
      </c>
      <c r="BF77" t="inlineStr">
        <is>
          <t>893358622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QV 18 S273m 1992</t>
        </is>
      </c>
      <c r="E78" t="inlineStr">
        <is>
          <t>0                      QV 0018000S  273m        1992</t>
        </is>
      </c>
      <c r="F78" t="inlineStr">
        <is>
          <t>Math &amp; meds for nurses : a programmed approach for calculations of drugs and solutions / Dolores F. Saxton, Norma Ercolano- O'Neill.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Yes</t>
        </is>
      </c>
      <c r="L78" t="inlineStr">
        <is>
          <t>0</t>
        </is>
      </c>
      <c r="M78" t="inlineStr">
        <is>
          <t>Saxton, Dolores F.</t>
        </is>
      </c>
      <c r="N78" t="inlineStr">
        <is>
          <t>St. Louis, MO : GW Manning, c1992.</t>
        </is>
      </c>
      <c r="O78" t="inlineStr">
        <is>
          <t>1992</t>
        </is>
      </c>
      <c r="P78" t="inlineStr">
        <is>
          <t>2nd ed.</t>
        </is>
      </c>
      <c r="Q78" t="inlineStr">
        <is>
          <t>eng</t>
        </is>
      </c>
      <c r="R78" t="inlineStr">
        <is>
          <t>mou</t>
        </is>
      </c>
      <c r="T78" t="inlineStr">
        <is>
          <t xml:space="preserve">QV </t>
        </is>
      </c>
      <c r="U78" t="n">
        <v>3</v>
      </c>
      <c r="V78" t="n">
        <v>3</v>
      </c>
      <c r="W78" t="inlineStr">
        <is>
          <t>1993-10-26</t>
        </is>
      </c>
      <c r="X78" t="inlineStr">
        <is>
          <t>1993-10-26</t>
        </is>
      </c>
      <c r="Y78" t="inlineStr">
        <is>
          <t>1993-09-02</t>
        </is>
      </c>
      <c r="Z78" t="inlineStr">
        <is>
          <t>1993-09-02</t>
        </is>
      </c>
      <c r="AA78" t="n">
        <v>15</v>
      </c>
      <c r="AB78" t="n">
        <v>14</v>
      </c>
      <c r="AC78" t="n">
        <v>205</v>
      </c>
      <c r="AD78" t="n">
        <v>1</v>
      </c>
      <c r="AE78" t="n">
        <v>1</v>
      </c>
      <c r="AF78" t="n">
        <v>0</v>
      </c>
      <c r="AG78" t="n">
        <v>5</v>
      </c>
      <c r="AH78" t="n">
        <v>0</v>
      </c>
      <c r="AI78" t="n">
        <v>2</v>
      </c>
      <c r="AJ78" t="n">
        <v>0</v>
      </c>
      <c r="AK78" t="n">
        <v>0</v>
      </c>
      <c r="AL78" t="n">
        <v>0</v>
      </c>
      <c r="AM78" t="n">
        <v>3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HYPERLINK("https://creighton-primo.hosted.exlibrisgroup.com/primo-explore/search?tab=default_tab&amp;search_scope=EVERYTHING&amp;vid=01CRU&amp;lang=en_US&amp;offset=0&amp;query=any,contains,991001514239702656","Catalog Record")</f>
        <v/>
      </c>
      <c r="AV78">
        <f>HYPERLINK("http://www.worldcat.org/oclc/28034700","WorldCat Record")</f>
        <v/>
      </c>
      <c r="AW78" t="inlineStr">
        <is>
          <t>1042327:eng</t>
        </is>
      </c>
      <c r="AX78" t="inlineStr">
        <is>
          <t>28034700</t>
        </is>
      </c>
      <c r="AY78" t="inlineStr">
        <is>
          <t>991001514239702656</t>
        </is>
      </c>
      <c r="AZ78" t="inlineStr">
        <is>
          <t>991001514239702656</t>
        </is>
      </c>
      <c r="BA78" t="inlineStr">
        <is>
          <t>2270360000002656</t>
        </is>
      </c>
      <c r="BB78" t="inlineStr">
        <is>
          <t>BOOK</t>
        </is>
      </c>
      <c r="BD78" t="inlineStr">
        <is>
          <t>9781878060020</t>
        </is>
      </c>
      <c r="BE78" t="inlineStr">
        <is>
          <t>30001002601492</t>
        </is>
      </c>
      <c r="BF78" t="inlineStr">
        <is>
          <t>893369434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QV 18 S428c 1982</t>
        </is>
      </c>
      <c r="E79" t="inlineStr">
        <is>
          <t>0                      QV 0018000S  428c        1982</t>
        </is>
      </c>
      <c r="F79" t="inlineStr">
        <is>
          <t>Calculations of medications : using the proportion : guided instruction in mathematics for nurses / Mary Ann Scott.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Krisman-Scott, Mary Ann.</t>
        </is>
      </c>
      <c r="N79" t="inlineStr">
        <is>
          <t>Norwalk, CT : Appleton-Century-Crofts, c1982.</t>
        </is>
      </c>
      <c r="O79" t="inlineStr">
        <is>
          <t>1982</t>
        </is>
      </c>
      <c r="Q79" t="inlineStr">
        <is>
          <t>eng</t>
        </is>
      </c>
      <c r="R79" t="inlineStr">
        <is>
          <t>xxu</t>
        </is>
      </c>
      <c r="T79" t="inlineStr">
        <is>
          <t xml:space="preserve">QV </t>
        </is>
      </c>
      <c r="U79" t="n">
        <v>8</v>
      </c>
      <c r="V79" t="n">
        <v>8</v>
      </c>
      <c r="W79" t="inlineStr">
        <is>
          <t>1994-09-19</t>
        </is>
      </c>
      <c r="X79" t="inlineStr">
        <is>
          <t>1994-09-19</t>
        </is>
      </c>
      <c r="Y79" t="inlineStr">
        <is>
          <t>1987-09-28</t>
        </is>
      </c>
      <c r="Z79" t="inlineStr">
        <is>
          <t>1987-09-28</t>
        </is>
      </c>
      <c r="AA79" t="n">
        <v>72</v>
      </c>
      <c r="AB79" t="n">
        <v>57</v>
      </c>
      <c r="AC79" t="n">
        <v>151</v>
      </c>
      <c r="AD79" t="n">
        <v>2</v>
      </c>
      <c r="AE79" t="n">
        <v>2</v>
      </c>
      <c r="AF79" t="n">
        <v>0</v>
      </c>
      <c r="AG79" t="n">
        <v>2</v>
      </c>
      <c r="AH79" t="n">
        <v>0</v>
      </c>
      <c r="AI79" t="n">
        <v>1</v>
      </c>
      <c r="AJ79" t="n">
        <v>0</v>
      </c>
      <c r="AK79" t="n">
        <v>1</v>
      </c>
      <c r="AL79" t="n">
        <v>0</v>
      </c>
      <c r="AM79" t="n">
        <v>1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HYPERLINK("https://creighton-primo.hosted.exlibrisgroup.com/primo-explore/search?tab=default_tab&amp;search_scope=EVERYTHING&amp;vid=01CRU&amp;lang=en_US&amp;offset=0&amp;query=any,contains,991000747489702656","Catalog Record")</f>
        <v/>
      </c>
      <c r="AV79">
        <f>HYPERLINK("http://www.worldcat.org/oclc/7976904","WorldCat Record")</f>
        <v/>
      </c>
      <c r="AW79" t="inlineStr">
        <is>
          <t>11591132:eng</t>
        </is>
      </c>
      <c r="AX79" t="inlineStr">
        <is>
          <t>7976904</t>
        </is>
      </c>
      <c r="AY79" t="inlineStr">
        <is>
          <t>991000747489702656</t>
        </is>
      </c>
      <c r="AZ79" t="inlineStr">
        <is>
          <t>991000747489702656</t>
        </is>
      </c>
      <c r="BA79" t="inlineStr">
        <is>
          <t>2262899880002656</t>
        </is>
      </c>
      <c r="BB79" t="inlineStr">
        <is>
          <t>BOOK</t>
        </is>
      </c>
      <c r="BD79" t="inlineStr">
        <is>
          <t>9780838510186</t>
        </is>
      </c>
      <c r="BE79" t="inlineStr">
        <is>
          <t>30001000046203</t>
        </is>
      </c>
      <c r="BF79" t="inlineStr">
        <is>
          <t>893637279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QV 18 S912 1988</t>
        </is>
      </c>
      <c r="E80" t="inlineStr">
        <is>
          <t>0                      QV 0018000S  912         1988</t>
        </is>
      </c>
      <c r="F80" t="inlineStr">
        <is>
          <t>Strauss's pharmacy law examination review / Steven Strauss.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Lancaster, Penn. : Technomic Publishing Co., c1988.</t>
        </is>
      </c>
      <c r="O80" t="inlineStr">
        <is>
          <t>1988</t>
        </is>
      </c>
      <c r="Q80" t="inlineStr">
        <is>
          <t>eng</t>
        </is>
      </c>
      <c r="R80" t="inlineStr">
        <is>
          <t>pau</t>
        </is>
      </c>
      <c r="T80" t="inlineStr">
        <is>
          <t xml:space="preserve">QV </t>
        </is>
      </c>
      <c r="U80" t="n">
        <v>18</v>
      </c>
      <c r="V80" t="n">
        <v>18</v>
      </c>
      <c r="W80" t="inlineStr">
        <is>
          <t>2005-10-16</t>
        </is>
      </c>
      <c r="X80" t="inlineStr">
        <is>
          <t>2005-10-16</t>
        </is>
      </c>
      <c r="Y80" t="inlineStr">
        <is>
          <t>1989-01-14</t>
        </is>
      </c>
      <c r="Z80" t="inlineStr">
        <is>
          <t>1989-01-14</t>
        </is>
      </c>
      <c r="AA80" t="n">
        <v>19</v>
      </c>
      <c r="AB80" t="n">
        <v>18</v>
      </c>
      <c r="AC80" t="n">
        <v>32</v>
      </c>
      <c r="AD80" t="n">
        <v>1</v>
      </c>
      <c r="AE80" t="n">
        <v>1</v>
      </c>
      <c r="AF80" t="n">
        <v>2</v>
      </c>
      <c r="AG80" t="n">
        <v>2</v>
      </c>
      <c r="AH80" t="n">
        <v>1</v>
      </c>
      <c r="AI80" t="n">
        <v>1</v>
      </c>
      <c r="AJ80" t="n">
        <v>1</v>
      </c>
      <c r="AK80" t="n">
        <v>1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HYPERLINK("https://creighton-primo.hosted.exlibrisgroup.com/primo-explore/search?tab=default_tab&amp;search_scope=EVERYTHING&amp;vid=01CRU&amp;lang=en_US&amp;offset=0&amp;query=any,contains,991001389909702656","Catalog Record")</f>
        <v/>
      </c>
      <c r="AV80">
        <f>HYPERLINK("http://www.worldcat.org/oclc/19020319","WorldCat Record")</f>
        <v/>
      </c>
      <c r="AW80" t="inlineStr">
        <is>
          <t>3856274697:eng</t>
        </is>
      </c>
      <c r="AX80" t="inlineStr">
        <is>
          <t>19020319</t>
        </is>
      </c>
      <c r="AY80" t="inlineStr">
        <is>
          <t>991001389909702656</t>
        </is>
      </c>
      <c r="AZ80" t="inlineStr">
        <is>
          <t>991001389909702656</t>
        </is>
      </c>
      <c r="BA80" t="inlineStr">
        <is>
          <t>2271124270002656</t>
        </is>
      </c>
      <c r="BB80" t="inlineStr">
        <is>
          <t>BOOK</t>
        </is>
      </c>
      <c r="BD80" t="inlineStr">
        <is>
          <t>9780877625674</t>
        </is>
      </c>
      <c r="BE80" t="inlineStr">
        <is>
          <t>30001001800814</t>
        </is>
      </c>
      <c r="BF80" t="inlineStr">
        <is>
          <t>893451127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QV 18 T188s 1981</t>
        </is>
      </c>
      <c r="E81" t="inlineStr">
        <is>
          <t>0                      QV 0018000T  188s        1981</t>
        </is>
      </c>
      <c r="F81" t="inlineStr">
        <is>
          <t>Student guide to the PCAT, pharmacy college admission test : comprehensive manual for self study and review / David M. Tarlow.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Tarlow, David M.</t>
        </is>
      </c>
      <c r="N81" t="inlineStr">
        <is>
          <t>St. Louis : Datar Pub. Co., c1981.</t>
        </is>
      </c>
      <c r="O81" t="inlineStr">
        <is>
          <t>1981</t>
        </is>
      </c>
      <c r="Q81" t="inlineStr">
        <is>
          <t>eng</t>
        </is>
      </c>
      <c r="R81" t="inlineStr">
        <is>
          <t>mou</t>
        </is>
      </c>
      <c r="T81" t="inlineStr">
        <is>
          <t xml:space="preserve">QV </t>
        </is>
      </c>
      <c r="U81" t="n">
        <v>8</v>
      </c>
      <c r="V81" t="n">
        <v>8</v>
      </c>
      <c r="W81" t="inlineStr">
        <is>
          <t>2006-09-27</t>
        </is>
      </c>
      <c r="X81" t="inlineStr">
        <is>
          <t>2006-09-27</t>
        </is>
      </c>
      <c r="Y81" t="inlineStr">
        <is>
          <t>1987-09-28</t>
        </is>
      </c>
      <c r="Z81" t="inlineStr">
        <is>
          <t>1987-09-28</t>
        </is>
      </c>
      <c r="AA81" t="n">
        <v>5</v>
      </c>
      <c r="AB81" t="n">
        <v>5</v>
      </c>
      <c r="AC81" t="n">
        <v>15</v>
      </c>
      <c r="AD81" t="n">
        <v>1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HYPERLINK("https://creighton-primo.hosted.exlibrisgroup.com/primo-explore/search?tab=default_tab&amp;search_scope=EVERYTHING&amp;vid=01CRU&amp;lang=en_US&amp;offset=0&amp;query=any,contains,991001548289702656","Catalog Record")</f>
        <v/>
      </c>
      <c r="AV81">
        <f>HYPERLINK("http://www.worldcat.org/oclc/8081381","WorldCat Record")</f>
        <v/>
      </c>
      <c r="AW81" t="inlineStr">
        <is>
          <t>1811350450:eng</t>
        </is>
      </c>
      <c r="AX81" t="inlineStr">
        <is>
          <t>8081381</t>
        </is>
      </c>
      <c r="AY81" t="inlineStr">
        <is>
          <t>991001548289702656</t>
        </is>
      </c>
      <c r="AZ81" t="inlineStr">
        <is>
          <t>991001548289702656</t>
        </is>
      </c>
      <c r="BA81" t="inlineStr">
        <is>
          <t>2271042080002656</t>
        </is>
      </c>
      <c r="BB81" t="inlineStr">
        <is>
          <t>BOOK</t>
        </is>
      </c>
      <c r="BE81" t="inlineStr">
        <is>
          <t>30001000647661</t>
        </is>
      </c>
      <c r="BF81" t="inlineStr">
        <is>
          <t>893832300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QV18 T2535 1997</t>
        </is>
      </c>
      <c r="E82" t="inlineStr">
        <is>
          <t>0                      QV 0018000T  2535        1997</t>
        </is>
      </c>
      <c r="F82" t="inlineStr">
        <is>
          <t>Teaching and learning strategies in pharmacy ethics / Amy Marie Haddad, editor.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New York : Pharmaceutical Products Press, c1997.</t>
        </is>
      </c>
      <c r="O82" t="inlineStr">
        <is>
          <t>1997</t>
        </is>
      </c>
      <c r="P82" t="inlineStr">
        <is>
          <t>2nd ed.</t>
        </is>
      </c>
      <c r="Q82" t="inlineStr">
        <is>
          <t>eng</t>
        </is>
      </c>
      <c r="R82" t="inlineStr">
        <is>
          <t>nyu</t>
        </is>
      </c>
      <c r="T82" t="inlineStr">
        <is>
          <t xml:space="preserve">QV </t>
        </is>
      </c>
      <c r="U82" t="n">
        <v>4</v>
      </c>
      <c r="V82" t="n">
        <v>4</v>
      </c>
      <c r="W82" t="inlineStr">
        <is>
          <t>2005-06-23</t>
        </is>
      </c>
      <c r="X82" t="inlineStr">
        <is>
          <t>2005-06-23</t>
        </is>
      </c>
      <c r="Y82" t="inlineStr">
        <is>
          <t>1998-01-29</t>
        </is>
      </c>
      <c r="Z82" t="inlineStr">
        <is>
          <t>1998-01-29</t>
        </is>
      </c>
      <c r="AA82" t="n">
        <v>51</v>
      </c>
      <c r="AB82" t="n">
        <v>35</v>
      </c>
      <c r="AC82" t="n">
        <v>38</v>
      </c>
      <c r="AD82" t="n">
        <v>1</v>
      </c>
      <c r="AE82" t="n">
        <v>1</v>
      </c>
      <c r="AF82" t="n">
        <v>2</v>
      </c>
      <c r="AG82" t="n">
        <v>2</v>
      </c>
      <c r="AH82" t="n">
        <v>1</v>
      </c>
      <c r="AI82" t="n">
        <v>1</v>
      </c>
      <c r="AJ82" t="n">
        <v>1</v>
      </c>
      <c r="AK82" t="n">
        <v>1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HYPERLINK("http://catalog.hathitrust.org/Record/003968522","HathiTrust Record")</f>
        <v/>
      </c>
      <c r="AU82">
        <f>HYPERLINK("https://creighton-primo.hosted.exlibrisgroup.com/primo-explore/search?tab=default_tab&amp;search_scope=EVERYTHING&amp;vid=01CRU&amp;lang=en_US&amp;offset=0&amp;query=any,contains,991001294179702656","Catalog Record")</f>
        <v/>
      </c>
      <c r="AV82">
        <f>HYPERLINK("http://www.worldcat.org/oclc/37640422","WorldCat Record")</f>
        <v/>
      </c>
      <c r="AW82" t="inlineStr">
        <is>
          <t>604516:eng</t>
        </is>
      </c>
      <c r="AX82" t="inlineStr">
        <is>
          <t>37640422</t>
        </is>
      </c>
      <c r="AY82" t="inlineStr">
        <is>
          <t>991001294179702656</t>
        </is>
      </c>
      <c r="AZ82" t="inlineStr">
        <is>
          <t>991001294179702656</t>
        </is>
      </c>
      <c r="BA82" t="inlineStr">
        <is>
          <t>2269227070002656</t>
        </is>
      </c>
      <c r="BB82" t="inlineStr">
        <is>
          <t>BOOK</t>
        </is>
      </c>
      <c r="BD82" t="inlineStr">
        <is>
          <t>9780789003782</t>
        </is>
      </c>
      <c r="BE82" t="inlineStr">
        <is>
          <t>30001003740307</t>
        </is>
      </c>
      <c r="BF82" t="inlineStr">
        <is>
          <t>893273997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QV 18 W363p 1979</t>
        </is>
      </c>
      <c r="E83" t="inlineStr">
        <is>
          <t>0                      QV 0018000W  363p        1979</t>
        </is>
      </c>
      <c r="F83" t="inlineStr">
        <is>
          <t>Programmed mathematics of drugs and solutions / Mabel E. Weaver, Vera J. Koehler.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Weaver, Mabel E.</t>
        </is>
      </c>
      <c r="N83" t="inlineStr">
        <is>
          <t>Philadelphia : Lippincott, 1979.</t>
        </is>
      </c>
      <c r="O83" t="inlineStr">
        <is>
          <t>1979</t>
        </is>
      </c>
      <c r="Q83" t="inlineStr">
        <is>
          <t>eng</t>
        </is>
      </c>
      <c r="R83" t="inlineStr">
        <is>
          <t xml:space="preserve">xx </t>
        </is>
      </c>
      <c r="T83" t="inlineStr">
        <is>
          <t xml:space="preserve">QV </t>
        </is>
      </c>
      <c r="U83" t="n">
        <v>6</v>
      </c>
      <c r="V83" t="n">
        <v>6</v>
      </c>
      <c r="W83" t="inlineStr">
        <is>
          <t>1994-09-17</t>
        </is>
      </c>
      <c r="X83" t="inlineStr">
        <is>
          <t>1994-09-17</t>
        </is>
      </c>
      <c r="Y83" t="inlineStr">
        <is>
          <t>1987-09-28</t>
        </is>
      </c>
      <c r="Z83" t="inlineStr">
        <is>
          <t>1987-09-28</t>
        </is>
      </c>
      <c r="AA83" t="n">
        <v>89</v>
      </c>
      <c r="AB83" t="n">
        <v>83</v>
      </c>
      <c r="AC83" t="n">
        <v>201</v>
      </c>
      <c r="AD83" t="n">
        <v>1</v>
      </c>
      <c r="AE83" t="n">
        <v>3</v>
      </c>
      <c r="AF83" t="n">
        <v>2</v>
      </c>
      <c r="AG83" t="n">
        <v>7</v>
      </c>
      <c r="AH83" t="n">
        <v>0</v>
      </c>
      <c r="AI83" t="n">
        <v>2</v>
      </c>
      <c r="AJ83" t="n">
        <v>0</v>
      </c>
      <c r="AK83" t="n">
        <v>1</v>
      </c>
      <c r="AL83" t="n">
        <v>2</v>
      </c>
      <c r="AM83" t="n">
        <v>5</v>
      </c>
      <c r="AN83" t="n">
        <v>0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HYPERLINK("https://creighton-primo.hosted.exlibrisgroup.com/primo-explore/search?tab=default_tab&amp;search_scope=EVERYTHING&amp;vid=01CRU&amp;lang=en_US&amp;offset=0&amp;query=any,contains,991001548319702656","Catalog Record")</f>
        <v/>
      </c>
      <c r="AV83">
        <f>HYPERLINK("http://www.worldcat.org/oclc/4775092","WorldCat Record")</f>
        <v/>
      </c>
      <c r="AW83" t="inlineStr">
        <is>
          <t>1738478:eng</t>
        </is>
      </c>
      <c r="AX83" t="inlineStr">
        <is>
          <t>4775092</t>
        </is>
      </c>
      <c r="AY83" t="inlineStr">
        <is>
          <t>991001548319702656</t>
        </is>
      </c>
      <c r="AZ83" t="inlineStr">
        <is>
          <t>991001548319702656</t>
        </is>
      </c>
      <c r="BA83" t="inlineStr">
        <is>
          <t>2260647480002656</t>
        </is>
      </c>
      <c r="BB83" t="inlineStr">
        <is>
          <t>BOOK</t>
        </is>
      </c>
      <c r="BD83" t="inlineStr">
        <is>
          <t>9780397542321</t>
        </is>
      </c>
      <c r="BE83" t="inlineStr">
        <is>
          <t>30001000647695</t>
        </is>
      </c>
      <c r="BF83" t="inlineStr">
        <is>
          <t>893643697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QV 18 Z38p 1981</t>
        </is>
      </c>
      <c r="E84" t="inlineStr">
        <is>
          <t>0                      QV 0018000Z  38p         1981</t>
        </is>
      </c>
      <c r="F84" t="inlineStr">
        <is>
          <t>Pharmaceutical calculations / Joel L. Zatz.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Zatz, Joel L., 1935-</t>
        </is>
      </c>
      <c r="N84" t="inlineStr">
        <is>
          <t>New York : Wiley, 1981.</t>
        </is>
      </c>
      <c r="O84" t="inlineStr">
        <is>
          <t>1981</t>
        </is>
      </c>
      <c r="P84" t="inlineStr">
        <is>
          <t>2d ed.</t>
        </is>
      </c>
      <c r="Q84" t="inlineStr">
        <is>
          <t>eng</t>
        </is>
      </c>
      <c r="R84" t="inlineStr">
        <is>
          <t>xxu</t>
        </is>
      </c>
      <c r="S84" t="inlineStr">
        <is>
          <t>Wiley-Interscience publication</t>
        </is>
      </c>
      <c r="T84" t="inlineStr">
        <is>
          <t xml:space="preserve">QV </t>
        </is>
      </c>
      <c r="U84" t="n">
        <v>20</v>
      </c>
      <c r="V84" t="n">
        <v>20</v>
      </c>
      <c r="W84" t="inlineStr">
        <is>
          <t>2006-03-27</t>
        </is>
      </c>
      <c r="X84" t="inlineStr">
        <is>
          <t>2006-03-27</t>
        </is>
      </c>
      <c r="Y84" t="inlineStr">
        <is>
          <t>1988-01-27</t>
        </is>
      </c>
      <c r="Z84" t="inlineStr">
        <is>
          <t>1988-01-27</t>
        </is>
      </c>
      <c r="AA84" t="n">
        <v>40</v>
      </c>
      <c r="AB84" t="n">
        <v>19</v>
      </c>
      <c r="AC84" t="n">
        <v>230</v>
      </c>
      <c r="AD84" t="n">
        <v>1</v>
      </c>
      <c r="AE84" t="n">
        <v>2</v>
      </c>
      <c r="AF84" t="n">
        <v>0</v>
      </c>
      <c r="AG84" t="n">
        <v>7</v>
      </c>
      <c r="AH84" t="n">
        <v>0</v>
      </c>
      <c r="AI84" t="n">
        <v>5</v>
      </c>
      <c r="AJ84" t="n">
        <v>0</v>
      </c>
      <c r="AK84" t="n">
        <v>2</v>
      </c>
      <c r="AL84" t="n">
        <v>0</v>
      </c>
      <c r="AM84" t="n">
        <v>1</v>
      </c>
      <c r="AN84" t="n">
        <v>0</v>
      </c>
      <c r="AO84" t="n">
        <v>1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HYPERLINK("https://creighton-primo.hosted.exlibrisgroup.com/primo-explore/search?tab=default_tab&amp;search_scope=EVERYTHING&amp;vid=01CRU&amp;lang=en_US&amp;offset=0&amp;query=any,contains,991000950279702656","Catalog Record")</f>
        <v/>
      </c>
      <c r="AV84">
        <f>HYPERLINK("http://www.worldcat.org/oclc/6707181","WorldCat Record")</f>
        <v/>
      </c>
      <c r="AW84" t="inlineStr">
        <is>
          <t>3449176033:eng</t>
        </is>
      </c>
      <c r="AX84" t="inlineStr">
        <is>
          <t>6707181</t>
        </is>
      </c>
      <c r="AY84" t="inlineStr">
        <is>
          <t>991000950279702656</t>
        </is>
      </c>
      <c r="AZ84" t="inlineStr">
        <is>
          <t>991000950279702656</t>
        </is>
      </c>
      <c r="BA84" t="inlineStr">
        <is>
          <t>2258136340002656</t>
        </is>
      </c>
      <c r="BB84" t="inlineStr">
        <is>
          <t>BOOK</t>
        </is>
      </c>
      <c r="BD84" t="inlineStr">
        <is>
          <t>9780471077572</t>
        </is>
      </c>
      <c r="BE84" t="inlineStr">
        <is>
          <t>30001000190829</t>
        </is>
      </c>
      <c r="BF84" t="inlineStr">
        <is>
          <t>893546235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QV18.2 B879d 2004</t>
        </is>
      </c>
      <c r="E85" t="inlineStr">
        <is>
          <t>0                      QV 0018200B  879d        2004</t>
        </is>
      </c>
      <c r="F85" t="inlineStr">
        <is>
          <t>Drug calculations : process and problems for clinical practice / Meta Brown, Joyce M. Mulholland.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Yes</t>
        </is>
      </c>
      <c r="L85" t="inlineStr">
        <is>
          <t>0</t>
        </is>
      </c>
      <c r="M85" t="inlineStr">
        <is>
          <t>Seltzer, Meta Brown.</t>
        </is>
      </c>
      <c r="N85" t="inlineStr">
        <is>
          <t>St. Louis, Mo. : Mosby, 2003.</t>
        </is>
      </c>
      <c r="O85" t="inlineStr">
        <is>
          <t>2003</t>
        </is>
      </c>
      <c r="P85" t="inlineStr">
        <is>
          <t>7th ed.</t>
        </is>
      </c>
      <c r="Q85" t="inlineStr">
        <is>
          <t>eng</t>
        </is>
      </c>
      <c r="R85" t="inlineStr">
        <is>
          <t>mou</t>
        </is>
      </c>
      <c r="T85" t="inlineStr">
        <is>
          <t xml:space="preserve">QV </t>
        </is>
      </c>
      <c r="U85" t="n">
        <v>14</v>
      </c>
      <c r="V85" t="n">
        <v>14</v>
      </c>
      <c r="W85" t="inlineStr">
        <is>
          <t>2009-01-18</t>
        </is>
      </c>
      <c r="X85" t="inlineStr">
        <is>
          <t>2009-01-18</t>
        </is>
      </c>
      <c r="Y85" t="inlineStr">
        <is>
          <t>2004-10-25</t>
        </is>
      </c>
      <c r="Z85" t="inlineStr">
        <is>
          <t>2004-10-25</t>
        </is>
      </c>
      <c r="AA85" t="n">
        <v>229</v>
      </c>
      <c r="AB85" t="n">
        <v>191</v>
      </c>
      <c r="AC85" t="n">
        <v>614</v>
      </c>
      <c r="AD85" t="n">
        <v>3</v>
      </c>
      <c r="AE85" t="n">
        <v>3</v>
      </c>
      <c r="AF85" t="n">
        <v>6</v>
      </c>
      <c r="AG85" t="n">
        <v>15</v>
      </c>
      <c r="AH85" t="n">
        <v>1</v>
      </c>
      <c r="AI85" t="n">
        <v>7</v>
      </c>
      <c r="AJ85" t="n">
        <v>0</v>
      </c>
      <c r="AK85" t="n">
        <v>2</v>
      </c>
      <c r="AL85" t="n">
        <v>3</v>
      </c>
      <c r="AM85" t="n">
        <v>6</v>
      </c>
      <c r="AN85" t="n">
        <v>2</v>
      </c>
      <c r="AO85" t="n">
        <v>2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HYPERLINK("http://catalog.hathitrust.org/Record/004350764","HathiTrust Record")</f>
        <v/>
      </c>
      <c r="AU85">
        <f>HYPERLINK("https://creighton-primo.hosted.exlibrisgroup.com/primo-explore/search?tab=default_tab&amp;search_scope=EVERYTHING&amp;vid=01CRU&amp;lang=en_US&amp;offset=0&amp;query=any,contains,991000404099702656","Catalog Record")</f>
        <v/>
      </c>
      <c r="AV85">
        <f>HYPERLINK("http://www.worldcat.org/oclc/54365391","WorldCat Record")</f>
        <v/>
      </c>
      <c r="AW85" t="inlineStr">
        <is>
          <t>4757812580:eng</t>
        </is>
      </c>
      <c r="AX85" t="inlineStr">
        <is>
          <t>54365391</t>
        </is>
      </c>
      <c r="AY85" t="inlineStr">
        <is>
          <t>991000404099702656</t>
        </is>
      </c>
      <c r="AZ85" t="inlineStr">
        <is>
          <t>991000404099702656</t>
        </is>
      </c>
      <c r="BA85" t="inlineStr">
        <is>
          <t>2258106950002656</t>
        </is>
      </c>
      <c r="BB85" t="inlineStr">
        <is>
          <t>BOOK</t>
        </is>
      </c>
      <c r="BD85" t="inlineStr">
        <is>
          <t>9780323025621</t>
        </is>
      </c>
      <c r="BE85" t="inlineStr">
        <is>
          <t>30001004924066</t>
        </is>
      </c>
      <c r="BF85" t="inlineStr">
        <is>
          <t>893370453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QV 18.2 B879d 2008</t>
        </is>
      </c>
      <c r="E86" t="inlineStr">
        <is>
          <t>0                      QV 0018200B  879d        2008</t>
        </is>
      </c>
      <c r="F86" t="inlineStr">
        <is>
          <t>Drug calculations : process and problems for clinical practice / Meta Brown, Joyce M. Mulholland.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Yes</t>
        </is>
      </c>
      <c r="L86" t="inlineStr">
        <is>
          <t>0</t>
        </is>
      </c>
      <c r="M86" t="inlineStr">
        <is>
          <t>Seltzer, Meta Brown.</t>
        </is>
      </c>
      <c r="N86" t="inlineStr">
        <is>
          <t>St. Louis, Mo. : Mosby/Elsevier, c2008.</t>
        </is>
      </c>
      <c r="O86" t="inlineStr">
        <is>
          <t>2008</t>
        </is>
      </c>
      <c r="P86" t="inlineStr">
        <is>
          <t>8th ed.</t>
        </is>
      </c>
      <c r="Q86" t="inlineStr">
        <is>
          <t>eng</t>
        </is>
      </c>
      <c r="R86" t="inlineStr">
        <is>
          <t>mou</t>
        </is>
      </c>
      <c r="T86" t="inlineStr">
        <is>
          <t xml:space="preserve">QV </t>
        </is>
      </c>
      <c r="U86" t="n">
        <v>1</v>
      </c>
      <c r="V86" t="n">
        <v>1</v>
      </c>
      <c r="W86" t="inlineStr">
        <is>
          <t>2008-08-21</t>
        </is>
      </c>
      <c r="X86" t="inlineStr">
        <is>
          <t>2008-08-21</t>
        </is>
      </c>
      <c r="Y86" t="inlineStr">
        <is>
          <t>2008-08-20</t>
        </is>
      </c>
      <c r="Z86" t="inlineStr">
        <is>
          <t>2008-08-20</t>
        </is>
      </c>
      <c r="AA86" t="n">
        <v>229</v>
      </c>
      <c r="AB86" t="n">
        <v>192</v>
      </c>
      <c r="AC86" t="n">
        <v>614</v>
      </c>
      <c r="AD86" t="n">
        <v>1</v>
      </c>
      <c r="AE86" t="n">
        <v>3</v>
      </c>
      <c r="AF86" t="n">
        <v>5</v>
      </c>
      <c r="AG86" t="n">
        <v>15</v>
      </c>
      <c r="AH86" t="n">
        <v>2</v>
      </c>
      <c r="AI86" t="n">
        <v>7</v>
      </c>
      <c r="AJ86" t="n">
        <v>1</v>
      </c>
      <c r="AK86" t="n">
        <v>2</v>
      </c>
      <c r="AL86" t="n">
        <v>3</v>
      </c>
      <c r="AM86" t="n">
        <v>6</v>
      </c>
      <c r="AN86" t="n">
        <v>0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HYPERLINK("https://creighton-primo.hosted.exlibrisgroup.com/primo-explore/search?tab=default_tab&amp;search_scope=EVERYTHING&amp;vid=01CRU&amp;lang=en_US&amp;offset=0&amp;query=any,contains,991000910699702656","Catalog Record")</f>
        <v/>
      </c>
      <c r="AV86">
        <f>HYPERLINK("http://www.worldcat.org/oclc/154760414","WorldCat Record")</f>
        <v/>
      </c>
      <c r="AW86" t="inlineStr">
        <is>
          <t>4757812580:eng</t>
        </is>
      </c>
      <c r="AX86" t="inlineStr">
        <is>
          <t>154760414</t>
        </is>
      </c>
      <c r="AY86" t="inlineStr">
        <is>
          <t>991000910699702656</t>
        </is>
      </c>
      <c r="AZ86" t="inlineStr">
        <is>
          <t>991000910699702656</t>
        </is>
      </c>
      <c r="BA86" t="inlineStr">
        <is>
          <t>2267014330002656</t>
        </is>
      </c>
      <c r="BB86" t="inlineStr">
        <is>
          <t>BOOK</t>
        </is>
      </c>
      <c r="BD86" t="inlineStr">
        <is>
          <t>9780323045766</t>
        </is>
      </c>
      <c r="BE86" t="inlineStr">
        <is>
          <t>30001005302205</t>
        </is>
      </c>
      <c r="BF86" t="inlineStr">
        <is>
          <t>893557408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QV 18.2 C737 2001</t>
        </is>
      </c>
      <c r="E87" t="inlineStr">
        <is>
          <t>0                      QV 0018200C  737         2001</t>
        </is>
      </c>
      <c r="F87" t="inlineStr">
        <is>
          <t>Comprehensive pharmacy review / editors, Leon Shargel ... [et al.].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Baltimore ; London : Williams &amp; Wilkins, c2001.</t>
        </is>
      </c>
      <c r="O87" t="inlineStr">
        <is>
          <t>2001</t>
        </is>
      </c>
      <c r="P87" t="inlineStr">
        <is>
          <t>4th ed.</t>
        </is>
      </c>
      <c r="Q87" t="inlineStr">
        <is>
          <t>eng</t>
        </is>
      </c>
      <c r="R87" t="inlineStr">
        <is>
          <t>enk</t>
        </is>
      </c>
      <c r="T87" t="inlineStr">
        <is>
          <t xml:space="preserve">QV </t>
        </is>
      </c>
      <c r="U87" t="n">
        <v>11</v>
      </c>
      <c r="V87" t="n">
        <v>11</v>
      </c>
      <c r="W87" t="inlineStr">
        <is>
          <t>2009-04-23</t>
        </is>
      </c>
      <c r="X87" t="inlineStr">
        <is>
          <t>2009-04-23</t>
        </is>
      </c>
      <c r="Y87" t="inlineStr">
        <is>
          <t>2004-01-30</t>
        </is>
      </c>
      <c r="Z87" t="inlineStr">
        <is>
          <t>2004-01-30</t>
        </is>
      </c>
      <c r="AA87" t="n">
        <v>88</v>
      </c>
      <c r="AB87" t="n">
        <v>48</v>
      </c>
      <c r="AC87" t="n">
        <v>48</v>
      </c>
      <c r="AD87" t="n">
        <v>1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HYPERLINK("https://creighton-primo.hosted.exlibrisgroup.com/primo-explore/search?tab=default_tab&amp;search_scope=EVERYTHING&amp;vid=01CRU&amp;lang=en_US&amp;offset=0&amp;query=any,contains,991000365209702656","Catalog Record")</f>
        <v/>
      </c>
      <c r="AV87">
        <f>HYPERLINK("http://www.worldcat.org/oclc/46496670","WorldCat Record")</f>
        <v/>
      </c>
      <c r="AW87" t="inlineStr">
        <is>
          <t>5613860791:eng</t>
        </is>
      </c>
      <c r="AX87" t="inlineStr">
        <is>
          <t>46496670</t>
        </is>
      </c>
      <c r="AY87" t="inlineStr">
        <is>
          <t>991000365209702656</t>
        </is>
      </c>
      <c r="AZ87" t="inlineStr">
        <is>
          <t>991000365209702656</t>
        </is>
      </c>
      <c r="BA87" t="inlineStr">
        <is>
          <t>2267218900002656</t>
        </is>
      </c>
      <c r="BB87" t="inlineStr">
        <is>
          <t>BOOK</t>
        </is>
      </c>
      <c r="BD87" t="inlineStr">
        <is>
          <t>9780781721479</t>
        </is>
      </c>
      <c r="BE87" t="inlineStr">
        <is>
          <t>30001004218519</t>
        </is>
      </c>
      <c r="BF87" t="inlineStr">
        <is>
          <t>893452067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QV 18.2 H176L 2007</t>
        </is>
      </c>
      <c r="E88" t="inlineStr">
        <is>
          <t>0                      QV 0018200H  176L        2007</t>
        </is>
      </c>
      <c r="F88" t="inlineStr">
        <is>
          <t>Lange Q &amp; A pharmacy / Gary D. Hall, Barry S. Reiss.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1</t>
        </is>
      </c>
      <c r="M88" t="inlineStr">
        <is>
          <t>Hall, Gary D.</t>
        </is>
      </c>
      <c r="N88" t="inlineStr">
        <is>
          <t>New York : McGraw-Hill, Medical, c2007.</t>
        </is>
      </c>
      <c r="O88" t="inlineStr">
        <is>
          <t>2007</t>
        </is>
      </c>
      <c r="P88" t="inlineStr">
        <is>
          <t>9th ed.</t>
        </is>
      </c>
      <c r="Q88" t="inlineStr">
        <is>
          <t>eng</t>
        </is>
      </c>
      <c r="R88" t="inlineStr">
        <is>
          <t>nyu</t>
        </is>
      </c>
      <c r="S88" t="inlineStr">
        <is>
          <t>Lange Q&amp;A</t>
        </is>
      </c>
      <c r="T88" t="inlineStr">
        <is>
          <t xml:space="preserve">QV </t>
        </is>
      </c>
      <c r="U88" t="n">
        <v>2</v>
      </c>
      <c r="V88" t="n">
        <v>2</v>
      </c>
      <c r="W88" t="inlineStr">
        <is>
          <t>2010-03-21</t>
        </is>
      </c>
      <c r="X88" t="inlineStr">
        <is>
          <t>2010-03-21</t>
        </is>
      </c>
      <c r="Y88" t="inlineStr">
        <is>
          <t>2008-08-11</t>
        </is>
      </c>
      <c r="Z88" t="inlineStr">
        <is>
          <t>2008-08-11</t>
        </is>
      </c>
      <c r="AA88" t="n">
        <v>89</v>
      </c>
      <c r="AB88" t="n">
        <v>55</v>
      </c>
      <c r="AC88" t="n">
        <v>118</v>
      </c>
      <c r="AD88" t="n">
        <v>1</v>
      </c>
      <c r="AE88" t="n">
        <v>2</v>
      </c>
      <c r="AF88" t="n">
        <v>2</v>
      </c>
      <c r="AG88" t="n">
        <v>4</v>
      </c>
      <c r="AH88" t="n">
        <v>2</v>
      </c>
      <c r="AI88" t="n">
        <v>2</v>
      </c>
      <c r="AJ88" t="n">
        <v>0</v>
      </c>
      <c r="AK88" t="n">
        <v>1</v>
      </c>
      <c r="AL88" t="n">
        <v>1</v>
      </c>
      <c r="AM88" t="n">
        <v>1</v>
      </c>
      <c r="AN88" t="n">
        <v>0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HYPERLINK("https://creighton-primo.hosted.exlibrisgroup.com/primo-explore/search?tab=default_tab&amp;search_scope=EVERYTHING&amp;vid=01CRU&amp;lang=en_US&amp;offset=0&amp;query=any,contains,991000907159702656","Catalog Record")</f>
        <v/>
      </c>
      <c r="AV88">
        <f>HYPERLINK("http://www.worldcat.org/oclc/73994383","WorldCat Record")</f>
        <v/>
      </c>
      <c r="AW88" t="inlineStr">
        <is>
          <t>60394921:eng</t>
        </is>
      </c>
      <c r="AX88" t="inlineStr">
        <is>
          <t>73994383</t>
        </is>
      </c>
      <c r="AY88" t="inlineStr">
        <is>
          <t>991000907159702656</t>
        </is>
      </c>
      <c r="AZ88" t="inlineStr">
        <is>
          <t>991000907159702656</t>
        </is>
      </c>
      <c r="BA88" t="inlineStr">
        <is>
          <t>2260701490002656</t>
        </is>
      </c>
      <c r="BB88" t="inlineStr">
        <is>
          <t>BOOK</t>
        </is>
      </c>
      <c r="BD88" t="inlineStr">
        <is>
          <t>9780071484459</t>
        </is>
      </c>
      <c r="BE88" t="inlineStr">
        <is>
          <t>30001005294303</t>
        </is>
      </c>
      <c r="BF88" t="inlineStr">
        <is>
          <t>893450603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QV 18.2 M478 2009</t>
        </is>
      </c>
      <c r="E89" t="inlineStr">
        <is>
          <t>0                      QV 0018200M  478         2009</t>
        </is>
      </c>
      <c r="F89" t="inlineStr">
        <is>
          <t>McGraw-Hill's PCAT : pharmacy college admission test / George J. Hademenos ... [et al.].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New York : McGraw-Hill, c2009.</t>
        </is>
      </c>
      <c r="O89" t="inlineStr">
        <is>
          <t>2009</t>
        </is>
      </c>
      <c r="Q89" t="inlineStr">
        <is>
          <t>eng</t>
        </is>
      </c>
      <c r="R89" t="inlineStr">
        <is>
          <t>nyu</t>
        </is>
      </c>
      <c r="T89" t="inlineStr">
        <is>
          <t xml:space="preserve">QV </t>
        </is>
      </c>
      <c r="U89" t="n">
        <v>2</v>
      </c>
      <c r="V89" t="n">
        <v>2</v>
      </c>
      <c r="W89" t="inlineStr">
        <is>
          <t>2010-10-07</t>
        </is>
      </c>
      <c r="X89" t="inlineStr">
        <is>
          <t>2010-10-07</t>
        </is>
      </c>
      <c r="Y89" t="inlineStr">
        <is>
          <t>2010-01-07</t>
        </is>
      </c>
      <c r="Z89" t="inlineStr">
        <is>
          <t>2010-01-07</t>
        </is>
      </c>
      <c r="AA89" t="n">
        <v>99</v>
      </c>
      <c r="AB89" t="n">
        <v>90</v>
      </c>
      <c r="AC89" t="n">
        <v>584</v>
      </c>
      <c r="AD89" t="n">
        <v>1</v>
      </c>
      <c r="AE89" t="n">
        <v>21</v>
      </c>
      <c r="AF89" t="n">
        <v>1</v>
      </c>
      <c r="AG89" t="n">
        <v>14</v>
      </c>
      <c r="AH89" t="n">
        <v>1</v>
      </c>
      <c r="AI89" t="n">
        <v>4</v>
      </c>
      <c r="AJ89" t="n">
        <v>0</v>
      </c>
      <c r="AK89" t="n">
        <v>2</v>
      </c>
      <c r="AL89" t="n">
        <v>0</v>
      </c>
      <c r="AM89" t="n">
        <v>0</v>
      </c>
      <c r="AN89" t="n">
        <v>0</v>
      </c>
      <c r="AO89" t="n">
        <v>9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HYPERLINK("https://creighton-primo.hosted.exlibrisgroup.com/primo-explore/search?tab=default_tab&amp;search_scope=EVERYTHING&amp;vid=01CRU&amp;lang=en_US&amp;offset=0&amp;query=any,contains,991001554389702656","Catalog Record")</f>
        <v/>
      </c>
      <c r="AV89">
        <f>HYPERLINK("http://www.worldcat.org/oclc/226279657","WorldCat Record")</f>
        <v/>
      </c>
      <c r="AW89" t="inlineStr">
        <is>
          <t>799995912:eng</t>
        </is>
      </c>
      <c r="AX89" t="inlineStr">
        <is>
          <t>226279657</t>
        </is>
      </c>
      <c r="AY89" t="inlineStr">
        <is>
          <t>991001554389702656</t>
        </is>
      </c>
      <c r="AZ89" t="inlineStr">
        <is>
          <t>991001554389702656</t>
        </is>
      </c>
      <c r="BA89" t="inlineStr">
        <is>
          <t>2261163810002656</t>
        </is>
      </c>
      <c r="BB89" t="inlineStr">
        <is>
          <t>BOOK</t>
        </is>
      </c>
      <c r="BD89" t="inlineStr">
        <is>
          <t>9780071600453</t>
        </is>
      </c>
      <c r="BE89" t="inlineStr">
        <is>
          <t>30001005366424</t>
        </is>
      </c>
      <c r="BF89" t="inlineStr">
        <is>
          <t>893732158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QV 18.2 P536 2002</t>
        </is>
      </c>
      <c r="E90" t="inlineStr">
        <is>
          <t>0                      QV 0018200P  536         2002</t>
        </is>
      </c>
      <c r="F90" t="inlineStr">
        <is>
          <t>Pharmacology : PreTest self-assessment and review / Arnold Stern ; student reviewers, Christopher A. Heck, Junda C. Woo.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New York : McGraw-Hill, Medical Pub. Division, c2002.</t>
        </is>
      </c>
      <c r="O90" t="inlineStr">
        <is>
          <t>2002</t>
        </is>
      </c>
      <c r="P90" t="inlineStr">
        <is>
          <t>10th ed.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QV </t>
        </is>
      </c>
      <c r="U90" t="n">
        <v>1</v>
      </c>
      <c r="V90" t="n">
        <v>1</v>
      </c>
      <c r="W90" t="inlineStr">
        <is>
          <t>2002-10-16</t>
        </is>
      </c>
      <c r="X90" t="inlineStr">
        <is>
          <t>2002-10-16</t>
        </is>
      </c>
      <c r="Y90" t="inlineStr">
        <is>
          <t>2002-10-09</t>
        </is>
      </c>
      <c r="Z90" t="inlineStr">
        <is>
          <t>2002-10-09</t>
        </is>
      </c>
      <c r="AA90" t="n">
        <v>83</v>
      </c>
      <c r="AB90" t="n">
        <v>52</v>
      </c>
      <c r="AC90" t="n">
        <v>1124</v>
      </c>
      <c r="AD90" t="n">
        <v>1</v>
      </c>
      <c r="AE90" t="n">
        <v>27</v>
      </c>
      <c r="AF90" t="n">
        <v>2</v>
      </c>
      <c r="AG90" t="n">
        <v>33</v>
      </c>
      <c r="AH90" t="n">
        <v>0</v>
      </c>
      <c r="AI90" t="n">
        <v>9</v>
      </c>
      <c r="AJ90" t="n">
        <v>2</v>
      </c>
      <c r="AK90" t="n">
        <v>8</v>
      </c>
      <c r="AL90" t="n">
        <v>1</v>
      </c>
      <c r="AM90" t="n">
        <v>11</v>
      </c>
      <c r="AN90" t="n">
        <v>0</v>
      </c>
      <c r="AO90" t="n">
        <v>12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HYPERLINK("https://creighton-primo.hosted.exlibrisgroup.com/primo-explore/search?tab=default_tab&amp;search_scope=EVERYTHING&amp;vid=01CRU&amp;lang=en_US&amp;offset=0&amp;query=any,contains,991000330449702656","Catalog Record")</f>
        <v/>
      </c>
      <c r="AV90">
        <f>HYPERLINK("http://www.worldcat.org/oclc/46970649","WorldCat Record")</f>
        <v/>
      </c>
      <c r="AW90" t="inlineStr">
        <is>
          <t>3134333936:eng</t>
        </is>
      </c>
      <c r="AX90" t="inlineStr">
        <is>
          <t>46970649</t>
        </is>
      </c>
      <c r="AY90" t="inlineStr">
        <is>
          <t>991000330449702656</t>
        </is>
      </c>
      <c r="AZ90" t="inlineStr">
        <is>
          <t>991000330449702656</t>
        </is>
      </c>
      <c r="BA90" t="inlineStr">
        <is>
          <t>2257023120002656</t>
        </is>
      </c>
      <c r="BB90" t="inlineStr">
        <is>
          <t>BOOK</t>
        </is>
      </c>
      <c r="BD90" t="inlineStr">
        <is>
          <t>9780071367042</t>
        </is>
      </c>
      <c r="BE90" t="inlineStr">
        <is>
          <t>30001004440832</t>
        </is>
      </c>
      <c r="BF90" t="inlineStr">
        <is>
          <t>893542260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QV18.2 P542 2001</t>
        </is>
      </c>
      <c r="E91" t="inlineStr">
        <is>
          <t>0                      QV 0018200P  542         2001</t>
        </is>
      </c>
      <c r="F91" t="inlineStr">
        <is>
          <t>Pharmacy review : pearls of wisdom / [edited by] Francisco Talavera, Eric Scholar.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N91" t="inlineStr">
        <is>
          <t>Lincoln, Neb. : Boston Medical Pub. Corp., 2001.</t>
        </is>
      </c>
      <c r="O91" t="inlineStr">
        <is>
          <t>2001</t>
        </is>
      </c>
      <c r="Q91" t="inlineStr">
        <is>
          <t>eng</t>
        </is>
      </c>
      <c r="R91" t="inlineStr">
        <is>
          <t>nbu</t>
        </is>
      </c>
      <c r="T91" t="inlineStr">
        <is>
          <t xml:space="preserve">QV </t>
        </is>
      </c>
      <c r="U91" t="n">
        <v>23</v>
      </c>
      <c r="V91" t="n">
        <v>23</v>
      </c>
      <c r="W91" t="inlineStr">
        <is>
          <t>2008-04-27</t>
        </is>
      </c>
      <c r="X91" t="inlineStr">
        <is>
          <t>2008-04-27</t>
        </is>
      </c>
      <c r="Y91" t="inlineStr">
        <is>
          <t>2001-11-13</t>
        </is>
      </c>
      <c r="Z91" t="inlineStr">
        <is>
          <t>2001-11-13</t>
        </is>
      </c>
      <c r="AA91" t="n">
        <v>27</v>
      </c>
      <c r="AB91" t="n">
        <v>23</v>
      </c>
      <c r="AC91" t="n">
        <v>25</v>
      </c>
      <c r="AD91" t="n">
        <v>2</v>
      </c>
      <c r="AE91" t="n">
        <v>2</v>
      </c>
      <c r="AF91" t="n">
        <v>1</v>
      </c>
      <c r="AG91" t="n">
        <v>1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HYPERLINK("http://catalog.hathitrust.org/Record/004238173","HathiTrust Record")</f>
        <v/>
      </c>
      <c r="AU91">
        <f>HYPERLINK("https://creighton-primo.hosted.exlibrisgroup.com/primo-explore/search?tab=default_tab&amp;search_scope=EVERYTHING&amp;vid=01CRU&amp;lang=en_US&amp;offset=0&amp;query=any,contains,991000293099702656","Catalog Record")</f>
        <v/>
      </c>
      <c r="AV91">
        <f>HYPERLINK("http://www.worldcat.org/oclc/48125059","WorldCat Record")</f>
        <v/>
      </c>
      <c r="AW91" t="inlineStr">
        <is>
          <t>476073011:eng</t>
        </is>
      </c>
      <c r="AX91" t="inlineStr">
        <is>
          <t>48125059</t>
        </is>
      </c>
      <c r="AY91" t="inlineStr">
        <is>
          <t>991000293099702656</t>
        </is>
      </c>
      <c r="AZ91" t="inlineStr">
        <is>
          <t>991000293099702656</t>
        </is>
      </c>
      <c r="BA91" t="inlineStr">
        <is>
          <t>2258520580002656</t>
        </is>
      </c>
      <c r="BB91" t="inlineStr">
        <is>
          <t>BOOK</t>
        </is>
      </c>
      <c r="BD91" t="inlineStr">
        <is>
          <t>9781584090359</t>
        </is>
      </c>
      <c r="BE91" t="inlineStr">
        <is>
          <t>30001004235240</t>
        </is>
      </c>
      <c r="BF91" t="inlineStr">
        <is>
          <t>893370311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QV 18.2 R496p 1999</t>
        </is>
      </c>
      <c r="E92" t="inlineStr">
        <is>
          <t>0                      QV 0018200R  496p        1999</t>
        </is>
      </c>
      <c r="F92" t="inlineStr">
        <is>
          <t>Principles of pharmacology for medical assisting / Jane Rice.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Rice, Jane.</t>
        </is>
      </c>
      <c r="N92" t="inlineStr">
        <is>
          <t>Albany, N.Y.: Delmar, c1999.</t>
        </is>
      </c>
      <c r="O92" t="inlineStr">
        <is>
          <t>1999</t>
        </is>
      </c>
      <c r="P92" t="inlineStr">
        <is>
          <t>3rd ed.</t>
        </is>
      </c>
      <c r="Q92" t="inlineStr">
        <is>
          <t>eng</t>
        </is>
      </c>
      <c r="R92" t="inlineStr">
        <is>
          <t>nyu</t>
        </is>
      </c>
      <c r="T92" t="inlineStr">
        <is>
          <t xml:space="preserve">QV </t>
        </is>
      </c>
      <c r="U92" t="n">
        <v>6</v>
      </c>
      <c r="V92" t="n">
        <v>6</v>
      </c>
      <c r="W92" t="inlineStr">
        <is>
          <t>2006-04-30</t>
        </is>
      </c>
      <c r="X92" t="inlineStr">
        <is>
          <t>2006-04-30</t>
        </is>
      </c>
      <c r="Y92" t="inlineStr">
        <is>
          <t>1999-01-07</t>
        </is>
      </c>
      <c r="Z92" t="inlineStr">
        <is>
          <t>1999-01-07</t>
        </is>
      </c>
      <c r="AA92" t="n">
        <v>92</v>
      </c>
      <c r="AB92" t="n">
        <v>83</v>
      </c>
      <c r="AC92" t="n">
        <v>297</v>
      </c>
      <c r="AD92" t="n">
        <v>1</v>
      </c>
      <c r="AE92" t="n">
        <v>1</v>
      </c>
      <c r="AF92" t="n">
        <v>0</v>
      </c>
      <c r="AG92" t="n">
        <v>1</v>
      </c>
      <c r="AH92" t="n">
        <v>0</v>
      </c>
      <c r="AI92" t="n">
        <v>1</v>
      </c>
      <c r="AJ92" t="n">
        <v>0</v>
      </c>
      <c r="AK92" t="n">
        <v>0</v>
      </c>
      <c r="AL92" t="n">
        <v>0</v>
      </c>
      <c r="AM92" t="n">
        <v>1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HYPERLINK("https://creighton-primo.hosted.exlibrisgroup.com/primo-explore/search?tab=default_tab&amp;search_scope=EVERYTHING&amp;vid=01CRU&amp;lang=en_US&amp;offset=0&amp;query=any,contains,991001549129702656","Catalog Record")</f>
        <v/>
      </c>
      <c r="AV92">
        <f>HYPERLINK("http://www.worldcat.org/oclc/39202451","WorldCat Record")</f>
        <v/>
      </c>
      <c r="AW92" t="inlineStr">
        <is>
          <t>990148:eng</t>
        </is>
      </c>
      <c r="AX92" t="inlineStr">
        <is>
          <t>39202451</t>
        </is>
      </c>
      <c r="AY92" t="inlineStr">
        <is>
          <t>991001549129702656</t>
        </is>
      </c>
      <c r="AZ92" t="inlineStr">
        <is>
          <t>991001549129702656</t>
        </is>
      </c>
      <c r="BA92" t="inlineStr">
        <is>
          <t>2256461700002656</t>
        </is>
      </c>
      <c r="BB92" t="inlineStr">
        <is>
          <t>BOOK</t>
        </is>
      </c>
      <c r="BD92" t="inlineStr">
        <is>
          <t>9780766803251</t>
        </is>
      </c>
      <c r="BE92" t="inlineStr">
        <is>
          <t>30001004037869</t>
        </is>
      </c>
      <c r="BF92" t="inlineStr">
        <is>
          <t>893162144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QV 20.5 A392n 1991</t>
        </is>
      </c>
      <c r="E93" t="inlineStr">
        <is>
          <t>0                      QV 0020500A  392n        1991</t>
        </is>
      </c>
      <c r="F93" t="inlineStr">
        <is>
          <t>New leads and targets in drug research : proceedings of the Alfred Benzon Symposium 33 held at the premises of the Royal Danish Academy of Sciences and Letters, Copenhagen, September 1-5, 1991 / edited by Povl Krogsgaard-Larsen, Søren Brøgger Christensen, Helmer Kofod.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Alfred Benzon Symposium (33rd : 1991 : Copenhagen, Denmark)</t>
        </is>
      </c>
      <c r="N93" t="inlineStr">
        <is>
          <t>Copenhagen : Munksgaard, c1992.</t>
        </is>
      </c>
      <c r="O93" t="inlineStr">
        <is>
          <t>1992</t>
        </is>
      </c>
      <c r="Q93" t="inlineStr">
        <is>
          <t>eng</t>
        </is>
      </c>
      <c r="R93" t="inlineStr">
        <is>
          <t xml:space="preserve">dk </t>
        </is>
      </c>
      <c r="T93" t="inlineStr">
        <is>
          <t xml:space="preserve">QV </t>
        </is>
      </c>
      <c r="U93" t="n">
        <v>2</v>
      </c>
      <c r="V93" t="n">
        <v>2</v>
      </c>
      <c r="W93" t="inlineStr">
        <is>
          <t>1993-09-02</t>
        </is>
      </c>
      <c r="X93" t="inlineStr">
        <is>
          <t>1993-09-02</t>
        </is>
      </c>
      <c r="Y93" t="inlineStr">
        <is>
          <t>1993-08-31</t>
        </is>
      </c>
      <c r="Z93" t="inlineStr">
        <is>
          <t>1993-08-31</t>
        </is>
      </c>
      <c r="AA93" t="n">
        <v>50</v>
      </c>
      <c r="AB93" t="n">
        <v>31</v>
      </c>
      <c r="AC93" t="n">
        <v>31</v>
      </c>
      <c r="AD93" t="n">
        <v>1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HYPERLINK("https://creighton-primo.hosted.exlibrisgroup.com/primo-explore/search?tab=default_tab&amp;search_scope=EVERYTHING&amp;vid=01CRU&amp;lang=en_US&amp;offset=0&amp;query=any,contains,991001511439702656","Catalog Record")</f>
        <v/>
      </c>
      <c r="AV93">
        <f>HYPERLINK("http://www.worldcat.org/oclc/26638181","WorldCat Record")</f>
        <v/>
      </c>
      <c r="AW93" t="inlineStr">
        <is>
          <t>352327380:eng</t>
        </is>
      </c>
      <c r="AX93" t="inlineStr">
        <is>
          <t>26638181</t>
        </is>
      </c>
      <c r="AY93" t="inlineStr">
        <is>
          <t>991001511439702656</t>
        </is>
      </c>
      <c r="AZ93" t="inlineStr">
        <is>
          <t>991001511439702656</t>
        </is>
      </c>
      <c r="BA93" t="inlineStr">
        <is>
          <t>2263362440002656</t>
        </is>
      </c>
      <c r="BB93" t="inlineStr">
        <is>
          <t>BOOK</t>
        </is>
      </c>
      <c r="BD93" t="inlineStr">
        <is>
          <t>9788716108104</t>
        </is>
      </c>
      <c r="BE93" t="inlineStr">
        <is>
          <t>30001002600882</t>
        </is>
      </c>
      <c r="BF93" t="inlineStr">
        <is>
          <t>893826814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QV 20.5 B615 1975</t>
        </is>
      </c>
      <c r="E94" t="inlineStr">
        <is>
          <t>0                      QV 0020500B  615         1975</t>
        </is>
      </c>
      <c r="F94" t="inlineStr">
        <is>
          <t>Biomedical experimentation on prisoners : review of practices and problems and proposal of a new regulatory approach / by Albert R. Jonsen ... [et al.].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-- San Francisco, Cal. : School of Medicine, University of California, 1975.</t>
        </is>
      </c>
      <c r="O94" t="inlineStr">
        <is>
          <t>1975</t>
        </is>
      </c>
      <c r="Q94" t="inlineStr">
        <is>
          <t>eng</t>
        </is>
      </c>
      <c r="R94" t="inlineStr">
        <is>
          <t>cau</t>
        </is>
      </c>
      <c r="S94" t="inlineStr">
        <is>
          <t>Health Policy Program Discussion Paper, September 1975</t>
        </is>
      </c>
      <c r="T94" t="inlineStr">
        <is>
          <t xml:space="preserve">QV </t>
        </is>
      </c>
      <c r="U94" t="n">
        <v>4</v>
      </c>
      <c r="V94" t="n">
        <v>4</v>
      </c>
      <c r="W94" t="inlineStr">
        <is>
          <t>1991-12-17</t>
        </is>
      </c>
      <c r="X94" t="inlineStr">
        <is>
          <t>1991-12-17</t>
        </is>
      </c>
      <c r="Y94" t="inlineStr">
        <is>
          <t>1988-01-27</t>
        </is>
      </c>
      <c r="Z94" t="inlineStr">
        <is>
          <t>1988-01-27</t>
        </is>
      </c>
      <c r="AA94" t="n">
        <v>12</v>
      </c>
      <c r="AB94" t="n">
        <v>7</v>
      </c>
      <c r="AC94" t="n">
        <v>9</v>
      </c>
      <c r="AD94" t="n">
        <v>1</v>
      </c>
      <c r="AE94" t="n">
        <v>1</v>
      </c>
      <c r="AF94" t="n">
        <v>1</v>
      </c>
      <c r="AG94" t="n">
        <v>1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1</v>
      </c>
      <c r="AQ94" t="n">
        <v>1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HYPERLINK("https://creighton-primo.hosted.exlibrisgroup.com/primo-explore/search?tab=default_tab&amp;search_scope=EVERYTHING&amp;vid=01CRU&amp;lang=en_US&amp;offset=0&amp;query=any,contains,991000950599702656","Catalog Record")</f>
        <v/>
      </c>
      <c r="AV94">
        <f>HYPERLINK("http://www.worldcat.org/oclc/5000869","WorldCat Record")</f>
        <v/>
      </c>
      <c r="AW94" t="inlineStr">
        <is>
          <t>933945940:eng</t>
        </is>
      </c>
      <c r="AX94" t="inlineStr">
        <is>
          <t>5000869</t>
        </is>
      </c>
      <c r="AY94" t="inlineStr">
        <is>
          <t>991000950599702656</t>
        </is>
      </c>
      <c r="AZ94" t="inlineStr">
        <is>
          <t>991000950599702656</t>
        </is>
      </c>
      <c r="BA94" t="inlineStr">
        <is>
          <t>2266198380002656</t>
        </is>
      </c>
      <c r="BB94" t="inlineStr">
        <is>
          <t>BOOK</t>
        </is>
      </c>
      <c r="BE94" t="inlineStr">
        <is>
          <t>30001000190878</t>
        </is>
      </c>
      <c r="BF94" t="inlineStr">
        <is>
          <t>893358034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QV21 B496c 2002</t>
        </is>
      </c>
      <c r="E95" t="inlineStr">
        <is>
          <t>0                      QV 0021000B  496c        2002</t>
        </is>
      </c>
      <c r="F95" t="inlineStr">
        <is>
          <t>Communication skills for pharmacists : building relationships, improving patient care / Bruce A. Berger.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Yes</t>
        </is>
      </c>
      <c r="L95" t="inlineStr">
        <is>
          <t>0</t>
        </is>
      </c>
      <c r="M95" t="inlineStr">
        <is>
          <t>Berger, Bruce A.</t>
        </is>
      </c>
      <c r="N95" t="inlineStr">
        <is>
          <t>Washington, D.C. : American Pharmaceutical Association, c2002.</t>
        </is>
      </c>
      <c r="O95" t="inlineStr">
        <is>
          <t>2002</t>
        </is>
      </c>
      <c r="Q95" t="inlineStr">
        <is>
          <t>eng</t>
        </is>
      </c>
      <c r="R95" t="inlineStr">
        <is>
          <t>dcu</t>
        </is>
      </c>
      <c r="T95" t="inlineStr">
        <is>
          <t xml:space="preserve">QV </t>
        </is>
      </c>
      <c r="U95" t="n">
        <v>22</v>
      </c>
      <c r="V95" t="n">
        <v>22</v>
      </c>
      <c r="W95" t="inlineStr">
        <is>
          <t>2005-10-30</t>
        </is>
      </c>
      <c r="X95" t="inlineStr">
        <is>
          <t>2005-10-30</t>
        </is>
      </c>
      <c r="Y95" t="inlineStr">
        <is>
          <t>2003-05-22</t>
        </is>
      </c>
      <c r="Z95" t="inlineStr">
        <is>
          <t>2003-05-22</t>
        </is>
      </c>
      <c r="AA95" t="n">
        <v>79</v>
      </c>
      <c r="AB95" t="n">
        <v>51</v>
      </c>
      <c r="AC95" t="n">
        <v>150</v>
      </c>
      <c r="AD95" t="n">
        <v>1</v>
      </c>
      <c r="AE95" t="n">
        <v>1</v>
      </c>
      <c r="AF95" t="n">
        <v>2</v>
      </c>
      <c r="AG95" t="n">
        <v>7</v>
      </c>
      <c r="AH95" t="n">
        <v>0</v>
      </c>
      <c r="AI95" t="n">
        <v>4</v>
      </c>
      <c r="AJ95" t="n">
        <v>2</v>
      </c>
      <c r="AK95" t="n">
        <v>2</v>
      </c>
      <c r="AL95" t="n">
        <v>0</v>
      </c>
      <c r="AM95" t="n">
        <v>2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HYPERLINK("http://catalog.hathitrust.org/Record/004316695","HathiTrust Record")</f>
        <v/>
      </c>
      <c r="AU95">
        <f>HYPERLINK("https://creighton-primo.hosted.exlibrisgroup.com/primo-explore/search?tab=default_tab&amp;search_scope=EVERYTHING&amp;vid=01CRU&amp;lang=en_US&amp;offset=0&amp;query=any,contains,991000347439702656","Catalog Record")</f>
        <v/>
      </c>
      <c r="AV95">
        <f>HYPERLINK("http://www.worldcat.org/oclc/50639318","WorldCat Record")</f>
        <v/>
      </c>
      <c r="AW95" t="inlineStr">
        <is>
          <t>485411:eng</t>
        </is>
      </c>
      <c r="AX95" t="inlineStr">
        <is>
          <t>50639318</t>
        </is>
      </c>
      <c r="AY95" t="inlineStr">
        <is>
          <t>991000347439702656</t>
        </is>
      </c>
      <c r="AZ95" t="inlineStr">
        <is>
          <t>991000347439702656</t>
        </is>
      </c>
      <c r="BA95" t="inlineStr">
        <is>
          <t>2263452820002656</t>
        </is>
      </c>
      <c r="BB95" t="inlineStr">
        <is>
          <t>BOOK</t>
        </is>
      </c>
      <c r="BD95" t="inlineStr">
        <is>
          <t>9781582120423</t>
        </is>
      </c>
      <c r="BE95" t="inlineStr">
        <is>
          <t>30001004504306</t>
        </is>
      </c>
      <c r="BF95" t="inlineStr">
        <is>
          <t>893359492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QV21 B496c 2005</t>
        </is>
      </c>
      <c r="E96" t="inlineStr">
        <is>
          <t>0                      QV 0021000B  496c        2005</t>
        </is>
      </c>
      <c r="F96" t="inlineStr">
        <is>
          <t>Communication skills for pharmacists : building relationships, improving patient care / Bruce A. Berger.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Yes</t>
        </is>
      </c>
      <c r="L96" t="inlineStr">
        <is>
          <t>0</t>
        </is>
      </c>
      <c r="M96" t="inlineStr">
        <is>
          <t>Berger, Bruce A.</t>
        </is>
      </c>
      <c r="N96" t="inlineStr">
        <is>
          <t>Washington, D.C. : American Pharmacists Association, 2005.</t>
        </is>
      </c>
      <c r="O96" t="inlineStr">
        <is>
          <t>2005</t>
        </is>
      </c>
      <c r="P96" t="inlineStr">
        <is>
          <t>2nd ed.</t>
        </is>
      </c>
      <c r="Q96" t="inlineStr">
        <is>
          <t>eng</t>
        </is>
      </c>
      <c r="R96" t="inlineStr">
        <is>
          <t>dcu</t>
        </is>
      </c>
      <c r="T96" t="inlineStr">
        <is>
          <t xml:space="preserve">QV </t>
        </is>
      </c>
      <c r="U96" t="n">
        <v>37</v>
      </c>
      <c r="V96" t="n">
        <v>37</v>
      </c>
      <c r="W96" t="inlineStr">
        <is>
          <t>2008-11-12</t>
        </is>
      </c>
      <c r="X96" t="inlineStr">
        <is>
          <t>2008-11-12</t>
        </is>
      </c>
      <c r="Y96" t="inlineStr">
        <is>
          <t>2006-08-22</t>
        </is>
      </c>
      <c r="Z96" t="inlineStr">
        <is>
          <t>2006-08-22</t>
        </is>
      </c>
      <c r="AA96" t="n">
        <v>94</v>
      </c>
      <c r="AB96" t="n">
        <v>57</v>
      </c>
      <c r="AC96" t="n">
        <v>150</v>
      </c>
      <c r="AD96" t="n">
        <v>1</v>
      </c>
      <c r="AE96" t="n">
        <v>1</v>
      </c>
      <c r="AF96" t="n">
        <v>0</v>
      </c>
      <c r="AG96" t="n">
        <v>7</v>
      </c>
      <c r="AH96" t="n">
        <v>0</v>
      </c>
      <c r="AI96" t="n">
        <v>4</v>
      </c>
      <c r="AJ96" t="n">
        <v>0</v>
      </c>
      <c r="AK96" t="n">
        <v>2</v>
      </c>
      <c r="AL96" t="n">
        <v>0</v>
      </c>
      <c r="AM96" t="n">
        <v>2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HYPERLINK("http://catalog.hathitrust.org/Record/005088001","HathiTrust Record")</f>
        <v/>
      </c>
      <c r="AU96">
        <f>HYPERLINK("https://creighton-primo.hosted.exlibrisgroup.com/primo-explore/search?tab=default_tab&amp;search_scope=EVERYTHING&amp;vid=01CRU&amp;lang=en_US&amp;offset=0&amp;query=any,contains,991000529869702656","Catalog Record")</f>
        <v/>
      </c>
      <c r="AV96">
        <f>HYPERLINK("http://www.worldcat.org/oclc/57514962","WorldCat Record")</f>
        <v/>
      </c>
      <c r="AW96" t="inlineStr">
        <is>
          <t>485411:eng</t>
        </is>
      </c>
      <c r="AX96" t="inlineStr">
        <is>
          <t>57514962</t>
        </is>
      </c>
      <c r="AY96" t="inlineStr">
        <is>
          <t>991000529869702656</t>
        </is>
      </c>
      <c r="AZ96" t="inlineStr">
        <is>
          <t>991000529869702656</t>
        </is>
      </c>
      <c r="BA96" t="inlineStr">
        <is>
          <t>2254883950002656</t>
        </is>
      </c>
      <c r="BB96" t="inlineStr">
        <is>
          <t>BOOK</t>
        </is>
      </c>
      <c r="BD96" t="inlineStr">
        <is>
          <t>9781582120805</t>
        </is>
      </c>
      <c r="BE96" t="inlineStr">
        <is>
          <t>30001005170305</t>
        </is>
      </c>
      <c r="BF96" t="inlineStr">
        <is>
          <t>893559708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QV 21 B928e 1994</t>
        </is>
      </c>
      <c r="E97" t="inlineStr">
        <is>
          <t>0                      QV 0021000B  928e        1994</t>
        </is>
      </c>
      <c r="F97" t="inlineStr">
        <is>
          <t>Ethical responsibility in pharmacy practice / Robert A. Buerki, Louis D. Vottero.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Yes</t>
        </is>
      </c>
      <c r="L97" t="inlineStr">
        <is>
          <t>0</t>
        </is>
      </c>
      <c r="M97" t="inlineStr">
        <is>
          <t>Buerki, Robert A.</t>
        </is>
      </c>
      <c r="N97" t="inlineStr">
        <is>
          <t>Madison, Wis. : American Institute of the History of Pharmacy, c1994.</t>
        </is>
      </c>
      <c r="O97" t="inlineStr">
        <is>
          <t>1994</t>
        </is>
      </c>
      <c r="Q97" t="inlineStr">
        <is>
          <t>eng</t>
        </is>
      </c>
      <c r="R97" t="inlineStr">
        <is>
          <t>wiu</t>
        </is>
      </c>
      <c r="T97" t="inlineStr">
        <is>
          <t xml:space="preserve">QV </t>
        </is>
      </c>
      <c r="U97" t="n">
        <v>19</v>
      </c>
      <c r="V97" t="n">
        <v>19</v>
      </c>
      <c r="W97" t="inlineStr">
        <is>
          <t>2005-10-11</t>
        </is>
      </c>
      <c r="X97" t="inlineStr">
        <is>
          <t>2005-10-11</t>
        </is>
      </c>
      <c r="Y97" t="inlineStr">
        <is>
          <t>1995-08-09</t>
        </is>
      </c>
      <c r="Z97" t="inlineStr">
        <is>
          <t>1995-08-09</t>
        </is>
      </c>
      <c r="AA97" t="n">
        <v>51</v>
      </c>
      <c r="AB97" t="n">
        <v>38</v>
      </c>
      <c r="AC97" t="n">
        <v>88</v>
      </c>
      <c r="AD97" t="n">
        <v>1</v>
      </c>
      <c r="AE97" t="n">
        <v>1</v>
      </c>
      <c r="AF97" t="n">
        <v>2</v>
      </c>
      <c r="AG97" t="n">
        <v>5</v>
      </c>
      <c r="AH97" t="n">
        <v>1</v>
      </c>
      <c r="AI97" t="n">
        <v>4</v>
      </c>
      <c r="AJ97" t="n">
        <v>1</v>
      </c>
      <c r="AK97" t="n">
        <v>2</v>
      </c>
      <c r="AL97" t="n">
        <v>0</v>
      </c>
      <c r="AM97" t="n">
        <v>1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HYPERLINK("http://catalog.hathitrust.org/Record/002985532","HathiTrust Record")</f>
        <v/>
      </c>
      <c r="AU97">
        <f>HYPERLINK("https://creighton-primo.hosted.exlibrisgroup.com/primo-explore/search?tab=default_tab&amp;search_scope=EVERYTHING&amp;vid=01CRU&amp;lang=en_US&amp;offset=0&amp;query=any,contains,991001403449702656","Catalog Record")</f>
        <v/>
      </c>
      <c r="AV97">
        <f>HYPERLINK("http://www.worldcat.org/oclc/31272352","WorldCat Record")</f>
        <v/>
      </c>
      <c r="AW97" t="inlineStr">
        <is>
          <t>7589599:eng</t>
        </is>
      </c>
      <c r="AX97" t="inlineStr">
        <is>
          <t>31272352</t>
        </is>
      </c>
      <c r="AY97" t="inlineStr">
        <is>
          <t>991001403449702656</t>
        </is>
      </c>
      <c r="AZ97" t="inlineStr">
        <is>
          <t>991001403449702656</t>
        </is>
      </c>
      <c r="BA97" t="inlineStr">
        <is>
          <t>2260485910002656</t>
        </is>
      </c>
      <c r="BB97" t="inlineStr">
        <is>
          <t>BOOK</t>
        </is>
      </c>
      <c r="BD97" t="inlineStr">
        <is>
          <t>9780931292255</t>
        </is>
      </c>
      <c r="BE97" t="inlineStr">
        <is>
          <t>30001003149186</t>
        </is>
      </c>
      <c r="BF97" t="inlineStr">
        <is>
          <t>893727542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QV 21 B961o 1959</t>
        </is>
      </c>
      <c r="E98" t="inlineStr">
        <is>
          <t>0                      QV 0021000B  961o        1959</t>
        </is>
      </c>
      <c r="F98" t="inlineStr">
        <is>
          <t>Orientation to pharmacy / Henry M. Burlage, Charles O. Lee, L. Wait Rising.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Burlage, Henry M., 1897-1978.</t>
        </is>
      </c>
      <c r="N98" t="inlineStr">
        <is>
          <t>New York : McGraw-Hill, Blakiston Division, c1959.</t>
        </is>
      </c>
      <c r="O98" t="inlineStr">
        <is>
          <t>1959</t>
        </is>
      </c>
      <c r="Q98" t="inlineStr">
        <is>
          <t>eng</t>
        </is>
      </c>
      <c r="R98" t="inlineStr">
        <is>
          <t xml:space="preserve">xx </t>
        </is>
      </c>
      <c r="T98" t="inlineStr">
        <is>
          <t xml:space="preserve">QV </t>
        </is>
      </c>
      <c r="U98" t="n">
        <v>2</v>
      </c>
      <c r="V98" t="n">
        <v>2</v>
      </c>
      <c r="W98" t="inlineStr">
        <is>
          <t>2003-01-28</t>
        </is>
      </c>
      <c r="X98" t="inlineStr">
        <is>
          <t>2003-01-28</t>
        </is>
      </c>
      <c r="Y98" t="inlineStr">
        <is>
          <t>1988-01-18</t>
        </is>
      </c>
      <c r="Z98" t="inlineStr">
        <is>
          <t>1988-01-18</t>
        </is>
      </c>
      <c r="AA98" t="n">
        <v>58</v>
      </c>
      <c r="AB98" t="n">
        <v>46</v>
      </c>
      <c r="AC98" t="n">
        <v>50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T98">
        <f>HYPERLINK("http://catalog.hathitrust.org/Record/002075340","HathiTrust Record")</f>
        <v/>
      </c>
      <c r="AU98">
        <f>HYPERLINK("https://creighton-primo.hosted.exlibrisgroup.com/primo-explore/search?tab=default_tab&amp;search_scope=EVERYTHING&amp;vid=01CRU&amp;lang=en_US&amp;offset=0&amp;query=any,contains,991000950639702656","Catalog Record")</f>
        <v/>
      </c>
      <c r="AV98">
        <f>HYPERLINK("http://www.worldcat.org/oclc/14618687","WorldCat Record")</f>
        <v/>
      </c>
      <c r="AW98" t="inlineStr">
        <is>
          <t>8476861:eng</t>
        </is>
      </c>
      <c r="AX98" t="inlineStr">
        <is>
          <t>14618687</t>
        </is>
      </c>
      <c r="AY98" t="inlineStr">
        <is>
          <t>991000950639702656</t>
        </is>
      </c>
      <c r="AZ98" t="inlineStr">
        <is>
          <t>991000950639702656</t>
        </is>
      </c>
      <c r="BA98" t="inlineStr">
        <is>
          <t>2271271820002656</t>
        </is>
      </c>
      <c r="BB98" t="inlineStr">
        <is>
          <t>BOOK</t>
        </is>
      </c>
      <c r="BE98" t="inlineStr">
        <is>
          <t>30001000190902</t>
        </is>
      </c>
      <c r="BF98" t="inlineStr">
        <is>
          <t>893643041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QV 21.C437 1985</t>
        </is>
      </c>
      <c r="E99" t="inlineStr">
        <is>
          <t>0                      QV 0021000C  437         1985</t>
        </is>
      </c>
      <c r="F99" t="inlineStr">
        <is>
          <t>The Challenge of ethics in pharmacy practice : symposium / presented at a joint session of the American Institute of the History of Pharmacy and the APhA Academy of Pharmacy Practice ; Robert A. Buerki, chairman.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Madison, Wis. : American Institute of the History of Pharmacy, 1985.</t>
        </is>
      </c>
      <c r="O99" t="inlineStr">
        <is>
          <t>1985</t>
        </is>
      </c>
      <c r="Q99" t="inlineStr">
        <is>
          <t>eng</t>
        </is>
      </c>
      <c r="R99" t="inlineStr">
        <is>
          <t>wiu</t>
        </is>
      </c>
      <c r="S99" t="inlineStr">
        <is>
          <t>Publication ; no. 8 (new ser.)</t>
        </is>
      </c>
      <c r="T99" t="inlineStr">
        <is>
          <t xml:space="preserve">QV </t>
        </is>
      </c>
      <c r="U99" t="n">
        <v>40</v>
      </c>
      <c r="V99" t="n">
        <v>40</v>
      </c>
      <c r="W99" t="inlineStr">
        <is>
          <t>2004-02-04</t>
        </is>
      </c>
      <c r="X99" t="inlineStr">
        <is>
          <t>2004-02-04</t>
        </is>
      </c>
      <c r="Y99" t="inlineStr">
        <is>
          <t>1987-09-28</t>
        </is>
      </c>
      <c r="Z99" t="inlineStr">
        <is>
          <t>1987-09-28</t>
        </is>
      </c>
      <c r="AA99" t="n">
        <v>65</v>
      </c>
      <c r="AB99" t="n">
        <v>55</v>
      </c>
      <c r="AC99" t="n">
        <v>66</v>
      </c>
      <c r="AD99" t="n">
        <v>0</v>
      </c>
      <c r="AE99" t="n">
        <v>1</v>
      </c>
      <c r="AF99" t="n">
        <v>3</v>
      </c>
      <c r="AG99" t="n">
        <v>5</v>
      </c>
      <c r="AH99" t="n">
        <v>1</v>
      </c>
      <c r="AI99" t="n">
        <v>1</v>
      </c>
      <c r="AJ99" t="n">
        <v>1</v>
      </c>
      <c r="AK99" t="n">
        <v>2</v>
      </c>
      <c r="AL99" t="n">
        <v>0</v>
      </c>
      <c r="AM99" t="n">
        <v>0</v>
      </c>
      <c r="AN99" t="n">
        <v>0</v>
      </c>
      <c r="AO99" t="n">
        <v>1</v>
      </c>
      <c r="AP99" t="n">
        <v>1</v>
      </c>
      <c r="AQ99" t="n">
        <v>1</v>
      </c>
      <c r="AR99" t="inlineStr">
        <is>
          <t>Yes</t>
        </is>
      </c>
      <c r="AS99" t="inlineStr">
        <is>
          <t>Yes</t>
        </is>
      </c>
      <c r="AT99">
        <f>HYPERLINK("http://catalog.hathitrust.org/Record/000615517","HathiTrust Record")</f>
        <v/>
      </c>
      <c r="AU99">
        <f>HYPERLINK("https://creighton-primo.hosted.exlibrisgroup.com/primo-explore/search?tab=default_tab&amp;search_scope=EVERYTHING&amp;vid=01CRU&amp;lang=en_US&amp;offset=0&amp;query=any,contains,991000222339702656","Catalog Record")</f>
        <v/>
      </c>
      <c r="AV99">
        <f>HYPERLINK("http://www.worldcat.org/oclc/21483167","WorldCat Record")</f>
        <v/>
      </c>
      <c r="AW99" t="inlineStr">
        <is>
          <t>23379914:eng</t>
        </is>
      </c>
      <c r="AX99" t="inlineStr">
        <is>
          <t>21483167</t>
        </is>
      </c>
      <c r="AY99" t="inlineStr">
        <is>
          <t>991000222339702656</t>
        </is>
      </c>
      <c r="AZ99" t="inlineStr">
        <is>
          <t>991000222339702656</t>
        </is>
      </c>
      <c r="BA99" t="inlineStr">
        <is>
          <t>2261721660002656</t>
        </is>
      </c>
      <c r="BB99" t="inlineStr">
        <is>
          <t>BOOK</t>
        </is>
      </c>
      <c r="BD99" t="inlineStr">
        <is>
          <t>9780931292156</t>
        </is>
      </c>
      <c r="BE99" t="inlineStr">
        <is>
          <t>30001000046237</t>
        </is>
      </c>
      <c r="BF99" t="inlineStr">
        <is>
          <t>893821924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QV21 C577p 2004</t>
        </is>
      </c>
      <c r="E100" t="inlineStr">
        <is>
          <t>0                      QV 0021000C  577p        2004</t>
        </is>
      </c>
      <c r="F100" t="inlineStr">
        <is>
          <t>Pharmaceutical care practice : the clinician's guide / Robert J. Cipolle, Linda M. Strand, Peter C. Morley.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1</t>
        </is>
      </c>
      <c r="M100" t="inlineStr">
        <is>
          <t>Cipolle, Robert J.</t>
        </is>
      </c>
      <c r="N100" t="inlineStr">
        <is>
          <t>New York : McGraw-Hill, Medical Pub. Division, c2004.</t>
        </is>
      </c>
      <c r="O100" t="inlineStr">
        <is>
          <t>2004</t>
        </is>
      </c>
      <c r="P100" t="inlineStr">
        <is>
          <t>2nd ed.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QV </t>
        </is>
      </c>
      <c r="U100" t="n">
        <v>1</v>
      </c>
      <c r="V100" t="n">
        <v>1</v>
      </c>
      <c r="W100" t="inlineStr">
        <is>
          <t>2006-08-31</t>
        </is>
      </c>
      <c r="X100" t="inlineStr">
        <is>
          <t>2006-08-31</t>
        </is>
      </c>
      <c r="Y100" t="inlineStr">
        <is>
          <t>2004-11-16</t>
        </is>
      </c>
      <c r="Z100" t="inlineStr">
        <is>
          <t>2004-11-16</t>
        </is>
      </c>
      <c r="AA100" t="n">
        <v>128</v>
      </c>
      <c r="AB100" t="n">
        <v>78</v>
      </c>
      <c r="AC100" t="n">
        <v>178</v>
      </c>
      <c r="AD100" t="n">
        <v>1</v>
      </c>
      <c r="AE100" t="n">
        <v>2</v>
      </c>
      <c r="AF100" t="n">
        <v>2</v>
      </c>
      <c r="AG100" t="n">
        <v>9</v>
      </c>
      <c r="AH100" t="n">
        <v>1</v>
      </c>
      <c r="AI100" t="n">
        <v>6</v>
      </c>
      <c r="AJ100" t="n">
        <v>1</v>
      </c>
      <c r="AK100" t="n">
        <v>2</v>
      </c>
      <c r="AL100" t="n">
        <v>0</v>
      </c>
      <c r="AM100" t="n">
        <v>2</v>
      </c>
      <c r="AN100" t="n">
        <v>0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HYPERLINK("http://catalog.hathitrust.org/Record/004735061","HathiTrust Record")</f>
        <v/>
      </c>
      <c r="AU100">
        <f>HYPERLINK("https://creighton-primo.hosted.exlibrisgroup.com/primo-explore/search?tab=default_tab&amp;search_scope=EVERYTHING&amp;vid=01CRU&amp;lang=en_US&amp;offset=0&amp;query=any,contains,991000411289702656","Catalog Record")</f>
        <v/>
      </c>
      <c r="AV100">
        <f>HYPERLINK("http://www.worldcat.org/oclc/53286287","WorldCat Record")</f>
        <v/>
      </c>
      <c r="AW100" t="inlineStr">
        <is>
          <t>5343065319:eng</t>
        </is>
      </c>
      <c r="AX100" t="inlineStr">
        <is>
          <t>53286287</t>
        </is>
      </c>
      <c r="AY100" t="inlineStr">
        <is>
          <t>991000411289702656</t>
        </is>
      </c>
      <c r="AZ100" t="inlineStr">
        <is>
          <t>991000411289702656</t>
        </is>
      </c>
      <c r="BA100" t="inlineStr">
        <is>
          <t>2257284910002656</t>
        </is>
      </c>
      <c r="BB100" t="inlineStr">
        <is>
          <t>BOOK</t>
        </is>
      </c>
      <c r="BD100" t="inlineStr">
        <is>
          <t>9780071362597</t>
        </is>
      </c>
      <c r="BE100" t="inlineStr">
        <is>
          <t>30001004925295</t>
        </is>
      </c>
      <c r="BF100" t="inlineStr">
        <is>
          <t>893354282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QV 21 C7345 1989</t>
        </is>
      </c>
      <c r="E101" t="inlineStr">
        <is>
          <t>0                      QV 0021000C  7345        1989</t>
        </is>
      </c>
      <c r="F101" t="inlineStr">
        <is>
          <t>Communication skills in pharmacy practice : a practical guide for students and practitioners / [edited by] William N. Tindall, Robert S. Beardsley, Carole L. Kimberlin.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Yes</t>
        </is>
      </c>
      <c r="L101" t="inlineStr">
        <is>
          <t>0</t>
        </is>
      </c>
      <c r="N101" t="inlineStr">
        <is>
          <t>Philadelphia : Lea &amp; Febiger, c1989.</t>
        </is>
      </c>
      <c r="O101" t="inlineStr">
        <is>
          <t>1989</t>
        </is>
      </c>
      <c r="P101" t="inlineStr">
        <is>
          <t>2nd ed.</t>
        </is>
      </c>
      <c r="Q101" t="inlineStr">
        <is>
          <t>eng</t>
        </is>
      </c>
      <c r="R101" t="inlineStr">
        <is>
          <t>xxu</t>
        </is>
      </c>
      <c r="T101" t="inlineStr">
        <is>
          <t xml:space="preserve">QV </t>
        </is>
      </c>
      <c r="U101" t="n">
        <v>22</v>
      </c>
      <c r="V101" t="n">
        <v>22</v>
      </c>
      <c r="W101" t="inlineStr">
        <is>
          <t>2004-02-04</t>
        </is>
      </c>
      <c r="X101" t="inlineStr">
        <is>
          <t>2004-02-04</t>
        </is>
      </c>
      <c r="Y101" t="inlineStr">
        <is>
          <t>1989-07-29</t>
        </is>
      </c>
      <c r="Z101" t="inlineStr">
        <is>
          <t>1989-07-29</t>
        </is>
      </c>
      <c r="AA101" t="n">
        <v>62</v>
      </c>
      <c r="AB101" t="n">
        <v>39</v>
      </c>
      <c r="AC101" t="n">
        <v>221</v>
      </c>
      <c r="AD101" t="n">
        <v>1</v>
      </c>
      <c r="AE101" t="n">
        <v>2</v>
      </c>
      <c r="AF101" t="n">
        <v>1</v>
      </c>
      <c r="AG101" t="n">
        <v>9</v>
      </c>
      <c r="AH101" t="n">
        <v>1</v>
      </c>
      <c r="AI101" t="n">
        <v>6</v>
      </c>
      <c r="AJ101" t="n">
        <v>0</v>
      </c>
      <c r="AK101" t="n">
        <v>3</v>
      </c>
      <c r="AL101" t="n">
        <v>0</v>
      </c>
      <c r="AM101" t="n">
        <v>1</v>
      </c>
      <c r="AN101" t="n">
        <v>0</v>
      </c>
      <c r="AO101" t="n">
        <v>1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HYPERLINK("http://catalog.hathitrust.org/Record/001817904","HathiTrust Record")</f>
        <v/>
      </c>
      <c r="AU101">
        <f>HYPERLINK("https://creighton-primo.hosted.exlibrisgroup.com/primo-explore/search?tab=default_tab&amp;search_scope=EVERYTHING&amp;vid=01CRU&amp;lang=en_US&amp;offset=0&amp;query=any,contains,991001312779702656","Catalog Record")</f>
        <v/>
      </c>
      <c r="AV101">
        <f>HYPERLINK("http://www.worldcat.org/oclc/19723746","WorldCat Record")</f>
        <v/>
      </c>
      <c r="AW101" t="inlineStr">
        <is>
          <t>4923476460:eng</t>
        </is>
      </c>
      <c r="AX101" t="inlineStr">
        <is>
          <t>19723746</t>
        </is>
      </c>
      <c r="AY101" t="inlineStr">
        <is>
          <t>991001312779702656</t>
        </is>
      </c>
      <c r="AZ101" t="inlineStr">
        <is>
          <t>991001312779702656</t>
        </is>
      </c>
      <c r="BA101" t="inlineStr">
        <is>
          <t>2261804850002656</t>
        </is>
      </c>
      <c r="BB101" t="inlineStr">
        <is>
          <t>BOOK</t>
        </is>
      </c>
      <c r="BD101" t="inlineStr">
        <is>
          <t>9780812112580</t>
        </is>
      </c>
      <c r="BE101" t="inlineStr">
        <is>
          <t>30001001751488</t>
        </is>
      </c>
      <c r="BF101" t="inlineStr">
        <is>
          <t>893541246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QV 21 C7348 1994</t>
        </is>
      </c>
      <c r="E102" t="inlineStr">
        <is>
          <t>0                      QV 0021000C  7348        1994</t>
        </is>
      </c>
      <c r="F102" t="inlineStr">
        <is>
          <t>Communication skills in pharmacy practice : a practical guide for students and practitioners / [edited by] William N. Tindall, Robert S. Beardsley, Carole L. Kimberlin.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Yes</t>
        </is>
      </c>
      <c r="L102" t="inlineStr">
        <is>
          <t>0</t>
        </is>
      </c>
      <c r="N102" t="inlineStr">
        <is>
          <t>Philadelphia : Lea &amp; Febiger, c1994.</t>
        </is>
      </c>
      <c r="O102" t="inlineStr">
        <is>
          <t>1994</t>
        </is>
      </c>
      <c r="P102" t="inlineStr">
        <is>
          <t>3rd ed.</t>
        </is>
      </c>
      <c r="Q102" t="inlineStr">
        <is>
          <t>eng</t>
        </is>
      </c>
      <c r="R102" t="inlineStr">
        <is>
          <t>pau</t>
        </is>
      </c>
      <c r="T102" t="inlineStr">
        <is>
          <t xml:space="preserve">QV </t>
        </is>
      </c>
      <c r="U102" t="n">
        <v>49</v>
      </c>
      <c r="V102" t="n">
        <v>49</v>
      </c>
      <c r="W102" t="inlineStr">
        <is>
          <t>2006-06-05</t>
        </is>
      </c>
      <c r="X102" t="inlineStr">
        <is>
          <t>2006-06-05</t>
        </is>
      </c>
      <c r="Y102" t="inlineStr">
        <is>
          <t>1994-08-04</t>
        </is>
      </c>
      <c r="Z102" t="inlineStr">
        <is>
          <t>1994-08-04</t>
        </is>
      </c>
      <c r="AA102" t="n">
        <v>66</v>
      </c>
      <c r="AB102" t="n">
        <v>44</v>
      </c>
      <c r="AC102" t="n">
        <v>221</v>
      </c>
      <c r="AD102" t="n">
        <v>1</v>
      </c>
      <c r="AE102" t="n">
        <v>2</v>
      </c>
      <c r="AF102" t="n">
        <v>2</v>
      </c>
      <c r="AG102" t="n">
        <v>9</v>
      </c>
      <c r="AH102" t="n">
        <v>1</v>
      </c>
      <c r="AI102" t="n">
        <v>6</v>
      </c>
      <c r="AJ102" t="n">
        <v>1</v>
      </c>
      <c r="AK102" t="n">
        <v>3</v>
      </c>
      <c r="AL102" t="n">
        <v>0</v>
      </c>
      <c r="AM102" t="n">
        <v>1</v>
      </c>
      <c r="AN102" t="n">
        <v>0</v>
      </c>
      <c r="AO102" t="n">
        <v>1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HYPERLINK("http://catalog.hathitrust.org/Record/002753628","HathiTrust Record")</f>
        <v/>
      </c>
      <c r="AU102">
        <f>HYPERLINK("https://creighton-primo.hosted.exlibrisgroup.com/primo-explore/search?tab=default_tab&amp;search_scope=EVERYTHING&amp;vid=01CRU&amp;lang=en_US&amp;offset=0&amp;query=any,contains,991000501689702656","Catalog Record")</f>
        <v/>
      </c>
      <c r="AV102">
        <f>HYPERLINK("http://www.worldcat.org/oclc/28673250","WorldCat Record")</f>
        <v/>
      </c>
      <c r="AW102" t="inlineStr">
        <is>
          <t>4923476460:eng</t>
        </is>
      </c>
      <c r="AX102" t="inlineStr">
        <is>
          <t>28673250</t>
        </is>
      </c>
      <c r="AY102" t="inlineStr">
        <is>
          <t>991000501689702656</t>
        </is>
      </c>
      <c r="AZ102" t="inlineStr">
        <is>
          <t>991000501689702656</t>
        </is>
      </c>
      <c r="BA102" t="inlineStr">
        <is>
          <t>2271728660002656</t>
        </is>
      </c>
      <c r="BB102" t="inlineStr">
        <is>
          <t>BOOK</t>
        </is>
      </c>
      <c r="BD102" t="inlineStr">
        <is>
          <t>9780812116335</t>
        </is>
      </c>
      <c r="BE102" t="inlineStr">
        <is>
          <t>30001002568907</t>
        </is>
      </c>
      <c r="BF102" t="inlineStr">
        <is>
          <t>893354594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QV 21 D413p 1959</t>
        </is>
      </c>
      <c r="E103" t="inlineStr">
        <is>
          <t>0                      QV 0021000D  413p        1959</t>
        </is>
      </c>
      <c r="F103" t="inlineStr">
        <is>
          <t>The profession of pharmacy : an introductory textbook / Richard A. Deno, Thomas D. Rowe, Donald C. Brodie.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Deno, Richard A. (Richard Anthony), 1906-</t>
        </is>
      </c>
      <c r="N103" t="inlineStr">
        <is>
          <t>Philadelphia : Lippincott, c1959.</t>
        </is>
      </c>
      <c r="O103" t="inlineStr">
        <is>
          <t>1959</t>
        </is>
      </c>
      <c r="Q103" t="inlineStr">
        <is>
          <t>eng</t>
        </is>
      </c>
      <c r="R103" t="inlineStr">
        <is>
          <t>pau</t>
        </is>
      </c>
      <c r="T103" t="inlineStr">
        <is>
          <t xml:space="preserve">QV </t>
        </is>
      </c>
      <c r="U103" t="n">
        <v>5</v>
      </c>
      <c r="V103" t="n">
        <v>5</v>
      </c>
      <c r="W103" t="inlineStr">
        <is>
          <t>2003-01-28</t>
        </is>
      </c>
      <c r="X103" t="inlineStr">
        <is>
          <t>2003-01-28</t>
        </is>
      </c>
      <c r="Y103" t="inlineStr">
        <is>
          <t>1988-01-18</t>
        </is>
      </c>
      <c r="Z103" t="inlineStr">
        <is>
          <t>1988-01-18</t>
        </is>
      </c>
      <c r="AA103" t="n">
        <v>57</v>
      </c>
      <c r="AB103" t="n">
        <v>48</v>
      </c>
      <c r="AC103" t="n">
        <v>53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T103">
        <f>HYPERLINK("http://catalog.hathitrust.org/Record/001579365","HathiTrust Record")</f>
        <v/>
      </c>
      <c r="AU103">
        <f>HYPERLINK("https://creighton-primo.hosted.exlibrisgroup.com/primo-explore/search?tab=default_tab&amp;search_scope=EVERYTHING&amp;vid=01CRU&amp;lang=en_US&amp;offset=0&amp;query=any,contains,991000950869702656","Catalog Record")</f>
        <v/>
      </c>
      <c r="AV103">
        <f>HYPERLINK("http://www.worldcat.org/oclc/1457951","WorldCat Record")</f>
        <v/>
      </c>
      <c r="AW103" t="inlineStr">
        <is>
          <t>303405769:eng</t>
        </is>
      </c>
      <c r="AX103" t="inlineStr">
        <is>
          <t>1457951</t>
        </is>
      </c>
      <c r="AY103" t="inlineStr">
        <is>
          <t>991000950869702656</t>
        </is>
      </c>
      <c r="AZ103" t="inlineStr">
        <is>
          <t>991000950869702656</t>
        </is>
      </c>
      <c r="BA103" t="inlineStr">
        <is>
          <t>2257144320002656</t>
        </is>
      </c>
      <c r="BB103" t="inlineStr">
        <is>
          <t>BOOK</t>
        </is>
      </c>
      <c r="BE103" t="inlineStr">
        <is>
          <t>30001000190951</t>
        </is>
      </c>
      <c r="BF103" t="inlineStr">
        <is>
          <t>893731554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QV 21 E84 1996</t>
        </is>
      </c>
      <c r="E104" t="inlineStr">
        <is>
          <t>0                      QV 0021000E  84          1996</t>
        </is>
      </c>
      <c r="F104" t="inlineStr">
        <is>
          <t>Ethical dimensions of pharmaceutical care / Amy Marie Haddad, Robert A. Buerki, editors.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New York : Pharmaceutical Products Press, c1996.</t>
        </is>
      </c>
      <c r="O104" t="inlineStr">
        <is>
          <t>1996</t>
        </is>
      </c>
      <c r="Q104" t="inlineStr">
        <is>
          <t>eng</t>
        </is>
      </c>
      <c r="R104" t="inlineStr">
        <is>
          <t>nyu</t>
        </is>
      </c>
      <c r="T104" t="inlineStr">
        <is>
          <t xml:space="preserve">QV </t>
        </is>
      </c>
      <c r="U104" t="n">
        <v>16</v>
      </c>
      <c r="V104" t="n">
        <v>16</v>
      </c>
      <c r="W104" t="inlineStr">
        <is>
          <t>2002-07-08</t>
        </is>
      </c>
      <c r="X104" t="inlineStr">
        <is>
          <t>2002-07-08</t>
        </is>
      </c>
      <c r="Y104" t="inlineStr">
        <is>
          <t>1998-01-16</t>
        </is>
      </c>
      <c r="Z104" t="inlineStr">
        <is>
          <t>1998-01-16</t>
        </is>
      </c>
      <c r="AA104" t="n">
        <v>68</v>
      </c>
      <c r="AB104" t="n">
        <v>53</v>
      </c>
      <c r="AC104" t="n">
        <v>61</v>
      </c>
      <c r="AD104" t="n">
        <v>1</v>
      </c>
      <c r="AE104" t="n">
        <v>1</v>
      </c>
      <c r="AF104" t="n">
        <v>5</v>
      </c>
      <c r="AG104" t="n">
        <v>5</v>
      </c>
      <c r="AH104" t="n">
        <v>2</v>
      </c>
      <c r="AI104" t="n">
        <v>2</v>
      </c>
      <c r="AJ104" t="n">
        <v>3</v>
      </c>
      <c r="AK104" t="n">
        <v>3</v>
      </c>
      <c r="AL104" t="n">
        <v>2</v>
      </c>
      <c r="AM104" t="n">
        <v>2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HYPERLINK("http://catalog.hathitrust.org/Record/003120530","HathiTrust Record")</f>
        <v/>
      </c>
      <c r="AU104">
        <f>HYPERLINK("https://creighton-primo.hosted.exlibrisgroup.com/primo-explore/search?tab=default_tab&amp;search_scope=EVERYTHING&amp;vid=01CRU&amp;lang=en_US&amp;offset=0&amp;query=any,contains,991000503819702656","Catalog Record")</f>
        <v/>
      </c>
      <c r="AV104">
        <f>HYPERLINK("http://www.worldcat.org/oclc/34576828","WorldCat Record")</f>
        <v/>
      </c>
      <c r="AW104" t="inlineStr">
        <is>
          <t>354593647:eng</t>
        </is>
      </c>
      <c r="AX104" t="inlineStr">
        <is>
          <t>34576828</t>
        </is>
      </c>
      <c r="AY104" t="inlineStr">
        <is>
          <t>991000503819702656</t>
        </is>
      </c>
      <c r="AZ104" t="inlineStr">
        <is>
          <t>991000503819702656</t>
        </is>
      </c>
      <c r="BA104" t="inlineStr">
        <is>
          <t>2271714830002656</t>
        </is>
      </c>
      <c r="BB104" t="inlineStr">
        <is>
          <t>BOOK</t>
        </is>
      </c>
      <c r="BD104" t="inlineStr">
        <is>
          <t>9781560248354</t>
        </is>
      </c>
      <c r="BE104" t="inlineStr">
        <is>
          <t>30001003664861</t>
        </is>
      </c>
      <c r="BF104" t="inlineStr">
        <is>
          <t>893112401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QV 21 G562 1998</t>
        </is>
      </c>
      <c r="E105" t="inlineStr">
        <is>
          <t>0                      QV 0021000G  562         1998</t>
        </is>
      </c>
      <c r="F105" t="inlineStr">
        <is>
          <t>Global visions of women pharmacists : speeches from an international forum / editors, Mary J. Berg, Marianne R. Rollings.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N105" t="inlineStr">
        <is>
          <t>Richmond, VA : Leadership International Library, 1998.</t>
        </is>
      </c>
      <c r="O105" t="inlineStr">
        <is>
          <t>1998</t>
        </is>
      </c>
      <c r="P105" t="inlineStr">
        <is>
          <t>1st ed.</t>
        </is>
      </c>
      <c r="Q105" t="inlineStr">
        <is>
          <t>eng</t>
        </is>
      </c>
      <c r="R105" t="inlineStr">
        <is>
          <t>vau</t>
        </is>
      </c>
      <c r="T105" t="inlineStr">
        <is>
          <t xml:space="preserve">QV </t>
        </is>
      </c>
      <c r="U105" t="n">
        <v>1</v>
      </c>
      <c r="V105" t="n">
        <v>1</v>
      </c>
      <c r="W105" t="inlineStr">
        <is>
          <t>2003-01-28</t>
        </is>
      </c>
      <c r="X105" t="inlineStr">
        <is>
          <t>2003-01-28</t>
        </is>
      </c>
      <c r="Y105" t="inlineStr">
        <is>
          <t>2002-06-25</t>
        </is>
      </c>
      <c r="Z105" t="inlineStr">
        <is>
          <t>2002-06-25</t>
        </is>
      </c>
      <c r="AA105" t="n">
        <v>24</v>
      </c>
      <c r="AB105" t="n">
        <v>21</v>
      </c>
      <c r="AC105" t="n">
        <v>21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HYPERLINK("https://creighton-primo.hosted.exlibrisgroup.com/primo-explore/search?tab=default_tab&amp;search_scope=EVERYTHING&amp;vid=01CRU&amp;lang=en_US&amp;offset=0&amp;query=any,contains,991000317879702656","Catalog Record")</f>
        <v/>
      </c>
      <c r="AV105">
        <f>HYPERLINK("http://www.worldcat.org/oclc/40535052","WorldCat Record")</f>
        <v/>
      </c>
      <c r="AW105" t="inlineStr">
        <is>
          <t>1103624124:eng</t>
        </is>
      </c>
      <c r="AX105" t="inlineStr">
        <is>
          <t>40535052</t>
        </is>
      </c>
      <c r="AY105" t="inlineStr">
        <is>
          <t>991000317879702656</t>
        </is>
      </c>
      <c r="AZ105" t="inlineStr">
        <is>
          <t>991000317879702656</t>
        </is>
      </c>
      <c r="BA105" t="inlineStr">
        <is>
          <t>2271325220002656</t>
        </is>
      </c>
      <c r="BB105" t="inlineStr">
        <is>
          <t>BOOK</t>
        </is>
      </c>
      <c r="BE105" t="inlineStr">
        <is>
          <t>30001004071868</t>
        </is>
      </c>
      <c r="BF105" t="inlineStr">
        <is>
          <t>893269349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QV 21 K67e 1973</t>
        </is>
      </c>
      <c r="E106" t="inlineStr">
        <is>
          <t>0                      QV 0021000K  67e         1973</t>
        </is>
      </c>
      <c r="F106" t="inlineStr">
        <is>
          <t>Evaluating pharmacists and their activities : a review of methods and findings / By David A. Knapp, Mickey C. Smith.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Knapp, David Allan.</t>
        </is>
      </c>
      <c r="N106" t="inlineStr">
        <is>
          <t>Washington : American Society of Hospital Pharmacists Research and Education Foundation, c1973.</t>
        </is>
      </c>
      <c r="O106" t="inlineStr">
        <is>
          <t>1973</t>
        </is>
      </c>
      <c r="Q106" t="inlineStr">
        <is>
          <t>eng</t>
        </is>
      </c>
      <c r="R106" t="inlineStr">
        <is>
          <t xml:space="preserve">xx </t>
        </is>
      </c>
      <c r="T106" t="inlineStr">
        <is>
          <t xml:space="preserve">QV </t>
        </is>
      </c>
      <c r="U106" t="n">
        <v>3</v>
      </c>
      <c r="V106" t="n">
        <v>3</v>
      </c>
      <c r="W106" t="inlineStr">
        <is>
          <t>2000-06-02</t>
        </is>
      </c>
      <c r="X106" t="inlineStr">
        <is>
          <t>2000-06-02</t>
        </is>
      </c>
      <c r="Y106" t="inlineStr">
        <is>
          <t>1988-01-20</t>
        </is>
      </c>
      <c r="Z106" t="inlineStr">
        <is>
          <t>1988-01-20</t>
        </is>
      </c>
      <c r="AA106" t="n">
        <v>32</v>
      </c>
      <c r="AB106" t="n">
        <v>25</v>
      </c>
      <c r="AC106" t="n">
        <v>25</v>
      </c>
      <c r="AD106" t="n">
        <v>1</v>
      </c>
      <c r="AE106" t="n">
        <v>1</v>
      </c>
      <c r="AF106" t="n">
        <v>2</v>
      </c>
      <c r="AG106" t="n">
        <v>2</v>
      </c>
      <c r="AH106" t="n">
        <v>1</v>
      </c>
      <c r="AI106" t="n">
        <v>1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HYPERLINK("https://creighton-primo.hosted.exlibrisgroup.com/primo-explore/search?tab=default_tab&amp;search_scope=EVERYTHING&amp;vid=01CRU&amp;lang=en_US&amp;offset=0&amp;query=any,contains,991000490729702656","Catalog Record")</f>
        <v/>
      </c>
      <c r="AV106">
        <f>HYPERLINK("http://www.worldcat.org/oclc/690803","WorldCat Record")</f>
        <v/>
      </c>
      <c r="AW106" t="inlineStr">
        <is>
          <t>1784890:eng</t>
        </is>
      </c>
      <c r="AX106" t="inlineStr">
        <is>
          <t>690803</t>
        </is>
      </c>
      <c r="AY106" t="inlineStr">
        <is>
          <t>991000490729702656</t>
        </is>
      </c>
      <c r="AZ106" t="inlineStr">
        <is>
          <t>991000490729702656</t>
        </is>
      </c>
      <c r="BA106" t="inlineStr">
        <is>
          <t>2260723760002656</t>
        </is>
      </c>
      <c r="BB106" t="inlineStr">
        <is>
          <t>BOOK</t>
        </is>
      </c>
      <c r="BE106" t="inlineStr">
        <is>
          <t>30001000190969</t>
        </is>
      </c>
      <c r="BF106" t="inlineStr">
        <is>
          <t>893275246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QV 21 S412i 1951</t>
        </is>
      </c>
      <c r="E107" t="inlineStr">
        <is>
          <t>0                      QV 0021000S  412i        1951</t>
        </is>
      </c>
      <c r="F107" t="inlineStr">
        <is>
          <t>The interests of pharmacists.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Schwebel, Milton.</t>
        </is>
      </c>
      <c r="N107" t="inlineStr">
        <is>
          <t>New York : King's Crown Press, 1951.</t>
        </is>
      </c>
      <c r="O107" t="inlineStr">
        <is>
          <t>1951</t>
        </is>
      </c>
      <c r="Q107" t="inlineStr">
        <is>
          <t>eng</t>
        </is>
      </c>
      <c r="R107" t="inlineStr">
        <is>
          <t xml:space="preserve">xx </t>
        </is>
      </c>
      <c r="T107" t="inlineStr">
        <is>
          <t xml:space="preserve">QV </t>
        </is>
      </c>
      <c r="U107" t="n">
        <v>3</v>
      </c>
      <c r="V107" t="n">
        <v>3</v>
      </c>
      <c r="W107" t="inlineStr">
        <is>
          <t>2000-06-02</t>
        </is>
      </c>
      <c r="X107" t="inlineStr">
        <is>
          <t>2000-06-02</t>
        </is>
      </c>
      <c r="Y107" t="inlineStr">
        <is>
          <t>1988-01-18</t>
        </is>
      </c>
      <c r="Z107" t="inlineStr">
        <is>
          <t>1988-01-18</t>
        </is>
      </c>
      <c r="AA107" t="n">
        <v>35</v>
      </c>
      <c r="AB107" t="n">
        <v>27</v>
      </c>
      <c r="AC107" t="n">
        <v>32</v>
      </c>
      <c r="AD107" t="n">
        <v>1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HYPERLINK("https://creighton-primo.hosted.exlibrisgroup.com/primo-explore/search?tab=default_tab&amp;search_scope=EVERYTHING&amp;vid=01CRU&amp;lang=en_US&amp;offset=0&amp;query=any,contains,991000490759702656","Catalog Record")</f>
        <v/>
      </c>
      <c r="AV107">
        <f>HYPERLINK("http://www.worldcat.org/oclc/2338793","WorldCat Record")</f>
        <v/>
      </c>
      <c r="AW107" t="inlineStr">
        <is>
          <t>4925310:eng</t>
        </is>
      </c>
      <c r="AX107" t="inlineStr">
        <is>
          <t>2338793</t>
        </is>
      </c>
      <c r="AY107" t="inlineStr">
        <is>
          <t>991000490759702656</t>
        </is>
      </c>
      <c r="AZ107" t="inlineStr">
        <is>
          <t>991000490759702656</t>
        </is>
      </c>
      <c r="BA107" t="inlineStr">
        <is>
          <t>2256470300002656</t>
        </is>
      </c>
      <c r="BB107" t="inlineStr">
        <is>
          <t>BOOK</t>
        </is>
      </c>
      <c r="BE107" t="inlineStr">
        <is>
          <t>30001000190977</t>
        </is>
      </c>
      <c r="BF107" t="inlineStr">
        <is>
          <t>893733049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QV 25 B324a 1987</t>
        </is>
      </c>
      <c r="E108" t="inlineStr">
        <is>
          <t>0                      QV 0025000B  324a        1987</t>
        </is>
      </c>
      <c r="F108" t="inlineStr">
        <is>
          <t>Analytical procedures for therapeutic drug monitoring and emergency toxicology / Randall C. Baselt.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Baselt, Randall C.</t>
        </is>
      </c>
      <c r="N108" t="inlineStr">
        <is>
          <t>Littleton, Mass. : PSG Pub. Co., c1987.</t>
        </is>
      </c>
      <c r="O108" t="inlineStr">
        <is>
          <t>1987</t>
        </is>
      </c>
      <c r="P108" t="inlineStr">
        <is>
          <t>2nd ed.</t>
        </is>
      </c>
      <c r="Q108" t="inlineStr">
        <is>
          <t>eng</t>
        </is>
      </c>
      <c r="R108" t="inlineStr">
        <is>
          <t>xxu</t>
        </is>
      </c>
      <c r="T108" t="inlineStr">
        <is>
          <t xml:space="preserve">QV </t>
        </is>
      </c>
      <c r="U108" t="n">
        <v>2</v>
      </c>
      <c r="V108" t="n">
        <v>2</v>
      </c>
      <c r="W108" t="inlineStr">
        <is>
          <t>1989-11-06</t>
        </is>
      </c>
      <c r="X108" t="inlineStr">
        <is>
          <t>1989-11-06</t>
        </is>
      </c>
      <c r="Y108" t="inlineStr">
        <is>
          <t>1988-01-05</t>
        </is>
      </c>
      <c r="Z108" t="inlineStr">
        <is>
          <t>1988-01-05</t>
        </is>
      </c>
      <c r="AA108" t="n">
        <v>103</v>
      </c>
      <c r="AB108" t="n">
        <v>79</v>
      </c>
      <c r="AC108" t="n">
        <v>166</v>
      </c>
      <c r="AD108" t="n">
        <v>1</v>
      </c>
      <c r="AE108" t="n">
        <v>1</v>
      </c>
      <c r="AF108" t="n">
        <v>2</v>
      </c>
      <c r="AG108" t="n">
        <v>6</v>
      </c>
      <c r="AH108" t="n">
        <v>0</v>
      </c>
      <c r="AI108" t="n">
        <v>3</v>
      </c>
      <c r="AJ108" t="n">
        <v>1</v>
      </c>
      <c r="AK108" t="n">
        <v>1</v>
      </c>
      <c r="AL108" t="n">
        <v>1</v>
      </c>
      <c r="AM108" t="n">
        <v>4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HYPERLINK("http://catalog.hathitrust.org/Record/000832515","HathiTrust Record")</f>
        <v/>
      </c>
      <c r="AU108">
        <f>HYPERLINK("https://creighton-primo.hosted.exlibrisgroup.com/primo-explore/search?tab=default_tab&amp;search_scope=EVERYTHING&amp;vid=01CRU&amp;lang=en_US&amp;offset=0&amp;query=any,contains,991001534999702656","Catalog Record")</f>
        <v/>
      </c>
      <c r="AV108">
        <f>HYPERLINK("http://www.worldcat.org/oclc/15084540","WorldCat Record")</f>
        <v/>
      </c>
      <c r="AW108" t="inlineStr">
        <is>
          <t>9089203:eng</t>
        </is>
      </c>
      <c r="AX108" t="inlineStr">
        <is>
          <t>15084540</t>
        </is>
      </c>
      <c r="AY108" t="inlineStr">
        <is>
          <t>991001534999702656</t>
        </is>
      </c>
      <c r="AZ108" t="inlineStr">
        <is>
          <t>991001534999702656</t>
        </is>
      </c>
      <c r="BA108" t="inlineStr">
        <is>
          <t>2265539080002656</t>
        </is>
      </c>
      <c r="BB108" t="inlineStr">
        <is>
          <t>BOOK</t>
        </is>
      </c>
      <c r="BD108" t="inlineStr">
        <is>
          <t>9780884167228</t>
        </is>
      </c>
      <c r="BE108" t="inlineStr">
        <is>
          <t>30001000622581</t>
        </is>
      </c>
      <c r="BF108" t="inlineStr">
        <is>
          <t>893732149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QV 25 S997h 1990-91</t>
        </is>
      </c>
      <c r="E109" t="inlineStr">
        <is>
          <t>0                      QV 0025000S  997h        1990                                        -91</t>
        </is>
      </c>
      <c r="F109" t="inlineStr">
        <is>
          <t>HPLC in pharmaceutical analysis / author, Gábor Szepesi.</t>
        </is>
      </c>
      <c r="G109" t="inlineStr">
        <is>
          <t>V. 1</t>
        </is>
      </c>
      <c r="H109" t="inlineStr">
        <is>
          <t>Yes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Szepesi, Gábor, 1939-</t>
        </is>
      </c>
      <c r="N109" t="inlineStr">
        <is>
          <t>Boca Raton, Fla. : CRC Press, c1990-c1991.</t>
        </is>
      </c>
      <c r="O109" t="inlineStr">
        <is>
          <t>1990</t>
        </is>
      </c>
      <c r="Q109" t="inlineStr">
        <is>
          <t>eng</t>
        </is>
      </c>
      <c r="R109" t="inlineStr">
        <is>
          <t>flu</t>
        </is>
      </c>
      <c r="T109" t="inlineStr">
        <is>
          <t xml:space="preserve">QV </t>
        </is>
      </c>
      <c r="U109" t="n">
        <v>8</v>
      </c>
      <c r="V109" t="n">
        <v>14</v>
      </c>
      <c r="W109" t="inlineStr">
        <is>
          <t>1999-01-15</t>
        </is>
      </c>
      <c r="X109" t="inlineStr">
        <is>
          <t>1999-06-22</t>
        </is>
      </c>
      <c r="Y109" t="inlineStr">
        <is>
          <t>1991-03-02</t>
        </is>
      </c>
      <c r="Z109" t="inlineStr">
        <is>
          <t>1991-03-02</t>
        </is>
      </c>
      <c r="AA109" t="n">
        <v>136</v>
      </c>
      <c r="AB109" t="n">
        <v>110</v>
      </c>
      <c r="AC109" t="n">
        <v>110</v>
      </c>
      <c r="AD109" t="n">
        <v>2</v>
      </c>
      <c r="AE109" t="n">
        <v>2</v>
      </c>
      <c r="AF109" t="n">
        <v>4</v>
      </c>
      <c r="AG109" t="n">
        <v>4</v>
      </c>
      <c r="AH109" t="n">
        <v>3</v>
      </c>
      <c r="AI109" t="n">
        <v>3</v>
      </c>
      <c r="AJ109" t="n">
        <v>1</v>
      </c>
      <c r="AK109" t="n">
        <v>1</v>
      </c>
      <c r="AL109" t="n">
        <v>0</v>
      </c>
      <c r="AM109" t="n">
        <v>0</v>
      </c>
      <c r="AN109" t="n">
        <v>1</v>
      </c>
      <c r="AO109" t="n">
        <v>1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V109">
        <f>HYPERLINK("http://www.worldcat.org/oclc/20800068","WorldCat Record")</f>
        <v/>
      </c>
      <c r="AW109" t="inlineStr">
        <is>
          <t>21976021:eng</t>
        </is>
      </c>
      <c r="AX109" t="inlineStr">
        <is>
          <t>20800068</t>
        </is>
      </c>
      <c r="AY109" t="inlineStr">
        <is>
          <t>991000824479702656</t>
        </is>
      </c>
      <c r="AZ109" t="inlineStr">
        <is>
          <t>991000824479702656</t>
        </is>
      </c>
      <c r="BA109" t="inlineStr">
        <is>
          <t>2257094740002656</t>
        </is>
      </c>
      <c r="BB109" t="inlineStr">
        <is>
          <t>BOOK</t>
        </is>
      </c>
      <c r="BD109" t="inlineStr">
        <is>
          <t>9780849369988</t>
        </is>
      </c>
      <c r="BE109" t="inlineStr">
        <is>
          <t>30001002088310</t>
        </is>
      </c>
      <c r="BF109" t="inlineStr">
        <is>
          <t>893120495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QV 25 S997h 1990-91</t>
        </is>
      </c>
      <c r="E110" t="inlineStr">
        <is>
          <t>0                      QV 0025000S  997h        1990                                        -91</t>
        </is>
      </c>
      <c r="F110" t="inlineStr">
        <is>
          <t>HPLC in pharmaceutical analysis / author, Gábor Szepesi.</t>
        </is>
      </c>
      <c r="G110" t="inlineStr">
        <is>
          <t>V. 2</t>
        </is>
      </c>
      <c r="H110" t="inlineStr">
        <is>
          <t>Yes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Szepesi, Gábor, 1939-</t>
        </is>
      </c>
      <c r="N110" t="inlineStr">
        <is>
          <t>Boca Raton, Fla. : CRC Press, c1990-c1991.</t>
        </is>
      </c>
      <c r="O110" t="inlineStr">
        <is>
          <t>1990</t>
        </is>
      </c>
      <c r="Q110" t="inlineStr">
        <is>
          <t>eng</t>
        </is>
      </c>
      <c r="R110" t="inlineStr">
        <is>
          <t>flu</t>
        </is>
      </c>
      <c r="T110" t="inlineStr">
        <is>
          <t xml:space="preserve">QV </t>
        </is>
      </c>
      <c r="U110" t="n">
        <v>6</v>
      </c>
      <c r="V110" t="n">
        <v>14</v>
      </c>
      <c r="W110" t="inlineStr">
        <is>
          <t>1999-06-22</t>
        </is>
      </c>
      <c r="X110" t="inlineStr">
        <is>
          <t>1999-06-22</t>
        </is>
      </c>
      <c r="Y110" t="inlineStr">
        <is>
          <t>1991-03-02</t>
        </is>
      </c>
      <c r="Z110" t="inlineStr">
        <is>
          <t>1991-03-02</t>
        </is>
      </c>
      <c r="AA110" t="n">
        <v>136</v>
      </c>
      <c r="AB110" t="n">
        <v>110</v>
      </c>
      <c r="AC110" t="n">
        <v>110</v>
      </c>
      <c r="AD110" t="n">
        <v>2</v>
      </c>
      <c r="AE110" t="n">
        <v>2</v>
      </c>
      <c r="AF110" t="n">
        <v>4</v>
      </c>
      <c r="AG110" t="n">
        <v>4</v>
      </c>
      <c r="AH110" t="n">
        <v>3</v>
      </c>
      <c r="AI110" t="n">
        <v>3</v>
      </c>
      <c r="AJ110" t="n">
        <v>1</v>
      </c>
      <c r="AK110" t="n">
        <v>1</v>
      </c>
      <c r="AL110" t="n">
        <v>0</v>
      </c>
      <c r="AM110" t="n">
        <v>0</v>
      </c>
      <c r="AN110" t="n">
        <v>1</v>
      </c>
      <c r="AO110" t="n">
        <v>1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V110">
        <f>HYPERLINK("http://www.worldcat.org/oclc/20800068","WorldCat Record")</f>
        <v/>
      </c>
      <c r="AW110" t="inlineStr">
        <is>
          <t>21976021:eng</t>
        </is>
      </c>
      <c r="AX110" t="inlineStr">
        <is>
          <t>20800068</t>
        </is>
      </c>
      <c r="AY110" t="inlineStr">
        <is>
          <t>991000824479702656</t>
        </is>
      </c>
      <c r="AZ110" t="inlineStr">
        <is>
          <t>991000824479702656</t>
        </is>
      </c>
      <c r="BA110" t="inlineStr">
        <is>
          <t>2257094740002656</t>
        </is>
      </c>
      <c r="BB110" t="inlineStr">
        <is>
          <t>BOOK</t>
        </is>
      </c>
      <c r="BD110" t="inlineStr">
        <is>
          <t>9780849369988</t>
        </is>
      </c>
      <c r="BE110" t="inlineStr">
        <is>
          <t>30001002088328</t>
        </is>
      </c>
      <c r="BF110" t="inlineStr">
        <is>
          <t>893133843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QV 25 T469d 1990</t>
        </is>
      </c>
      <c r="E111" t="inlineStr">
        <is>
          <t>0                      QV 0025000T  469d        1990</t>
        </is>
      </c>
      <c r="F111" t="inlineStr">
        <is>
          <t>Drug bioscreening : drug evaluation techniques in pharmacology / Emmanuel B. Thompson.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Thompson, Emmanuel B.</t>
        </is>
      </c>
      <c r="N111" t="inlineStr">
        <is>
          <t>New York : VCH, c1990.</t>
        </is>
      </c>
      <c r="O111" t="inlineStr">
        <is>
          <t>1990</t>
        </is>
      </c>
      <c r="Q111" t="inlineStr">
        <is>
          <t>eng</t>
        </is>
      </c>
      <c r="R111" t="inlineStr">
        <is>
          <t>xxu</t>
        </is>
      </c>
      <c r="T111" t="inlineStr">
        <is>
          <t xml:space="preserve">QV </t>
        </is>
      </c>
      <c r="U111" t="n">
        <v>1</v>
      </c>
      <c r="V111" t="n">
        <v>1</v>
      </c>
      <c r="W111" t="inlineStr">
        <is>
          <t>1992-04-07</t>
        </is>
      </c>
      <c r="X111" t="inlineStr">
        <is>
          <t>1992-04-07</t>
        </is>
      </c>
      <c r="Y111" t="inlineStr">
        <is>
          <t>1992-04-07</t>
        </is>
      </c>
      <c r="Z111" t="inlineStr">
        <is>
          <t>1992-04-07</t>
        </is>
      </c>
      <c r="AA111" t="n">
        <v>77</v>
      </c>
      <c r="AB111" t="n">
        <v>47</v>
      </c>
      <c r="AC111" t="n">
        <v>49</v>
      </c>
      <c r="AD111" t="n">
        <v>1</v>
      </c>
      <c r="AE111" t="n">
        <v>1</v>
      </c>
      <c r="AF111" t="n">
        <v>1</v>
      </c>
      <c r="AG111" t="n">
        <v>1</v>
      </c>
      <c r="AH111" t="n">
        <v>0</v>
      </c>
      <c r="AI111" t="n">
        <v>0</v>
      </c>
      <c r="AJ111" t="n">
        <v>1</v>
      </c>
      <c r="AK111" t="n">
        <v>1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HYPERLINK("http://catalog.hathitrust.org/Record/002510520","HathiTrust Record")</f>
        <v/>
      </c>
      <c r="AU111">
        <f>HYPERLINK("https://creighton-primo.hosted.exlibrisgroup.com/primo-explore/search?tab=default_tab&amp;search_scope=EVERYTHING&amp;vid=01CRU&amp;lang=en_US&amp;offset=0&amp;query=any,contains,991001300729702656","Catalog Record")</f>
        <v/>
      </c>
      <c r="AV111">
        <f>HYPERLINK("http://www.worldcat.org/oclc/20799575","WorldCat Record")</f>
        <v/>
      </c>
      <c r="AW111" t="inlineStr">
        <is>
          <t>22535948:eng</t>
        </is>
      </c>
      <c r="AX111" t="inlineStr">
        <is>
          <t>20799575</t>
        </is>
      </c>
      <c r="AY111" t="inlineStr">
        <is>
          <t>991001300729702656</t>
        </is>
      </c>
      <c r="AZ111" t="inlineStr">
        <is>
          <t>991001300729702656</t>
        </is>
      </c>
      <c r="BA111" t="inlineStr">
        <is>
          <t>2259656330002656</t>
        </is>
      </c>
      <c r="BB111" t="inlineStr">
        <is>
          <t>BOOK</t>
        </is>
      </c>
      <c r="BD111" t="inlineStr">
        <is>
          <t>9780895737304</t>
        </is>
      </c>
      <c r="BE111" t="inlineStr">
        <is>
          <t>30001002411652</t>
        </is>
      </c>
      <c r="BF111" t="inlineStr">
        <is>
          <t>893649079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QV 28 S316p 1942</t>
        </is>
      </c>
      <c r="E112" t="inlineStr">
        <is>
          <t>0                      QV 0028000S  316p        1942</t>
        </is>
      </c>
      <c r="F112" t="inlineStr">
        <is>
          <t>Pictorial life history of the apothecary chemist Carl Wilhelm Scheele / by George Urdang.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Urdang, George, 1882-1960.</t>
        </is>
      </c>
      <c r="N112" t="inlineStr">
        <is>
          <t>[Madison, Wis. : American institute of the history of pharmacy, 1942]</t>
        </is>
      </c>
      <c r="O112" t="inlineStr">
        <is>
          <t>1942</t>
        </is>
      </c>
      <c r="Q112" t="inlineStr">
        <is>
          <t>eng</t>
        </is>
      </c>
      <c r="R112" t="inlineStr">
        <is>
          <t>wiu</t>
        </is>
      </c>
      <c r="T112" t="inlineStr">
        <is>
          <t xml:space="preserve">QV </t>
        </is>
      </c>
      <c r="U112" t="n">
        <v>1</v>
      </c>
      <c r="V112" t="n">
        <v>1</v>
      </c>
      <c r="W112" t="inlineStr">
        <is>
          <t>1991-11-26</t>
        </is>
      </c>
      <c r="X112" t="inlineStr">
        <is>
          <t>1991-11-26</t>
        </is>
      </c>
      <c r="Y112" t="inlineStr">
        <is>
          <t>1991-11-26</t>
        </is>
      </c>
      <c r="Z112" t="inlineStr">
        <is>
          <t>1991-11-26</t>
        </is>
      </c>
      <c r="AA112" t="n">
        <v>57</v>
      </c>
      <c r="AB112" t="n">
        <v>48</v>
      </c>
      <c r="AC112" t="n">
        <v>55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Yes</t>
        </is>
      </c>
      <c r="AS112" t="inlineStr">
        <is>
          <t>No</t>
        </is>
      </c>
      <c r="AT112">
        <f>HYPERLINK("http://catalog.hathitrust.org/Record/001993004","HathiTrust Record")</f>
        <v/>
      </c>
      <c r="AU112">
        <f>HYPERLINK("https://creighton-primo.hosted.exlibrisgroup.com/primo-explore/search?tab=default_tab&amp;search_scope=EVERYTHING&amp;vid=01CRU&amp;lang=en_US&amp;offset=0&amp;query=any,contains,991001153609702656","Catalog Record")</f>
        <v/>
      </c>
      <c r="AV112">
        <f>HYPERLINK("http://www.worldcat.org/oclc/3864589","WorldCat Record")</f>
        <v/>
      </c>
      <c r="AW112" t="inlineStr">
        <is>
          <t>12739497:eng</t>
        </is>
      </c>
      <c r="AX112" t="inlineStr">
        <is>
          <t>3864589</t>
        </is>
      </c>
      <c r="AY112" t="inlineStr">
        <is>
          <t>991001153609702656</t>
        </is>
      </c>
      <c r="AZ112" t="inlineStr">
        <is>
          <t>991001153609702656</t>
        </is>
      </c>
      <c r="BA112" t="inlineStr">
        <is>
          <t>2271780720002656</t>
        </is>
      </c>
      <c r="BB112" t="inlineStr">
        <is>
          <t>BOOK</t>
        </is>
      </c>
      <c r="BE112" t="inlineStr">
        <is>
          <t>30001002301697</t>
        </is>
      </c>
      <c r="BF112" t="inlineStr">
        <is>
          <t>893161719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QV 32 AA1 F2 1974</t>
        </is>
      </c>
      <c r="E113" t="inlineStr">
        <is>
          <t>0                      QV 0032000AA 1                  F  2           1974</t>
        </is>
      </c>
      <c r="F113" t="inlineStr">
        <is>
          <t>Federal and state laws pertaining to methadone / [By J.C. Cobb, ... [et al.].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Rockville, Md. : National Institute on Drug Abuse, [1974].</t>
        </is>
      </c>
      <c r="O113" t="inlineStr">
        <is>
          <t>1974</t>
        </is>
      </c>
      <c r="Q113" t="inlineStr">
        <is>
          <t>eng</t>
        </is>
      </c>
      <c r="R113" t="inlineStr">
        <is>
          <t xml:space="preserve">xx </t>
        </is>
      </c>
      <c r="S113" t="inlineStr">
        <is>
          <t>DHEW publication ; no. (ADM) 74-62</t>
        </is>
      </c>
      <c r="T113" t="inlineStr">
        <is>
          <t xml:space="preserve">QV </t>
        </is>
      </c>
      <c r="U113" t="n">
        <v>4</v>
      </c>
      <c r="V113" t="n">
        <v>4</v>
      </c>
      <c r="W113" t="inlineStr">
        <is>
          <t>2003-04-11</t>
        </is>
      </c>
      <c r="X113" t="inlineStr">
        <is>
          <t>2003-04-11</t>
        </is>
      </c>
      <c r="Y113" t="inlineStr">
        <is>
          <t>1990-12-12</t>
        </is>
      </c>
      <c r="Z113" t="inlineStr">
        <is>
          <t>1990-12-12</t>
        </is>
      </c>
      <c r="AA113" t="n">
        <v>187</v>
      </c>
      <c r="AB113" t="n">
        <v>178</v>
      </c>
      <c r="AC113" t="n">
        <v>222</v>
      </c>
      <c r="AD113" t="n">
        <v>2</v>
      </c>
      <c r="AE113" t="n">
        <v>3</v>
      </c>
      <c r="AF113" t="n">
        <v>9</v>
      </c>
      <c r="AG113" t="n">
        <v>16</v>
      </c>
      <c r="AH113" t="n">
        <v>2</v>
      </c>
      <c r="AI113" t="n">
        <v>3</v>
      </c>
      <c r="AJ113" t="n">
        <v>1</v>
      </c>
      <c r="AK113" t="n">
        <v>3</v>
      </c>
      <c r="AL113" t="n">
        <v>3</v>
      </c>
      <c r="AM113" t="n">
        <v>4</v>
      </c>
      <c r="AN113" t="n">
        <v>0</v>
      </c>
      <c r="AO113" t="n">
        <v>0</v>
      </c>
      <c r="AP113" t="n">
        <v>4</v>
      </c>
      <c r="AQ113" t="n">
        <v>8</v>
      </c>
      <c r="AR113" t="inlineStr">
        <is>
          <t>Yes</t>
        </is>
      </c>
      <c r="AS113" t="inlineStr">
        <is>
          <t>No</t>
        </is>
      </c>
      <c r="AT113">
        <f>HYPERLINK("http://catalog.hathitrust.org/Record/006182635","HathiTrust Record")</f>
        <v/>
      </c>
      <c r="AU113">
        <f>HYPERLINK("https://creighton-primo.hosted.exlibrisgroup.com/primo-explore/search?tab=default_tab&amp;search_scope=EVERYTHING&amp;vid=01CRU&amp;lang=en_US&amp;offset=0&amp;query=any,contains,991000812219702656","Catalog Record")</f>
        <v/>
      </c>
      <c r="AV113">
        <f>HYPERLINK("http://www.worldcat.org/oclc/1010431","WorldCat Record")</f>
        <v/>
      </c>
      <c r="AW113" t="inlineStr">
        <is>
          <t>8960869595:eng</t>
        </is>
      </c>
      <c r="AX113" t="inlineStr">
        <is>
          <t>1010431</t>
        </is>
      </c>
      <c r="AY113" t="inlineStr">
        <is>
          <t>991000812219702656</t>
        </is>
      </c>
      <c r="AZ113" t="inlineStr">
        <is>
          <t>991000812219702656</t>
        </is>
      </c>
      <c r="BA113" t="inlineStr">
        <is>
          <t>2259254810002656</t>
        </is>
      </c>
      <c r="BB113" t="inlineStr">
        <is>
          <t>BOOK</t>
        </is>
      </c>
      <c r="BE113" t="inlineStr">
        <is>
          <t>30001002085076</t>
        </is>
      </c>
      <c r="BF113" t="inlineStr">
        <is>
          <t>893278248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QV 32 AA1 H3L 1971</t>
        </is>
      </c>
      <c r="E114" t="inlineStr">
        <is>
          <t>0                      QV 0032000AA 1                  H  3L          1971</t>
        </is>
      </c>
      <c r="F114" t="inlineStr">
        <is>
          <t>Law for the pharmacy student / William E. Hassan, Jr.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Hassan, William E.</t>
        </is>
      </c>
      <c r="N114" t="inlineStr">
        <is>
          <t>Philadelphia : Lea &amp; Febiger, 1971.</t>
        </is>
      </c>
      <c r="O114" t="inlineStr">
        <is>
          <t>1971</t>
        </is>
      </c>
      <c r="Q114" t="inlineStr">
        <is>
          <t>eng</t>
        </is>
      </c>
      <c r="R114" t="inlineStr">
        <is>
          <t>pau</t>
        </is>
      </c>
      <c r="T114" t="inlineStr">
        <is>
          <t xml:space="preserve">QV </t>
        </is>
      </c>
      <c r="U114" t="n">
        <v>8</v>
      </c>
      <c r="V114" t="n">
        <v>8</v>
      </c>
      <c r="W114" t="inlineStr">
        <is>
          <t>1989-01-09</t>
        </is>
      </c>
      <c r="X114" t="inlineStr">
        <is>
          <t>1989-01-09</t>
        </is>
      </c>
      <c r="Y114" t="inlineStr">
        <is>
          <t>1988-03-01</t>
        </is>
      </c>
      <c r="Z114" t="inlineStr">
        <is>
          <t>1988-03-01</t>
        </is>
      </c>
      <c r="AA114" t="n">
        <v>115</v>
      </c>
      <c r="AB114" t="n">
        <v>90</v>
      </c>
      <c r="AC114" t="n">
        <v>93</v>
      </c>
      <c r="AD114" t="n">
        <v>2</v>
      </c>
      <c r="AE114" t="n">
        <v>2</v>
      </c>
      <c r="AF114" t="n">
        <v>6</v>
      </c>
      <c r="AG114" t="n">
        <v>6</v>
      </c>
      <c r="AH114" t="n">
        <v>2</v>
      </c>
      <c r="AI114" t="n">
        <v>2</v>
      </c>
      <c r="AJ114" t="n">
        <v>1</v>
      </c>
      <c r="AK114" t="n">
        <v>1</v>
      </c>
      <c r="AL114" t="n">
        <v>0</v>
      </c>
      <c r="AM114" t="n">
        <v>0</v>
      </c>
      <c r="AN114" t="n">
        <v>0</v>
      </c>
      <c r="AO114" t="n">
        <v>0</v>
      </c>
      <c r="AP114" t="n">
        <v>3</v>
      </c>
      <c r="AQ114" t="n">
        <v>3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HYPERLINK("http://catalog.hathitrust.org/Record/001573499","HathiTrust Record")</f>
        <v/>
      </c>
      <c r="AU114">
        <f>HYPERLINK("https://creighton-primo.hosted.exlibrisgroup.com/primo-explore/search?tab=default_tab&amp;search_scope=EVERYTHING&amp;vid=01CRU&amp;lang=en_US&amp;offset=0&amp;query=any,contains,991000951609702656","Catalog Record")</f>
        <v/>
      </c>
      <c r="AV114">
        <f>HYPERLINK("http://www.worldcat.org/oclc/203089","WorldCat Record")</f>
        <v/>
      </c>
      <c r="AW114" t="inlineStr">
        <is>
          <t>1258729:eng</t>
        </is>
      </c>
      <c r="AX114" t="inlineStr">
        <is>
          <t>203089</t>
        </is>
      </c>
      <c r="AY114" t="inlineStr">
        <is>
          <t>991000951609702656</t>
        </is>
      </c>
      <c r="AZ114" t="inlineStr">
        <is>
          <t>991000951609702656</t>
        </is>
      </c>
      <c r="BA114" t="inlineStr">
        <is>
          <t>2256059840002656</t>
        </is>
      </c>
      <c r="BB114" t="inlineStr">
        <is>
          <t>BOOK</t>
        </is>
      </c>
      <c r="BE114" t="inlineStr">
        <is>
          <t>30001000191264</t>
        </is>
      </c>
      <c r="BF114" t="inlineStr">
        <is>
          <t>893637859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QV 32 P536 1992</t>
        </is>
      </c>
      <c r="E115" t="inlineStr">
        <is>
          <t>0                      QV 0032000P  536         1992</t>
        </is>
      </c>
      <c r="F115" t="inlineStr">
        <is>
          <t>Pharmacy legislation regulations guidelines for long-term care : a resource for the consultant pharmacist.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Arlington, VA : American Society of Consultant Pharmacists, c1992.</t>
        </is>
      </c>
      <c r="O115" t="inlineStr">
        <is>
          <t>1992</t>
        </is>
      </c>
      <c r="Q115" t="inlineStr">
        <is>
          <t>eng</t>
        </is>
      </c>
      <c r="R115" t="inlineStr">
        <is>
          <t>vau</t>
        </is>
      </c>
      <c r="T115" t="inlineStr">
        <is>
          <t xml:space="preserve">QV </t>
        </is>
      </c>
      <c r="U115" t="n">
        <v>17</v>
      </c>
      <c r="V115" t="n">
        <v>17</v>
      </c>
      <c r="W115" t="inlineStr">
        <is>
          <t>1995-10-27</t>
        </is>
      </c>
      <c r="X115" t="inlineStr">
        <is>
          <t>1995-10-27</t>
        </is>
      </c>
      <c r="Y115" t="inlineStr">
        <is>
          <t>1992-03-31</t>
        </is>
      </c>
      <c r="Z115" t="inlineStr">
        <is>
          <t>1992-03-31</t>
        </is>
      </c>
      <c r="AA115" t="n">
        <v>9</v>
      </c>
      <c r="AB115" t="n">
        <v>9</v>
      </c>
      <c r="AC115" t="n">
        <v>9</v>
      </c>
      <c r="AD115" t="n">
        <v>1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HYPERLINK("https://creighton-primo.hosted.exlibrisgroup.com/primo-explore/search?tab=default_tab&amp;search_scope=EVERYTHING&amp;vid=01CRU&amp;lang=en_US&amp;offset=0&amp;query=any,contains,991001298659702656","Catalog Record")</f>
        <v/>
      </c>
      <c r="AV115">
        <f>HYPERLINK("http://www.worldcat.org/oclc/26268992","WorldCat Record")</f>
        <v/>
      </c>
      <c r="AW115" t="inlineStr">
        <is>
          <t>4167061842:eng</t>
        </is>
      </c>
      <c r="AX115" t="inlineStr">
        <is>
          <t>26268992</t>
        </is>
      </c>
      <c r="AY115" t="inlineStr">
        <is>
          <t>991001298659702656</t>
        </is>
      </c>
      <c r="AZ115" t="inlineStr">
        <is>
          <t>991001298659702656</t>
        </is>
      </c>
      <c r="BA115" t="inlineStr">
        <is>
          <t>2268889860002656</t>
        </is>
      </c>
      <c r="BB115" t="inlineStr">
        <is>
          <t>BOOK</t>
        </is>
      </c>
      <c r="BE115" t="inlineStr">
        <is>
          <t>30001002410985</t>
        </is>
      </c>
      <c r="BF115" t="inlineStr">
        <is>
          <t>893284659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QV 33 AA1 A2p 1997</t>
        </is>
      </c>
      <c r="E116" t="inlineStr">
        <is>
          <t>0                      QV 0033000AA 1                  A  2p          1997</t>
        </is>
      </c>
      <c r="F116" t="inlineStr">
        <is>
          <t>Pharmacy practice and the law / Richard R. Abood, David B. Brushwood.</t>
        </is>
      </c>
      <c r="H116" t="inlineStr">
        <is>
          <t>No</t>
        </is>
      </c>
      <c r="I116" t="inlineStr">
        <is>
          <t>1</t>
        </is>
      </c>
      <c r="J116" t="inlineStr">
        <is>
          <t>Yes</t>
        </is>
      </c>
      <c r="K116" t="inlineStr">
        <is>
          <t>Yes</t>
        </is>
      </c>
      <c r="L116" t="inlineStr">
        <is>
          <t>0</t>
        </is>
      </c>
      <c r="M116" t="inlineStr">
        <is>
          <t>Abood, Richard R.</t>
        </is>
      </c>
      <c r="N116" t="inlineStr">
        <is>
          <t>Gaithersburg, Md. : Aspen, c1997.</t>
        </is>
      </c>
      <c r="O116" t="inlineStr">
        <is>
          <t>1997</t>
        </is>
      </c>
      <c r="P116" t="inlineStr">
        <is>
          <t>2nd ed.</t>
        </is>
      </c>
      <c r="Q116" t="inlineStr">
        <is>
          <t>eng</t>
        </is>
      </c>
      <c r="R116" t="inlineStr">
        <is>
          <t>mdu</t>
        </is>
      </c>
      <c r="T116" t="inlineStr">
        <is>
          <t xml:space="preserve">QV </t>
        </is>
      </c>
      <c r="U116" t="n">
        <v>12</v>
      </c>
      <c r="V116" t="n">
        <v>24</v>
      </c>
      <c r="W116" t="inlineStr">
        <is>
          <t>2003-04-23</t>
        </is>
      </c>
      <c r="X116" t="inlineStr">
        <is>
          <t>2003-04-23</t>
        </is>
      </c>
      <c r="Y116" t="inlineStr">
        <is>
          <t>1997-09-23</t>
        </is>
      </c>
      <c r="Z116" t="inlineStr">
        <is>
          <t>1997-12-19</t>
        </is>
      </c>
      <c r="AA116" t="n">
        <v>113</v>
      </c>
      <c r="AB116" t="n">
        <v>106</v>
      </c>
      <c r="AC116" t="n">
        <v>435</v>
      </c>
      <c r="AD116" t="n">
        <v>1</v>
      </c>
      <c r="AE116" t="n">
        <v>3</v>
      </c>
      <c r="AF116" t="n">
        <v>8</v>
      </c>
      <c r="AG116" t="n">
        <v>24</v>
      </c>
      <c r="AH116" t="n">
        <v>3</v>
      </c>
      <c r="AI116" t="n">
        <v>9</v>
      </c>
      <c r="AJ116" t="n">
        <v>1</v>
      </c>
      <c r="AK116" t="n">
        <v>3</v>
      </c>
      <c r="AL116" t="n">
        <v>1</v>
      </c>
      <c r="AM116" t="n">
        <v>3</v>
      </c>
      <c r="AN116" t="n">
        <v>0</v>
      </c>
      <c r="AO116" t="n">
        <v>1</v>
      </c>
      <c r="AP116" t="n">
        <v>5</v>
      </c>
      <c r="AQ116" t="n">
        <v>11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HYPERLINK("http://catalog.hathitrust.org/Record/003963472","HathiTrust Record")</f>
        <v/>
      </c>
      <c r="AU116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V116">
        <f>HYPERLINK("http://www.worldcat.org/oclc/36848137","WorldCat Record")</f>
        <v/>
      </c>
      <c r="AW116" t="inlineStr">
        <is>
          <t>10610041:eng</t>
        </is>
      </c>
      <c r="AX116" t="inlineStr">
        <is>
          <t>36848137</t>
        </is>
      </c>
      <c r="AY116" t="inlineStr">
        <is>
          <t>991001136389702656</t>
        </is>
      </c>
      <c r="AZ116" t="inlineStr">
        <is>
          <t>991001136389702656</t>
        </is>
      </c>
      <c r="BA116" t="inlineStr">
        <is>
          <t>2259182230002656</t>
        </is>
      </c>
      <c r="BB116" t="inlineStr">
        <is>
          <t>BOOK</t>
        </is>
      </c>
      <c r="BD116" t="inlineStr">
        <is>
          <t>9780834209152</t>
        </is>
      </c>
      <c r="BE116" t="inlineStr">
        <is>
          <t>30001003626357</t>
        </is>
      </c>
      <c r="BF116" t="inlineStr">
        <is>
          <t>893148893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QV 33 AA1 A2p 1997</t>
        </is>
      </c>
      <c r="E117" t="inlineStr">
        <is>
          <t>0                      QV 0033000AA 1                  A  2p          1997</t>
        </is>
      </c>
      <c r="F117" t="inlineStr">
        <is>
          <t>Pharmacy practice and the law / Richard R. Abood, David B. Brushwood.</t>
        </is>
      </c>
      <c r="H117" t="inlineStr">
        <is>
          <t>No</t>
        </is>
      </c>
      <c r="I117" t="inlineStr">
        <is>
          <t>2</t>
        </is>
      </c>
      <c r="J117" t="inlineStr">
        <is>
          <t>Yes</t>
        </is>
      </c>
      <c r="K117" t="inlineStr">
        <is>
          <t>Yes</t>
        </is>
      </c>
      <c r="L117" t="inlineStr">
        <is>
          <t>0</t>
        </is>
      </c>
      <c r="M117" t="inlineStr">
        <is>
          <t>Abood, Richard R.</t>
        </is>
      </c>
      <c r="N117" t="inlineStr">
        <is>
          <t>Gaithersburg, Md. : Aspen, c1997.</t>
        </is>
      </c>
      <c r="O117" t="inlineStr">
        <is>
          <t>1997</t>
        </is>
      </c>
      <c r="P117" t="inlineStr">
        <is>
          <t>2nd ed.</t>
        </is>
      </c>
      <c r="Q117" t="inlineStr">
        <is>
          <t>eng</t>
        </is>
      </c>
      <c r="R117" t="inlineStr">
        <is>
          <t>mdu</t>
        </is>
      </c>
      <c r="T117" t="inlineStr">
        <is>
          <t xml:space="preserve">QV </t>
        </is>
      </c>
      <c r="U117" t="n">
        <v>12</v>
      </c>
      <c r="V117" t="n">
        <v>24</v>
      </c>
      <c r="W117" t="inlineStr">
        <is>
          <t>2000-12-06</t>
        </is>
      </c>
      <c r="X117" t="inlineStr">
        <is>
          <t>2003-04-23</t>
        </is>
      </c>
      <c r="Y117" t="inlineStr">
        <is>
          <t>1997-12-19</t>
        </is>
      </c>
      <c r="Z117" t="inlineStr">
        <is>
          <t>1997-12-19</t>
        </is>
      </c>
      <c r="AA117" t="n">
        <v>113</v>
      </c>
      <c r="AB117" t="n">
        <v>106</v>
      </c>
      <c r="AC117" t="n">
        <v>435</v>
      </c>
      <c r="AD117" t="n">
        <v>1</v>
      </c>
      <c r="AE117" t="n">
        <v>3</v>
      </c>
      <c r="AF117" t="n">
        <v>8</v>
      </c>
      <c r="AG117" t="n">
        <v>24</v>
      </c>
      <c r="AH117" t="n">
        <v>3</v>
      </c>
      <c r="AI117" t="n">
        <v>9</v>
      </c>
      <c r="AJ117" t="n">
        <v>1</v>
      </c>
      <c r="AK117" t="n">
        <v>3</v>
      </c>
      <c r="AL117" t="n">
        <v>1</v>
      </c>
      <c r="AM117" t="n">
        <v>3</v>
      </c>
      <c r="AN117" t="n">
        <v>0</v>
      </c>
      <c r="AO117" t="n">
        <v>1</v>
      </c>
      <c r="AP117" t="n">
        <v>5</v>
      </c>
      <c r="AQ117" t="n">
        <v>11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HYPERLINK("http://catalog.hathitrust.org/Record/003963472","HathiTrust Record")</f>
        <v/>
      </c>
      <c r="AU117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V117">
        <f>HYPERLINK("http://www.worldcat.org/oclc/36848137","WorldCat Record")</f>
        <v/>
      </c>
      <c r="AW117" t="inlineStr">
        <is>
          <t>10610041:eng</t>
        </is>
      </c>
      <c r="AX117" t="inlineStr">
        <is>
          <t>36848137</t>
        </is>
      </c>
      <c r="AY117" t="inlineStr">
        <is>
          <t>991001136389702656</t>
        </is>
      </c>
      <c r="AZ117" t="inlineStr">
        <is>
          <t>991001136389702656</t>
        </is>
      </c>
      <c r="BA117" t="inlineStr">
        <is>
          <t>2259182230002656</t>
        </is>
      </c>
      <c r="BB117" t="inlineStr">
        <is>
          <t>BOOK</t>
        </is>
      </c>
      <c r="BD117" t="inlineStr">
        <is>
          <t>9780834209152</t>
        </is>
      </c>
      <c r="BE117" t="inlineStr">
        <is>
          <t>30001003669159</t>
        </is>
      </c>
      <c r="BF117" t="inlineStr">
        <is>
          <t>893161701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QV 33 AA1 D3p 1984</t>
        </is>
      </c>
      <c r="E118" t="inlineStr">
        <is>
          <t>0                      QV 0033000AA 1                  D  3p          1984</t>
        </is>
      </c>
      <c r="F118" t="inlineStr">
        <is>
          <t>Pharmacy and the law / Carl T. DeMarco.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Yes</t>
        </is>
      </c>
      <c r="L118" t="inlineStr">
        <is>
          <t>0</t>
        </is>
      </c>
      <c r="M118" t="inlineStr">
        <is>
          <t>DeMarco, Carl T.</t>
        </is>
      </c>
      <c r="N118" t="inlineStr">
        <is>
          <t>Rockville, Md. : Aspen Systems Corp., c1984.</t>
        </is>
      </c>
      <c r="O118" t="inlineStr">
        <is>
          <t>1984</t>
        </is>
      </c>
      <c r="P118" t="inlineStr">
        <is>
          <t>2nd ed.</t>
        </is>
      </c>
      <c r="Q118" t="inlineStr">
        <is>
          <t>eng</t>
        </is>
      </c>
      <c r="R118" t="inlineStr">
        <is>
          <t xml:space="preserve">xx </t>
        </is>
      </c>
      <c r="T118" t="inlineStr">
        <is>
          <t xml:space="preserve">QV </t>
        </is>
      </c>
      <c r="U118" t="n">
        <v>9</v>
      </c>
      <c r="V118" t="n">
        <v>9</v>
      </c>
      <c r="W118" t="inlineStr">
        <is>
          <t>1994-05-19</t>
        </is>
      </c>
      <c r="X118" t="inlineStr">
        <is>
          <t>1994-05-19</t>
        </is>
      </c>
      <c r="Y118" t="inlineStr">
        <is>
          <t>1988-01-27</t>
        </is>
      </c>
      <c r="Z118" t="inlineStr">
        <is>
          <t>1988-01-27</t>
        </is>
      </c>
      <c r="AA118" t="n">
        <v>228</v>
      </c>
      <c r="AB118" t="n">
        <v>213</v>
      </c>
      <c r="AC118" t="n">
        <v>368</v>
      </c>
      <c r="AD118" t="n">
        <v>1</v>
      </c>
      <c r="AE118" t="n">
        <v>3</v>
      </c>
      <c r="AF118" t="n">
        <v>9</v>
      </c>
      <c r="AG118" t="n">
        <v>19</v>
      </c>
      <c r="AH118" t="n">
        <v>0</v>
      </c>
      <c r="AI118" t="n">
        <v>2</v>
      </c>
      <c r="AJ118" t="n">
        <v>1</v>
      </c>
      <c r="AK118" t="n">
        <v>2</v>
      </c>
      <c r="AL118" t="n">
        <v>0</v>
      </c>
      <c r="AM118" t="n">
        <v>1</v>
      </c>
      <c r="AN118" t="n">
        <v>0</v>
      </c>
      <c r="AO118" t="n">
        <v>0</v>
      </c>
      <c r="AP118" t="n">
        <v>8</v>
      </c>
      <c r="AQ118" t="n">
        <v>15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HYPERLINK("https://creighton-primo.hosted.exlibrisgroup.com/primo-explore/search?tab=default_tab&amp;search_scope=EVERYTHING&amp;vid=01CRU&amp;lang=en_US&amp;offset=0&amp;query=any,contains,991000951769702656","Catalog Record")</f>
        <v/>
      </c>
      <c r="AV118">
        <f>HYPERLINK("http://www.worldcat.org/oclc/10557638","WorldCat Record")</f>
        <v/>
      </c>
      <c r="AW118" t="inlineStr">
        <is>
          <t>2738440:eng</t>
        </is>
      </c>
      <c r="AX118" t="inlineStr">
        <is>
          <t>10557638</t>
        </is>
      </c>
      <c r="AY118" t="inlineStr">
        <is>
          <t>991000951769702656</t>
        </is>
      </c>
      <c r="AZ118" t="inlineStr">
        <is>
          <t>991000951769702656</t>
        </is>
      </c>
      <c r="BA118" t="inlineStr">
        <is>
          <t>2258910460002656</t>
        </is>
      </c>
      <c r="BB118" t="inlineStr">
        <is>
          <t>BOOK</t>
        </is>
      </c>
      <c r="BD118" t="inlineStr">
        <is>
          <t>9780894435911</t>
        </is>
      </c>
      <c r="BE118" t="inlineStr">
        <is>
          <t>30001000191322</t>
        </is>
      </c>
      <c r="BF118" t="inlineStr">
        <is>
          <t>893278517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QV 33 AA1 N6h 1986</t>
        </is>
      </c>
      <c r="E119" t="inlineStr">
        <is>
          <t>0                      QV 0033000AA 1                  N  6h          1986</t>
        </is>
      </c>
      <c r="F119" t="inlineStr">
        <is>
          <t>Handbook of federal drug law / James Robert Nielsen.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Yes</t>
        </is>
      </c>
      <c r="L119" t="inlineStr">
        <is>
          <t>0</t>
        </is>
      </c>
      <c r="M119" t="inlineStr">
        <is>
          <t>Nielsen, James Robert.</t>
        </is>
      </c>
      <c r="N119" t="inlineStr">
        <is>
          <t>Philadelphia : Lea &amp; Febiger, c1986.</t>
        </is>
      </c>
      <c r="O119" t="inlineStr">
        <is>
          <t>1986</t>
        </is>
      </c>
      <c r="Q119" t="inlineStr">
        <is>
          <t>eng</t>
        </is>
      </c>
      <c r="R119" t="inlineStr">
        <is>
          <t>xxu</t>
        </is>
      </c>
      <c r="T119" t="inlineStr">
        <is>
          <t xml:space="preserve">QV </t>
        </is>
      </c>
      <c r="U119" t="n">
        <v>23</v>
      </c>
      <c r="V119" t="n">
        <v>23</v>
      </c>
      <c r="W119" t="inlineStr">
        <is>
          <t>1994-09-19</t>
        </is>
      </c>
      <c r="X119" t="inlineStr">
        <is>
          <t>1994-09-19</t>
        </is>
      </c>
      <c r="Y119" t="inlineStr">
        <is>
          <t>1987-10-20</t>
        </is>
      </c>
      <c r="Z119" t="inlineStr">
        <is>
          <t>1987-10-20</t>
        </is>
      </c>
      <c r="AA119" t="n">
        <v>181</v>
      </c>
      <c r="AB119" t="n">
        <v>159</v>
      </c>
      <c r="AC119" t="n">
        <v>263</v>
      </c>
      <c r="AD119" t="n">
        <v>1</v>
      </c>
      <c r="AE119" t="n">
        <v>1</v>
      </c>
      <c r="AF119" t="n">
        <v>7</v>
      </c>
      <c r="AG119" t="n">
        <v>10</v>
      </c>
      <c r="AH119" t="n">
        <v>2</v>
      </c>
      <c r="AI119" t="n">
        <v>2</v>
      </c>
      <c r="AJ119" t="n">
        <v>2</v>
      </c>
      <c r="AK119" t="n">
        <v>2</v>
      </c>
      <c r="AL119" t="n">
        <v>1</v>
      </c>
      <c r="AM119" t="n">
        <v>1</v>
      </c>
      <c r="AN119" t="n">
        <v>0</v>
      </c>
      <c r="AO119" t="n">
        <v>0</v>
      </c>
      <c r="AP119" t="n">
        <v>3</v>
      </c>
      <c r="AQ119" t="n">
        <v>6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HYPERLINK("https://creighton-primo.hosted.exlibrisgroup.com/primo-explore/search?tab=default_tab&amp;search_scope=EVERYTHING&amp;vid=01CRU&amp;lang=en_US&amp;offset=0&amp;query=any,contains,991001528569702656","Catalog Record")</f>
        <v/>
      </c>
      <c r="AV119">
        <f>HYPERLINK("http://www.worldcat.org/oclc/12418611","WorldCat Record")</f>
        <v/>
      </c>
      <c r="AW119" t="inlineStr">
        <is>
          <t>5015569:eng</t>
        </is>
      </c>
      <c r="AX119" t="inlineStr">
        <is>
          <t>12418611</t>
        </is>
      </c>
      <c r="AY119" t="inlineStr">
        <is>
          <t>991001528569702656</t>
        </is>
      </c>
      <c r="AZ119" t="inlineStr">
        <is>
          <t>991001528569702656</t>
        </is>
      </c>
      <c r="BA119" t="inlineStr">
        <is>
          <t>2261354470002656</t>
        </is>
      </c>
      <c r="BB119" t="inlineStr">
        <is>
          <t>BOOK</t>
        </is>
      </c>
      <c r="BD119" t="inlineStr">
        <is>
          <t>9780812109979</t>
        </is>
      </c>
      <c r="BE119" t="inlineStr">
        <is>
          <t>30001000620759</t>
        </is>
      </c>
      <c r="BF119" t="inlineStr">
        <is>
          <t>893552605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QV 33 AA1 N6h 1992</t>
        </is>
      </c>
      <c r="E120" t="inlineStr">
        <is>
          <t>0                      QV 0033000AA 1                  N  6h          1992</t>
        </is>
      </c>
      <c r="F120" t="inlineStr">
        <is>
          <t>Handbook of federal drug law / James Robert Nielsen.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Yes</t>
        </is>
      </c>
      <c r="L120" t="inlineStr">
        <is>
          <t>0</t>
        </is>
      </c>
      <c r="M120" t="inlineStr">
        <is>
          <t>Nielsen, James Robert.</t>
        </is>
      </c>
      <c r="N120" t="inlineStr">
        <is>
          <t>Philadelphia : Lea &amp; Febiger, c1992.</t>
        </is>
      </c>
      <c r="O120" t="inlineStr">
        <is>
          <t>1992</t>
        </is>
      </c>
      <c r="P120" t="inlineStr">
        <is>
          <t>2nd ed.</t>
        </is>
      </c>
      <c r="Q120" t="inlineStr">
        <is>
          <t>eng</t>
        </is>
      </c>
      <c r="R120" t="inlineStr">
        <is>
          <t>pau</t>
        </is>
      </c>
      <c r="T120" t="inlineStr">
        <is>
          <t xml:space="preserve">QV </t>
        </is>
      </c>
      <c r="U120" t="n">
        <v>19</v>
      </c>
      <c r="V120" t="n">
        <v>19</v>
      </c>
      <c r="W120" t="inlineStr">
        <is>
          <t>2003-05-23</t>
        </is>
      </c>
      <c r="X120" t="inlineStr">
        <is>
          <t>2003-05-23</t>
        </is>
      </c>
      <c r="Y120" t="inlineStr">
        <is>
          <t>1993-01-19</t>
        </is>
      </c>
      <c r="Z120" t="inlineStr">
        <is>
          <t>1993-01-19</t>
        </is>
      </c>
      <c r="AA120" t="n">
        <v>161</v>
      </c>
      <c r="AB120" t="n">
        <v>151</v>
      </c>
      <c r="AC120" t="n">
        <v>263</v>
      </c>
      <c r="AD120" t="n">
        <v>1</v>
      </c>
      <c r="AE120" t="n">
        <v>1</v>
      </c>
      <c r="AF120" t="n">
        <v>6</v>
      </c>
      <c r="AG120" t="n">
        <v>10</v>
      </c>
      <c r="AH120" t="n">
        <v>2</v>
      </c>
      <c r="AI120" t="n">
        <v>2</v>
      </c>
      <c r="AJ120" t="n">
        <v>2</v>
      </c>
      <c r="AK120" t="n">
        <v>2</v>
      </c>
      <c r="AL120" t="n">
        <v>0</v>
      </c>
      <c r="AM120" t="n">
        <v>1</v>
      </c>
      <c r="AN120" t="n">
        <v>0</v>
      </c>
      <c r="AO120" t="n">
        <v>0</v>
      </c>
      <c r="AP120" t="n">
        <v>3</v>
      </c>
      <c r="AQ120" t="n">
        <v>6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HYPERLINK("http://catalog.hathitrust.org/Record/002536532","HathiTrust Record")</f>
        <v/>
      </c>
      <c r="AU120">
        <f>HYPERLINK("https://creighton-primo.hosted.exlibrisgroup.com/primo-explore/search?tab=default_tab&amp;search_scope=EVERYTHING&amp;vid=01CRU&amp;lang=en_US&amp;offset=0&amp;query=any,contains,991001434329702656","Catalog Record")</f>
        <v/>
      </c>
      <c r="AV120">
        <f>HYPERLINK("http://www.worldcat.org/oclc/24669804","WorldCat Record")</f>
        <v/>
      </c>
      <c r="AW120" t="inlineStr">
        <is>
          <t>5015569:eng</t>
        </is>
      </c>
      <c r="AX120" t="inlineStr">
        <is>
          <t>24669804</t>
        </is>
      </c>
      <c r="AY120" t="inlineStr">
        <is>
          <t>991001434329702656</t>
        </is>
      </c>
      <c r="AZ120" t="inlineStr">
        <is>
          <t>991001434329702656</t>
        </is>
      </c>
      <c r="BA120" t="inlineStr">
        <is>
          <t>2263878230002656</t>
        </is>
      </c>
      <c r="BB120" t="inlineStr">
        <is>
          <t>BOOK</t>
        </is>
      </c>
      <c r="BD120" t="inlineStr">
        <is>
          <t>9780812114393</t>
        </is>
      </c>
      <c r="BE120" t="inlineStr">
        <is>
          <t>30001002530543</t>
        </is>
      </c>
      <c r="BF120" t="inlineStr">
        <is>
          <t>893161988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QV33 AA1 R35 2001</t>
        </is>
      </c>
      <c r="E121" t="inlineStr">
        <is>
          <t>0                      QV 0033000AA 1                  R  35          2001</t>
        </is>
      </c>
      <c r="F121" t="inlineStr">
        <is>
          <t>Regulatory toxicololgy / [edited by] Shayne C. Gad.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London ; New York : Taylor &amp; Francis, 2001.</t>
        </is>
      </c>
      <c r="O121" t="inlineStr">
        <is>
          <t>2001</t>
        </is>
      </c>
      <c r="P121" t="inlineStr">
        <is>
          <t>2nd ed.</t>
        </is>
      </c>
      <c r="Q121" t="inlineStr">
        <is>
          <t>eng</t>
        </is>
      </c>
      <c r="R121" t="inlineStr">
        <is>
          <t>enk</t>
        </is>
      </c>
      <c r="T121" t="inlineStr">
        <is>
          <t xml:space="preserve">QV </t>
        </is>
      </c>
      <c r="U121" t="n">
        <v>2</v>
      </c>
      <c r="V121" t="n">
        <v>2</v>
      </c>
      <c r="W121" t="inlineStr">
        <is>
          <t>2006-01-25</t>
        </is>
      </c>
      <c r="X121" t="inlineStr">
        <is>
          <t>2006-01-25</t>
        </is>
      </c>
      <c r="Y121" t="inlineStr">
        <is>
          <t>2003-06-06</t>
        </is>
      </c>
      <c r="Z121" t="inlineStr">
        <is>
          <t>2003-06-06</t>
        </is>
      </c>
      <c r="AA121" t="n">
        <v>112</v>
      </c>
      <c r="AB121" t="n">
        <v>72</v>
      </c>
      <c r="AC121" t="n">
        <v>217</v>
      </c>
      <c r="AD121" t="n">
        <v>1</v>
      </c>
      <c r="AE121" t="n">
        <v>2</v>
      </c>
      <c r="AF121" t="n">
        <v>2</v>
      </c>
      <c r="AG121" t="n">
        <v>3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M121" t="n">
        <v>0</v>
      </c>
      <c r="AN121" t="n">
        <v>0</v>
      </c>
      <c r="AO121" t="n">
        <v>1</v>
      </c>
      <c r="AP121" t="n">
        <v>1</v>
      </c>
      <c r="AQ121" t="n">
        <v>1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HYPERLINK("https://creighton-primo.hosted.exlibrisgroup.com/primo-explore/search?tab=default_tab&amp;search_scope=EVERYTHING&amp;vid=01CRU&amp;lang=en_US&amp;offset=0&amp;query=any,contains,991000349169702656","Catalog Record")</f>
        <v/>
      </c>
      <c r="AV121">
        <f>HYPERLINK("http://www.worldcat.org/oclc/45420161","WorldCat Record")</f>
        <v/>
      </c>
      <c r="AW121" t="inlineStr">
        <is>
          <t>863969068:eng</t>
        </is>
      </c>
      <c r="AX121" t="inlineStr">
        <is>
          <t>45420161</t>
        </is>
      </c>
      <c r="AY121" t="inlineStr">
        <is>
          <t>991000349169702656</t>
        </is>
      </c>
      <c r="AZ121" t="inlineStr">
        <is>
          <t>991000349169702656</t>
        </is>
      </c>
      <c r="BA121" t="inlineStr">
        <is>
          <t>2256322700002656</t>
        </is>
      </c>
      <c r="BB121" t="inlineStr">
        <is>
          <t>BOOK</t>
        </is>
      </c>
      <c r="BD121" t="inlineStr">
        <is>
          <t>9780415239196</t>
        </is>
      </c>
      <c r="BE121" t="inlineStr">
        <is>
          <t>30001004502482</t>
        </is>
      </c>
      <c r="BF121" t="inlineStr">
        <is>
          <t>893822085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QV 34 H236 1966 v.18</t>
        </is>
      </c>
      <c r="E122" t="inlineStr">
        <is>
          <t>0                      QV 0034000H  236         1966                                        v.18</t>
        </is>
      </c>
      <c r="F122" t="inlineStr">
        <is>
          <t>Histamine and anti-histaminics / contributors, S.G.. Alivisatos ... [et al.] ; sub-editor, Mauricio Rocha e Silva in collaboration with Hanna A. Rothschild.</t>
        </is>
      </c>
      <c r="G122" t="inlineStr">
        <is>
          <t>V. 18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Berlin ; New York : Springer-Verlag, 1966.</t>
        </is>
      </c>
      <c r="O122" t="inlineStr">
        <is>
          <t>1966</t>
        </is>
      </c>
      <c r="Q122" t="inlineStr">
        <is>
          <t>eng</t>
        </is>
      </c>
      <c r="R122" t="inlineStr">
        <is>
          <t xml:space="preserve">gw </t>
        </is>
      </c>
      <c r="S122" t="inlineStr">
        <is>
          <t>Handbook of experimental pharmacology : New series ; v. 18.</t>
        </is>
      </c>
      <c r="T122" t="inlineStr">
        <is>
          <t xml:space="preserve">QV </t>
        </is>
      </c>
      <c r="U122" t="n">
        <v>5</v>
      </c>
      <c r="V122" t="n">
        <v>5</v>
      </c>
      <c r="W122" t="inlineStr">
        <is>
          <t>2005-08-30</t>
        </is>
      </c>
      <c r="X122" t="inlineStr">
        <is>
          <t>2005-08-30</t>
        </is>
      </c>
      <c r="Y122" t="inlineStr">
        <is>
          <t>1988-03-03</t>
        </is>
      </c>
      <c r="Z122" t="inlineStr">
        <is>
          <t>1988-03-03</t>
        </is>
      </c>
      <c r="AA122" t="n">
        <v>122</v>
      </c>
      <c r="AB122" t="n">
        <v>84</v>
      </c>
      <c r="AC122" t="n">
        <v>100</v>
      </c>
      <c r="AD122" t="n">
        <v>1</v>
      </c>
      <c r="AE122" t="n">
        <v>1</v>
      </c>
      <c r="AF122" t="n">
        <v>3</v>
      </c>
      <c r="AG122" t="n">
        <v>3</v>
      </c>
      <c r="AH122" t="n">
        <v>1</v>
      </c>
      <c r="AI122" t="n">
        <v>1</v>
      </c>
      <c r="AJ122" t="n">
        <v>2</v>
      </c>
      <c r="AK122" t="n">
        <v>2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HYPERLINK("http://catalog.hathitrust.org/Record/001579311","HathiTrust Record")</f>
        <v/>
      </c>
      <c r="AU122">
        <f>HYPERLINK("https://creighton-primo.hosted.exlibrisgroup.com/primo-explore/search?tab=default_tab&amp;search_scope=EVERYTHING&amp;vid=01CRU&amp;lang=en_US&amp;offset=0&amp;query=any,contains,991000951849702656","Catalog Record")</f>
        <v/>
      </c>
      <c r="AV122">
        <f>HYPERLINK("http://www.worldcat.org/oclc/3515687","WorldCat Record")</f>
        <v/>
      </c>
      <c r="AW122" t="inlineStr">
        <is>
          <t>3769857306:eng</t>
        </is>
      </c>
      <c r="AX122" t="inlineStr">
        <is>
          <t>3515687</t>
        </is>
      </c>
      <c r="AY122" t="inlineStr">
        <is>
          <t>991000951849702656</t>
        </is>
      </c>
      <c r="AZ122" t="inlineStr">
        <is>
          <t>991000951849702656</t>
        </is>
      </c>
      <c r="BA122" t="inlineStr">
        <is>
          <t>2271933480002656</t>
        </is>
      </c>
      <c r="BB122" t="inlineStr">
        <is>
          <t>BOOK</t>
        </is>
      </c>
      <c r="BE122" t="inlineStr">
        <is>
          <t>30001000191447</t>
        </is>
      </c>
      <c r="BF122" t="inlineStr">
        <is>
          <t>893134117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QV 34 H236 1971</t>
        </is>
      </c>
      <c r="E123" t="inlineStr">
        <is>
          <t>0                      QV 0034000H  236         1971</t>
        </is>
      </c>
      <c r="F123" t="inlineStr">
        <is>
          <t>Concepts in biochemical pharmacology / Contributors: W.P. Argy Editors: B.B. Brodie and J.R. Gillette. Assistant editor: Helen S. Ackerman.</t>
        </is>
      </c>
      <c r="G123" t="inlineStr">
        <is>
          <t>V. 28 PT. 2</t>
        </is>
      </c>
      <c r="H123" t="inlineStr">
        <is>
          <t>Yes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Berlin, New York : Springer-Verlag, 1971-</t>
        </is>
      </c>
      <c r="O123" t="inlineStr">
        <is>
          <t>1971</t>
        </is>
      </c>
      <c r="Q123" t="inlineStr">
        <is>
          <t>eng</t>
        </is>
      </c>
      <c r="R123" t="inlineStr">
        <is>
          <t xml:space="preserve">gw </t>
        </is>
      </c>
      <c r="S123" t="inlineStr">
        <is>
          <t>Handbuch der experimentellen Pharmakologie. Handbook of experimental pharmacology. New series, v. XXVIII, 1</t>
        </is>
      </c>
      <c r="T123" t="inlineStr">
        <is>
          <t xml:space="preserve">QV </t>
        </is>
      </c>
      <c r="U123" t="n">
        <v>0</v>
      </c>
      <c r="V123" t="n">
        <v>4</v>
      </c>
      <c r="X123" t="inlineStr">
        <is>
          <t>1997-10-11</t>
        </is>
      </c>
      <c r="Y123" t="inlineStr">
        <is>
          <t>1988-03-03</t>
        </is>
      </c>
      <c r="Z123" t="inlineStr">
        <is>
          <t>1988-03-03</t>
        </is>
      </c>
      <c r="AA123" t="n">
        <v>183</v>
      </c>
      <c r="AB123" t="n">
        <v>127</v>
      </c>
      <c r="AC123" t="n">
        <v>144</v>
      </c>
      <c r="AD123" t="n">
        <v>1</v>
      </c>
      <c r="AE123" t="n">
        <v>1</v>
      </c>
      <c r="AF123" t="n">
        <v>2</v>
      </c>
      <c r="AG123" t="n">
        <v>2</v>
      </c>
      <c r="AH123" t="n">
        <v>0</v>
      </c>
      <c r="AI123" t="n">
        <v>0</v>
      </c>
      <c r="AJ123" t="n">
        <v>2</v>
      </c>
      <c r="AK123" t="n">
        <v>2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HYPERLINK("http://catalog.hathitrust.org/Record/008160488","HathiTrust Record")</f>
        <v/>
      </c>
      <c r="AU123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V123">
        <f>HYPERLINK("http://www.worldcat.org/oclc/155228","WorldCat Record")</f>
        <v/>
      </c>
      <c r="AW123" t="inlineStr">
        <is>
          <t>4020044131:eng</t>
        </is>
      </c>
      <c r="AX123" t="inlineStr">
        <is>
          <t>155228</t>
        </is>
      </c>
      <c r="AY123" t="inlineStr">
        <is>
          <t>991000951809702656</t>
        </is>
      </c>
      <c r="AZ123" t="inlineStr">
        <is>
          <t>991000951809702656</t>
        </is>
      </c>
      <c r="BA123" t="inlineStr">
        <is>
          <t>2256674920002656</t>
        </is>
      </c>
      <c r="BB123" t="inlineStr">
        <is>
          <t>BOOK</t>
        </is>
      </c>
      <c r="BE123" t="inlineStr">
        <is>
          <t>30001000191439</t>
        </is>
      </c>
      <c r="BF123" t="inlineStr">
        <is>
          <t>893460159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QV 34 H236 1971</t>
        </is>
      </c>
      <c r="E124" t="inlineStr">
        <is>
          <t>0                      QV 0034000H  236         1971</t>
        </is>
      </c>
      <c r="F124" t="inlineStr">
        <is>
          <t>Concepts in biochemical pharmacology / Contributors: W.P. Argy Editors: B.B. Brodie and J.R. Gillette. Assistant editor: Helen S. Ackerman.</t>
        </is>
      </c>
      <c r="G124" t="inlineStr">
        <is>
          <t>V. 28 PT. 1</t>
        </is>
      </c>
      <c r="H124" t="inlineStr">
        <is>
          <t>Yes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Berlin, New York : Springer-Verlag, 1971-</t>
        </is>
      </c>
      <c r="O124" t="inlineStr">
        <is>
          <t>1971</t>
        </is>
      </c>
      <c r="Q124" t="inlineStr">
        <is>
          <t>eng</t>
        </is>
      </c>
      <c r="R124" t="inlineStr">
        <is>
          <t xml:space="preserve">gw </t>
        </is>
      </c>
      <c r="S124" t="inlineStr">
        <is>
          <t>Handbuch der experimentellen Pharmakologie. Handbook of experimental pharmacology. New series, v. XXVIII, 1</t>
        </is>
      </c>
      <c r="T124" t="inlineStr">
        <is>
          <t xml:space="preserve">QV </t>
        </is>
      </c>
      <c r="U124" t="n">
        <v>4</v>
      </c>
      <c r="V124" t="n">
        <v>4</v>
      </c>
      <c r="W124" t="inlineStr">
        <is>
          <t>1997-10-11</t>
        </is>
      </c>
      <c r="X124" t="inlineStr">
        <is>
          <t>1997-10-11</t>
        </is>
      </c>
      <c r="Y124" t="inlineStr">
        <is>
          <t>1988-03-03</t>
        </is>
      </c>
      <c r="Z124" t="inlineStr">
        <is>
          <t>1988-03-03</t>
        </is>
      </c>
      <c r="AA124" t="n">
        <v>183</v>
      </c>
      <c r="AB124" t="n">
        <v>127</v>
      </c>
      <c r="AC124" t="n">
        <v>144</v>
      </c>
      <c r="AD124" t="n">
        <v>1</v>
      </c>
      <c r="AE124" t="n">
        <v>1</v>
      </c>
      <c r="AF124" t="n">
        <v>2</v>
      </c>
      <c r="AG124" t="n">
        <v>2</v>
      </c>
      <c r="AH124" t="n">
        <v>0</v>
      </c>
      <c r="AI124" t="n">
        <v>0</v>
      </c>
      <c r="AJ124" t="n">
        <v>2</v>
      </c>
      <c r="AK124" t="n">
        <v>2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HYPERLINK("http://catalog.hathitrust.org/Record/008160488","HathiTrust Record")</f>
        <v/>
      </c>
      <c r="AU124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V124">
        <f>HYPERLINK("http://www.worldcat.org/oclc/155228","WorldCat Record")</f>
        <v/>
      </c>
      <c r="AW124" t="inlineStr">
        <is>
          <t>4020044131:eng</t>
        </is>
      </c>
      <c r="AX124" t="inlineStr">
        <is>
          <t>155228</t>
        </is>
      </c>
      <c r="AY124" t="inlineStr">
        <is>
          <t>991000951809702656</t>
        </is>
      </c>
      <c r="AZ124" t="inlineStr">
        <is>
          <t>991000951809702656</t>
        </is>
      </c>
      <c r="BA124" t="inlineStr">
        <is>
          <t>2256674920002656</t>
        </is>
      </c>
      <c r="BB124" t="inlineStr">
        <is>
          <t>BOOK</t>
        </is>
      </c>
      <c r="BE124" t="inlineStr">
        <is>
          <t>30001000191421</t>
        </is>
      </c>
      <c r="BF124" t="inlineStr">
        <is>
          <t>893460160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QV 38 A512b 1978</t>
        </is>
      </c>
      <c r="E125" t="inlineStr">
        <is>
          <t>0                      QV 0038000A  512b        1978</t>
        </is>
      </c>
      <c r="F125" t="inlineStr">
        <is>
          <t>The bioavailability of drug products, 1978 : a series of monographs and supplementary information compiled and prepared by the APhA Bioavailability Project and designed to assist pharmacy and medical practitioners in evaluating the bioavailability of important drug products.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American Pharmaceutical Association.</t>
        </is>
      </c>
      <c r="N125" t="inlineStr">
        <is>
          <t>Washington, D.C. : American Pharmaceutical Association, c1978.</t>
        </is>
      </c>
      <c r="O125" t="inlineStr">
        <is>
          <t>1978</t>
        </is>
      </c>
      <c r="P125" t="inlineStr">
        <is>
          <t>-- Cumulative ed. --</t>
        </is>
      </c>
      <c r="Q125" t="inlineStr">
        <is>
          <t>eng</t>
        </is>
      </c>
      <c r="R125" t="inlineStr">
        <is>
          <t>dcu</t>
        </is>
      </c>
      <c r="T125" t="inlineStr">
        <is>
          <t xml:space="preserve">QV </t>
        </is>
      </c>
      <c r="U125" t="n">
        <v>2</v>
      </c>
      <c r="V125" t="n">
        <v>2</v>
      </c>
      <c r="W125" t="inlineStr">
        <is>
          <t>2001-04-27</t>
        </is>
      </c>
      <c r="X125" t="inlineStr">
        <is>
          <t>2001-04-27</t>
        </is>
      </c>
      <c r="Y125" t="inlineStr">
        <is>
          <t>1988-01-28</t>
        </is>
      </c>
      <c r="Z125" t="inlineStr">
        <is>
          <t>1988-01-28</t>
        </is>
      </c>
      <c r="AA125" t="n">
        <v>12</v>
      </c>
      <c r="AB125" t="n">
        <v>12</v>
      </c>
      <c r="AC125" t="n">
        <v>12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  <c r="AJ125" t="n">
        <v>1</v>
      </c>
      <c r="AK125" t="n">
        <v>1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HYPERLINK("https://creighton-primo.hosted.exlibrisgroup.com/primo-explore/search?tab=default_tab&amp;search_scope=EVERYTHING&amp;vid=01CRU&amp;lang=en_US&amp;offset=0&amp;query=any,contains,991000951969702656","Catalog Record")</f>
        <v/>
      </c>
      <c r="AV125">
        <f>HYPERLINK("http://www.worldcat.org/oclc/3851970","WorldCat Record")</f>
        <v/>
      </c>
      <c r="AW125" t="inlineStr">
        <is>
          <t>2865272226:eng</t>
        </is>
      </c>
      <c r="AX125" t="inlineStr">
        <is>
          <t>3851970</t>
        </is>
      </c>
      <c r="AY125" t="inlineStr">
        <is>
          <t>991000951969702656</t>
        </is>
      </c>
      <c r="AZ125" t="inlineStr">
        <is>
          <t>991000951969702656</t>
        </is>
      </c>
      <c r="BA125" t="inlineStr">
        <is>
          <t>2269079980002656</t>
        </is>
      </c>
      <c r="BB125" t="inlineStr">
        <is>
          <t>BOOK</t>
        </is>
      </c>
      <c r="BD125" t="inlineStr">
        <is>
          <t>9780917730184</t>
        </is>
      </c>
      <c r="BE125" t="inlineStr">
        <is>
          <t>30001000191603</t>
        </is>
      </c>
      <c r="BF125" t="inlineStr">
        <is>
          <t>893450634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QV38 A947a 2003</t>
        </is>
      </c>
      <c r="E126" t="inlineStr">
        <is>
          <t>0                      QV 0038000A  947a        2003</t>
        </is>
      </c>
      <c r="F126" t="inlineStr">
        <is>
          <t>Absorption and drug development : solubility, permeability, and charge state / Alex Avdeef.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Avdeef, Alex.</t>
        </is>
      </c>
      <c r="N126" t="inlineStr">
        <is>
          <t>Hoboken, N.J. : Wiley-Interscience, c2003.</t>
        </is>
      </c>
      <c r="O126" t="inlineStr">
        <is>
          <t>2003</t>
        </is>
      </c>
      <c r="Q126" t="inlineStr">
        <is>
          <t>eng</t>
        </is>
      </c>
      <c r="R126" t="inlineStr">
        <is>
          <t>nju</t>
        </is>
      </c>
      <c r="T126" t="inlineStr">
        <is>
          <t xml:space="preserve">QV </t>
        </is>
      </c>
      <c r="U126" t="n">
        <v>1</v>
      </c>
      <c r="V126" t="n">
        <v>1</v>
      </c>
      <c r="W126" t="inlineStr">
        <is>
          <t>2009-11-12</t>
        </is>
      </c>
      <c r="X126" t="inlineStr">
        <is>
          <t>2009-11-12</t>
        </is>
      </c>
      <c r="Y126" t="inlineStr">
        <is>
          <t>2004-11-16</t>
        </is>
      </c>
      <c r="Z126" t="inlineStr">
        <is>
          <t>2004-11-16</t>
        </is>
      </c>
      <c r="AA126" t="n">
        <v>132</v>
      </c>
      <c r="AB126" t="n">
        <v>79</v>
      </c>
      <c r="AC126" t="n">
        <v>591</v>
      </c>
      <c r="AD126" t="n">
        <v>1</v>
      </c>
      <c r="AE126" t="n">
        <v>5</v>
      </c>
      <c r="AF126" t="n">
        <v>3</v>
      </c>
      <c r="AG126" t="n">
        <v>26</v>
      </c>
      <c r="AH126" t="n">
        <v>2</v>
      </c>
      <c r="AI126" t="n">
        <v>9</v>
      </c>
      <c r="AJ126" t="n">
        <v>1</v>
      </c>
      <c r="AK126" t="n">
        <v>8</v>
      </c>
      <c r="AL126" t="n">
        <v>0</v>
      </c>
      <c r="AM126" t="n">
        <v>8</v>
      </c>
      <c r="AN126" t="n">
        <v>0</v>
      </c>
      <c r="AO126" t="n">
        <v>4</v>
      </c>
      <c r="AP126" t="n">
        <v>0</v>
      </c>
      <c r="AQ126" t="n">
        <v>1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HYPERLINK("http://catalog.hathitrust.org/Record/004336865","HathiTrust Record")</f>
        <v/>
      </c>
      <c r="AU126">
        <f>HYPERLINK("https://creighton-primo.hosted.exlibrisgroup.com/primo-explore/search?tab=default_tab&amp;search_scope=EVERYTHING&amp;vid=01CRU&amp;lang=en_US&amp;offset=0&amp;query=any,contains,991000411019702656","Catalog Record")</f>
        <v/>
      </c>
      <c r="AV126">
        <f>HYPERLINK("http://www.worldcat.org/oclc/52295258","WorldCat Record")</f>
        <v/>
      </c>
      <c r="AW126" t="inlineStr">
        <is>
          <t>836397320:eng</t>
        </is>
      </c>
      <c r="AX126" t="inlineStr">
        <is>
          <t>52295258</t>
        </is>
      </c>
      <c r="AY126" t="inlineStr">
        <is>
          <t>991000411019702656</t>
        </is>
      </c>
      <c r="AZ126" t="inlineStr">
        <is>
          <t>991000411019702656</t>
        </is>
      </c>
      <c r="BA126" t="inlineStr">
        <is>
          <t>2268520510002656</t>
        </is>
      </c>
      <c r="BB126" t="inlineStr">
        <is>
          <t>BOOK</t>
        </is>
      </c>
      <c r="BD126" t="inlineStr">
        <is>
          <t>9780471423652</t>
        </is>
      </c>
      <c r="BE126" t="inlineStr">
        <is>
          <t>30001004925386</t>
        </is>
      </c>
      <c r="BF126" t="inlineStr">
        <is>
          <t>893723438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QV 38 B615a 1990</t>
        </is>
      </c>
      <c r="E127" t="inlineStr">
        <is>
          <t>0                      QV 0038000B  615a        1990</t>
        </is>
      </c>
      <c r="F127" t="inlineStr">
        <is>
          <t>Advanced methods of pharmacokinetic and pharmacodynamic systems analysis / edited by David Z. D'Argenio.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Biomedical Simulations Resource Workshop on Advanced Methods of Pharmacokinetic and Pharmacodynamic Systems Analysis (1990 : Marina del Rey, Calif.)</t>
        </is>
      </c>
      <c r="N127" t="inlineStr">
        <is>
          <t>New York : Plenum Press, c1991.</t>
        </is>
      </c>
      <c r="O127" t="inlineStr">
        <is>
          <t>1991</t>
        </is>
      </c>
      <c r="Q127" t="inlineStr">
        <is>
          <t>eng</t>
        </is>
      </c>
      <c r="R127" t="inlineStr">
        <is>
          <t>nyu</t>
        </is>
      </c>
      <c r="T127" t="inlineStr">
        <is>
          <t xml:space="preserve">QV </t>
        </is>
      </c>
      <c r="U127" t="n">
        <v>6</v>
      </c>
      <c r="V127" t="n">
        <v>6</v>
      </c>
      <c r="W127" t="inlineStr">
        <is>
          <t>1996-01-25</t>
        </is>
      </c>
      <c r="X127" t="inlineStr">
        <is>
          <t>1996-01-25</t>
        </is>
      </c>
      <c r="Y127" t="inlineStr">
        <is>
          <t>1991-11-18</t>
        </is>
      </c>
      <c r="Z127" t="inlineStr">
        <is>
          <t>1991-11-18</t>
        </is>
      </c>
      <c r="AA127" t="n">
        <v>81</v>
      </c>
      <c r="AB127" t="n">
        <v>55</v>
      </c>
      <c r="AC127" t="n">
        <v>82</v>
      </c>
      <c r="AD127" t="n">
        <v>1</v>
      </c>
      <c r="AE127" t="n">
        <v>1</v>
      </c>
      <c r="AF127" t="n">
        <v>2</v>
      </c>
      <c r="AG127" t="n">
        <v>3</v>
      </c>
      <c r="AH127" t="n">
        <v>1</v>
      </c>
      <c r="AI127" t="n">
        <v>2</v>
      </c>
      <c r="AJ127" t="n">
        <v>1</v>
      </c>
      <c r="AK127" t="n">
        <v>1</v>
      </c>
      <c r="AL127" t="n">
        <v>1</v>
      </c>
      <c r="AM127" t="n">
        <v>2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HYPERLINK("https://creighton-primo.hosted.exlibrisgroup.com/primo-explore/search?tab=default_tab&amp;search_scope=EVERYTHING&amp;vid=01CRU&amp;lang=en_US&amp;offset=0&amp;query=any,contains,991001021499702656","Catalog Record")</f>
        <v/>
      </c>
      <c r="AV127">
        <f>HYPERLINK("http://www.worldcat.org/oclc/24065077","WorldCat Record")</f>
        <v/>
      </c>
      <c r="AW127" t="inlineStr">
        <is>
          <t>2864352969:eng</t>
        </is>
      </c>
      <c r="AX127" t="inlineStr">
        <is>
          <t>24065077</t>
        </is>
      </c>
      <c r="AY127" t="inlineStr">
        <is>
          <t>991001021499702656</t>
        </is>
      </c>
      <c r="AZ127" t="inlineStr">
        <is>
          <t>991001021499702656</t>
        </is>
      </c>
      <c r="BA127" t="inlineStr">
        <is>
          <t>2263933230002656</t>
        </is>
      </c>
      <c r="BB127" t="inlineStr">
        <is>
          <t>BOOK</t>
        </is>
      </c>
      <c r="BD127" t="inlineStr">
        <is>
          <t>9780306440281</t>
        </is>
      </c>
      <c r="BE127" t="inlineStr">
        <is>
          <t>30001002241828</t>
        </is>
      </c>
      <c r="BF127" t="inlineStr">
        <is>
          <t>893632668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QV 38 B775p 1986</t>
        </is>
      </c>
      <c r="E128" t="inlineStr">
        <is>
          <t>0                      QV 0038000B  775p        1986</t>
        </is>
      </c>
      <c r="F128" t="inlineStr">
        <is>
          <t>Pharmacokinetics for the non-mathematical / D.W.A. Bourne, E.J. Triggs, and M.J. Eadie.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Bourne, D. W. A. (David W. A.), 1946-</t>
        </is>
      </c>
      <c r="N128" t="inlineStr">
        <is>
          <t>Lancaster ; Boston : MTP Press, c1986.</t>
        </is>
      </c>
      <c r="O128" t="inlineStr">
        <is>
          <t>1986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QV </t>
        </is>
      </c>
      <c r="U128" t="n">
        <v>15</v>
      </c>
      <c r="V128" t="n">
        <v>15</v>
      </c>
      <c r="W128" t="inlineStr">
        <is>
          <t>2005-03-24</t>
        </is>
      </c>
      <c r="X128" t="inlineStr">
        <is>
          <t>2005-03-24</t>
        </is>
      </c>
      <c r="Y128" t="inlineStr">
        <is>
          <t>1988-01-28</t>
        </is>
      </c>
      <c r="Z128" t="inlineStr">
        <is>
          <t>1988-01-28</t>
        </is>
      </c>
      <c r="AA128" t="n">
        <v>128</v>
      </c>
      <c r="AB128" t="n">
        <v>74</v>
      </c>
      <c r="AC128" t="n">
        <v>74</v>
      </c>
      <c r="AD128" t="n">
        <v>1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HYPERLINK("https://creighton-primo.hosted.exlibrisgroup.com/primo-explore/search?tab=default_tab&amp;search_scope=EVERYTHING&amp;vid=01CRU&amp;lang=en_US&amp;offset=0&amp;query=any,contains,991000951929702656","Catalog Record")</f>
        <v/>
      </c>
      <c r="AV128">
        <f>HYPERLINK("http://www.worldcat.org/oclc/12977848","WorldCat Record")</f>
        <v/>
      </c>
      <c r="AW128" t="inlineStr">
        <is>
          <t>2029069:eng</t>
        </is>
      </c>
      <c r="AX128" t="inlineStr">
        <is>
          <t>12977848</t>
        </is>
      </c>
      <c r="AY128" t="inlineStr">
        <is>
          <t>991000951929702656</t>
        </is>
      </c>
      <c r="AZ128" t="inlineStr">
        <is>
          <t>991000951929702656</t>
        </is>
      </c>
      <c r="BA128" t="inlineStr">
        <is>
          <t>2270906800002656</t>
        </is>
      </c>
      <c r="BB128" t="inlineStr">
        <is>
          <t>BOOK</t>
        </is>
      </c>
      <c r="BD128" t="inlineStr">
        <is>
          <t>9780852007129</t>
        </is>
      </c>
      <c r="BE128" t="inlineStr">
        <is>
          <t>30001000191520</t>
        </is>
      </c>
      <c r="BF128" t="inlineStr">
        <is>
          <t>893284169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QV 38 B854d 1994</t>
        </is>
      </c>
      <c r="E129" t="inlineStr">
        <is>
          <t>0                      QV 0038000B  854d        1994</t>
        </is>
      </c>
      <c r="F129" t="inlineStr">
        <is>
          <t>Drugs in pregnancy and lactation : a reference guide to fetal and neonatal risk / Gerald G. Briggs, Roger K. Freeman, Sumner J. Yaffe.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Yes</t>
        </is>
      </c>
      <c r="L129" t="inlineStr">
        <is>
          <t>2</t>
        </is>
      </c>
      <c r="M129" t="inlineStr">
        <is>
          <t>Briggs, Gerald G.</t>
        </is>
      </c>
      <c r="N129" t="inlineStr">
        <is>
          <t>Baltimore : Williams &amp; Wilkins, c1994.</t>
        </is>
      </c>
      <c r="O129" t="inlineStr">
        <is>
          <t>1994</t>
        </is>
      </c>
      <c r="P129" t="inlineStr">
        <is>
          <t>4th ed.</t>
        </is>
      </c>
      <c r="Q129" t="inlineStr">
        <is>
          <t>eng</t>
        </is>
      </c>
      <c r="R129" t="inlineStr">
        <is>
          <t>mdu</t>
        </is>
      </c>
      <c r="T129" t="inlineStr">
        <is>
          <t xml:space="preserve">QV </t>
        </is>
      </c>
      <c r="U129" t="n">
        <v>32</v>
      </c>
      <c r="V129" t="n">
        <v>32</v>
      </c>
      <c r="W129" t="inlineStr">
        <is>
          <t>2001-06-19</t>
        </is>
      </c>
      <c r="X129" t="inlineStr">
        <is>
          <t>2001-06-19</t>
        </is>
      </c>
      <c r="Y129" t="inlineStr">
        <is>
          <t>1994-05-25</t>
        </is>
      </c>
      <c r="Z129" t="inlineStr">
        <is>
          <t>1994-05-25</t>
        </is>
      </c>
      <c r="AA129" t="n">
        <v>237</v>
      </c>
      <c r="AB129" t="n">
        <v>160</v>
      </c>
      <c r="AC129" t="n">
        <v>1284</v>
      </c>
      <c r="AD129" t="n">
        <v>2</v>
      </c>
      <c r="AE129" t="n">
        <v>16</v>
      </c>
      <c r="AF129" t="n">
        <v>2</v>
      </c>
      <c r="AG129" t="n">
        <v>50</v>
      </c>
      <c r="AH129" t="n">
        <v>1</v>
      </c>
      <c r="AI129" t="n">
        <v>16</v>
      </c>
      <c r="AJ129" t="n">
        <v>0</v>
      </c>
      <c r="AK129" t="n">
        <v>11</v>
      </c>
      <c r="AL129" t="n">
        <v>1</v>
      </c>
      <c r="AM129" t="n">
        <v>17</v>
      </c>
      <c r="AN129" t="n">
        <v>0</v>
      </c>
      <c r="AO129" t="n">
        <v>13</v>
      </c>
      <c r="AP129" t="n">
        <v>0</v>
      </c>
      <c r="AQ129" t="n">
        <v>2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HYPERLINK("https://creighton-primo.hosted.exlibrisgroup.com/primo-explore/search?tab=default_tab&amp;search_scope=EVERYTHING&amp;vid=01CRU&amp;lang=en_US&amp;offset=0&amp;query=any,contains,991001194779702656","Catalog Record")</f>
        <v/>
      </c>
      <c r="AV129">
        <f>HYPERLINK("http://www.worldcat.org/oclc/30376139","WorldCat Record")</f>
        <v/>
      </c>
      <c r="AW129" t="inlineStr">
        <is>
          <t>793832335:eng</t>
        </is>
      </c>
      <c r="AX129" t="inlineStr">
        <is>
          <t>30376139</t>
        </is>
      </c>
      <c r="AY129" t="inlineStr">
        <is>
          <t>991001194779702656</t>
        </is>
      </c>
      <c r="AZ129" t="inlineStr">
        <is>
          <t>991001194779702656</t>
        </is>
      </c>
      <c r="BA129" t="inlineStr">
        <is>
          <t>2259417500002656</t>
        </is>
      </c>
      <c r="BB129" t="inlineStr">
        <is>
          <t>BOOK</t>
        </is>
      </c>
      <c r="BD129" t="inlineStr">
        <is>
          <t>9780683010602</t>
        </is>
      </c>
      <c r="BE129" t="inlineStr">
        <is>
          <t>30001002984179</t>
        </is>
      </c>
      <c r="BF129" t="inlineStr">
        <is>
          <t>893450935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QV 38 B854d 1998</t>
        </is>
      </c>
      <c r="E130" t="inlineStr">
        <is>
          <t>0                      QV 0038000B  854d        1998</t>
        </is>
      </c>
      <c r="F130" t="inlineStr">
        <is>
          <t>Drugs in pregnancy and lactation : a reference guide to fetal and neonatal risk / Gerald G. Briggs, Roger K. Freeman, Sumner J. Yaffe.</t>
        </is>
      </c>
      <c r="H130" t="inlineStr">
        <is>
          <t>No</t>
        </is>
      </c>
      <c r="I130" t="inlineStr">
        <is>
          <t>2</t>
        </is>
      </c>
      <c r="J130" t="inlineStr">
        <is>
          <t>No</t>
        </is>
      </c>
      <c r="K130" t="inlineStr">
        <is>
          <t>Yes</t>
        </is>
      </c>
      <c r="L130" t="inlineStr">
        <is>
          <t>2</t>
        </is>
      </c>
      <c r="M130" t="inlineStr">
        <is>
          <t>Briggs, Gerald G.</t>
        </is>
      </c>
      <c r="N130" t="inlineStr">
        <is>
          <t>Baltimore : Williams &amp; Wilkins, c1998.</t>
        </is>
      </c>
      <c r="O130" t="inlineStr">
        <is>
          <t>1998</t>
        </is>
      </c>
      <c r="P130" t="inlineStr">
        <is>
          <t>5th ed.</t>
        </is>
      </c>
      <c r="Q130" t="inlineStr">
        <is>
          <t>eng</t>
        </is>
      </c>
      <c r="R130" t="inlineStr">
        <is>
          <t>mdu</t>
        </is>
      </c>
      <c r="T130" t="inlineStr">
        <is>
          <t xml:space="preserve">QV </t>
        </is>
      </c>
      <c r="U130" t="n">
        <v>95</v>
      </c>
      <c r="V130" t="n">
        <v>95</v>
      </c>
      <c r="W130" t="inlineStr">
        <is>
          <t>1999-05-04</t>
        </is>
      </c>
      <c r="X130" t="inlineStr">
        <is>
          <t>1999-05-04</t>
        </is>
      </c>
      <c r="Y130" t="inlineStr">
        <is>
          <t>1998-10-29</t>
        </is>
      </c>
      <c r="Z130" t="inlineStr">
        <is>
          <t>1998-10-29</t>
        </is>
      </c>
      <c r="AA130" t="n">
        <v>245</v>
      </c>
      <c r="AB130" t="n">
        <v>175</v>
      </c>
      <c r="AC130" t="n">
        <v>1284</v>
      </c>
      <c r="AD130" t="n">
        <v>3</v>
      </c>
      <c r="AE130" t="n">
        <v>16</v>
      </c>
      <c r="AF130" t="n">
        <v>6</v>
      </c>
      <c r="AG130" t="n">
        <v>50</v>
      </c>
      <c r="AH130" t="n">
        <v>3</v>
      </c>
      <c r="AI130" t="n">
        <v>16</v>
      </c>
      <c r="AJ130" t="n">
        <v>1</v>
      </c>
      <c r="AK130" t="n">
        <v>11</v>
      </c>
      <c r="AL130" t="n">
        <v>2</v>
      </c>
      <c r="AM130" t="n">
        <v>17</v>
      </c>
      <c r="AN130" t="n">
        <v>1</v>
      </c>
      <c r="AO130" t="n">
        <v>13</v>
      </c>
      <c r="AP130" t="n">
        <v>0</v>
      </c>
      <c r="AQ130" t="n">
        <v>2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HYPERLINK("https://creighton-primo.hosted.exlibrisgroup.com/primo-explore/search?tab=default_tab&amp;search_scope=EVERYTHING&amp;vid=01CRU&amp;lang=en_US&amp;offset=0&amp;query=any,contains,991000666659702656","Catalog Record")</f>
        <v/>
      </c>
      <c r="AV130">
        <f>HYPERLINK("http://www.worldcat.org/oclc/38016987","WorldCat Record")</f>
        <v/>
      </c>
      <c r="AW130" t="inlineStr">
        <is>
          <t>793832335:eng</t>
        </is>
      </c>
      <c r="AX130" t="inlineStr">
        <is>
          <t>38016987</t>
        </is>
      </c>
      <c r="AY130" t="inlineStr">
        <is>
          <t>991000666659702656</t>
        </is>
      </c>
      <c r="AZ130" t="inlineStr">
        <is>
          <t>991000666659702656</t>
        </is>
      </c>
      <c r="BA130" t="inlineStr">
        <is>
          <t>2266950200002656</t>
        </is>
      </c>
      <c r="BB130" t="inlineStr">
        <is>
          <t>BOOK</t>
        </is>
      </c>
      <c r="BD130" t="inlineStr">
        <is>
          <t>9780683302622</t>
        </is>
      </c>
      <c r="BE130" t="inlineStr">
        <is>
          <t>30001004036358</t>
        </is>
      </c>
      <c r="BF130" t="inlineStr">
        <is>
          <t>893357311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QV 38 C641 1989</t>
        </is>
      </c>
      <c r="E131" t="inlineStr">
        <is>
          <t>0                      QV 0038000C  641         1989</t>
        </is>
      </c>
      <c r="F131" t="inlineStr">
        <is>
          <t>Clinical pharmacokinetics : Drug data handbook 1989.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N131" t="inlineStr">
        <is>
          <t>Auckland, New Zealand : ADIS Press, c1989.</t>
        </is>
      </c>
      <c r="O131" t="inlineStr">
        <is>
          <t>1989</t>
        </is>
      </c>
      <c r="Q131" t="inlineStr">
        <is>
          <t>eng</t>
        </is>
      </c>
      <c r="R131" t="inlineStr">
        <is>
          <t xml:space="preserve">nz </t>
        </is>
      </c>
      <c r="T131" t="inlineStr">
        <is>
          <t xml:space="preserve">QV </t>
        </is>
      </c>
      <c r="U131" t="n">
        <v>6</v>
      </c>
      <c r="V131" t="n">
        <v>6</v>
      </c>
      <c r="W131" t="inlineStr">
        <is>
          <t>1989-04-12</t>
        </is>
      </c>
      <c r="X131" t="inlineStr">
        <is>
          <t>1989-04-12</t>
        </is>
      </c>
      <c r="Y131" t="inlineStr">
        <is>
          <t>1989-04-12</t>
        </is>
      </c>
      <c r="Z131" t="inlineStr">
        <is>
          <t>1989-04-12</t>
        </is>
      </c>
      <c r="AA131" t="n">
        <v>19</v>
      </c>
      <c r="AB131" t="n">
        <v>11</v>
      </c>
      <c r="AC131" t="n">
        <v>11</v>
      </c>
      <c r="AD131" t="n">
        <v>1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HYPERLINK("https://creighton-primo.hosted.exlibrisgroup.com/primo-explore/search?tab=default_tab&amp;search_scope=EVERYTHING&amp;vid=01CRU&amp;lang=en_US&amp;offset=0&amp;query=any,contains,991001282539702656","Catalog Record")</f>
        <v/>
      </c>
      <c r="AV131">
        <f>HYPERLINK("http://www.worldcat.org/oclc/19497025","WorldCat Record")</f>
        <v/>
      </c>
      <c r="AW131" t="inlineStr">
        <is>
          <t>2452465082:eng</t>
        </is>
      </c>
      <c r="AX131" t="inlineStr">
        <is>
          <t>19497025</t>
        </is>
      </c>
      <c r="AY131" t="inlineStr">
        <is>
          <t>991001282539702656</t>
        </is>
      </c>
      <c r="AZ131" t="inlineStr">
        <is>
          <t>991001282539702656</t>
        </is>
      </c>
      <c r="BA131" t="inlineStr">
        <is>
          <t>2268708880002656</t>
        </is>
      </c>
      <c r="BB131" t="inlineStr">
        <is>
          <t>BOOK</t>
        </is>
      </c>
      <c r="BE131" t="inlineStr">
        <is>
          <t>30001001706235</t>
        </is>
      </c>
      <c r="BF131" t="inlineStr">
        <is>
          <t>893638180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QV 38 C6413 1988</t>
        </is>
      </c>
      <c r="E132" t="inlineStr">
        <is>
          <t>0                      QV 0038000C  6413        1988</t>
        </is>
      </c>
      <c r="F132" t="inlineStr">
        <is>
          <t>Clinical pharmacology and nursing / [edited by] Charold L. Baer, Bradley R. Williams.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Springhouse, Pa. : Springhouse Pub. Co., c1988.</t>
        </is>
      </c>
      <c r="O132" t="inlineStr">
        <is>
          <t>1988</t>
        </is>
      </c>
      <c r="Q132" t="inlineStr">
        <is>
          <t>eng</t>
        </is>
      </c>
      <c r="R132" t="inlineStr">
        <is>
          <t>xxu</t>
        </is>
      </c>
      <c r="T132" t="inlineStr">
        <is>
          <t xml:space="preserve">QV </t>
        </is>
      </c>
      <c r="U132" t="n">
        <v>9</v>
      </c>
      <c r="V132" t="n">
        <v>9</v>
      </c>
      <c r="W132" t="inlineStr">
        <is>
          <t>2005-11-16</t>
        </is>
      </c>
      <c r="X132" t="inlineStr">
        <is>
          <t>2005-11-16</t>
        </is>
      </c>
      <c r="Y132" t="inlineStr">
        <is>
          <t>1988-07-08</t>
        </is>
      </c>
      <c r="Z132" t="inlineStr">
        <is>
          <t>1988-07-08</t>
        </is>
      </c>
      <c r="AA132" t="n">
        <v>130</v>
      </c>
      <c r="AB132" t="n">
        <v>110</v>
      </c>
      <c r="AC132" t="n">
        <v>259</v>
      </c>
      <c r="AD132" t="n">
        <v>1</v>
      </c>
      <c r="AE132" t="n">
        <v>2</v>
      </c>
      <c r="AF132" t="n">
        <v>1</v>
      </c>
      <c r="AG132" t="n">
        <v>6</v>
      </c>
      <c r="AH132" t="n">
        <v>1</v>
      </c>
      <c r="AI132" t="n">
        <v>3</v>
      </c>
      <c r="AJ132" t="n">
        <v>0</v>
      </c>
      <c r="AK132" t="n">
        <v>2</v>
      </c>
      <c r="AL132" t="n">
        <v>1</v>
      </c>
      <c r="AM132" t="n">
        <v>3</v>
      </c>
      <c r="AN132" t="n">
        <v>0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HYPERLINK("https://creighton-primo.hosted.exlibrisgroup.com/primo-explore/search?tab=default_tab&amp;search_scope=EVERYTHING&amp;vid=01CRU&amp;lang=en_US&amp;offset=0&amp;query=any,contains,991001417319702656","Catalog Record")</f>
        <v/>
      </c>
      <c r="AV132">
        <f>HYPERLINK("http://www.worldcat.org/oclc/16950645","WorldCat Record")</f>
        <v/>
      </c>
      <c r="AW132" t="inlineStr">
        <is>
          <t>394931701:eng</t>
        </is>
      </c>
      <c r="AX132" t="inlineStr">
        <is>
          <t>16950645</t>
        </is>
      </c>
      <c r="AY132" t="inlineStr">
        <is>
          <t>991001417319702656</t>
        </is>
      </c>
      <c r="AZ132" t="inlineStr">
        <is>
          <t>991001417319702656</t>
        </is>
      </c>
      <c r="BA132" t="inlineStr">
        <is>
          <t>2262944940002656</t>
        </is>
      </c>
      <c r="BB132" t="inlineStr">
        <is>
          <t>BOOK</t>
        </is>
      </c>
      <c r="BD132" t="inlineStr">
        <is>
          <t>9780874341379</t>
        </is>
      </c>
      <c r="BE132" t="inlineStr">
        <is>
          <t>30001001181124</t>
        </is>
      </c>
      <c r="BF132" t="inlineStr">
        <is>
          <t>893638299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QV 38 C6417 1985</t>
        </is>
      </c>
      <c r="E133" t="inlineStr">
        <is>
          <t>0                      QV 0038000C  6417        1985</t>
        </is>
      </c>
      <c r="F133" t="inlineStr">
        <is>
          <t>Clinical pharmacology and therapeutics in nursing.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New York : McGraw-Hill, c1985.</t>
        </is>
      </c>
      <c r="O133" t="inlineStr">
        <is>
          <t>1985</t>
        </is>
      </c>
      <c r="P133" t="inlineStr">
        <is>
          <t>2nd ed. / [edited by] Mathew B. Wiener, Ginette A. Pepper.</t>
        </is>
      </c>
      <c r="Q133" t="inlineStr">
        <is>
          <t>eng</t>
        </is>
      </c>
      <c r="R133" t="inlineStr">
        <is>
          <t>xxu</t>
        </is>
      </c>
      <c r="T133" t="inlineStr">
        <is>
          <t xml:space="preserve">QV </t>
        </is>
      </c>
      <c r="U133" t="n">
        <v>8</v>
      </c>
      <c r="V133" t="n">
        <v>8</v>
      </c>
      <c r="W133" t="inlineStr">
        <is>
          <t>1989-11-20</t>
        </is>
      </c>
      <c r="X133" t="inlineStr">
        <is>
          <t>1989-11-20</t>
        </is>
      </c>
      <c r="Y133" t="inlineStr">
        <is>
          <t>1988-10-26</t>
        </is>
      </c>
      <c r="Z133" t="inlineStr">
        <is>
          <t>1988-10-26</t>
        </is>
      </c>
      <c r="AA133" t="n">
        <v>177</v>
      </c>
      <c r="AB133" t="n">
        <v>151</v>
      </c>
      <c r="AC133" t="n">
        <v>241</v>
      </c>
      <c r="AD133" t="n">
        <v>1</v>
      </c>
      <c r="AE133" t="n">
        <v>2</v>
      </c>
      <c r="AF133" t="n">
        <v>4</v>
      </c>
      <c r="AG133" t="n">
        <v>6</v>
      </c>
      <c r="AH133" t="n">
        <v>1</v>
      </c>
      <c r="AI133" t="n">
        <v>1</v>
      </c>
      <c r="AJ133" t="n">
        <v>1</v>
      </c>
      <c r="AK133" t="n">
        <v>1</v>
      </c>
      <c r="AL133" t="n">
        <v>3</v>
      </c>
      <c r="AM133" t="n">
        <v>4</v>
      </c>
      <c r="AN133" t="n">
        <v>0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HYPERLINK("http://catalog.hathitrust.org/Record/000462030","HathiTrust Record")</f>
        <v/>
      </c>
      <c r="AU133">
        <f>HYPERLINK("https://creighton-primo.hosted.exlibrisgroup.com/primo-explore/search?tab=default_tab&amp;search_scope=EVERYTHING&amp;vid=01CRU&amp;lang=en_US&amp;offset=0&amp;query=any,contains,991001102529702656","Catalog Record")</f>
        <v/>
      </c>
      <c r="AV133">
        <f>HYPERLINK("http://www.worldcat.org/oclc/11470058","WorldCat Record")</f>
        <v/>
      </c>
      <c r="AW133" t="inlineStr">
        <is>
          <t>54264185:eng</t>
        </is>
      </c>
      <c r="AX133" t="inlineStr">
        <is>
          <t>11470058</t>
        </is>
      </c>
      <c r="AY133" t="inlineStr">
        <is>
          <t>991001102529702656</t>
        </is>
      </c>
      <c r="AZ133" t="inlineStr">
        <is>
          <t>991001102529702656</t>
        </is>
      </c>
      <c r="BA133" t="inlineStr">
        <is>
          <t>2267751640002656</t>
        </is>
      </c>
      <c r="BB133" t="inlineStr">
        <is>
          <t>BOOK</t>
        </is>
      </c>
      <c r="BD133" t="inlineStr">
        <is>
          <t>9780070701632</t>
        </is>
      </c>
      <c r="BE133" t="inlineStr">
        <is>
          <t>30001001610015</t>
        </is>
      </c>
      <c r="BF133" t="inlineStr">
        <is>
          <t>893377105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QV 38 C855m 1994</t>
        </is>
      </c>
      <c r="E134" t="inlineStr">
        <is>
          <t>0                      QV 0038000C  855m        1994</t>
        </is>
      </c>
      <c r="F134" t="inlineStr">
        <is>
          <t>Molecular mechanisms of drug action / Christopher J. Coulson.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Coulson, Christopher J.</t>
        </is>
      </c>
      <c r="N134" t="inlineStr">
        <is>
          <t>London ; Bristol, Pa. : Taylor &amp; Francis, c1994.</t>
        </is>
      </c>
      <c r="O134" t="inlineStr">
        <is>
          <t>1994</t>
        </is>
      </c>
      <c r="P134" t="inlineStr">
        <is>
          <t>2nd ed.</t>
        </is>
      </c>
      <c r="Q134" t="inlineStr">
        <is>
          <t>eng</t>
        </is>
      </c>
      <c r="R134" t="inlineStr">
        <is>
          <t>enk</t>
        </is>
      </c>
      <c r="T134" t="inlineStr">
        <is>
          <t xml:space="preserve">QV </t>
        </is>
      </c>
      <c r="U134" t="n">
        <v>6</v>
      </c>
      <c r="V134" t="n">
        <v>6</v>
      </c>
      <c r="W134" t="inlineStr">
        <is>
          <t>1997-11-29</t>
        </is>
      </c>
      <c r="X134" t="inlineStr">
        <is>
          <t>1997-11-29</t>
        </is>
      </c>
      <c r="Y134" t="inlineStr">
        <is>
          <t>1995-02-22</t>
        </is>
      </c>
      <c r="Z134" t="inlineStr">
        <is>
          <t>1995-02-22</t>
        </is>
      </c>
      <c r="AA134" t="n">
        <v>168</v>
      </c>
      <c r="AB134" t="n">
        <v>86</v>
      </c>
      <c r="AC134" t="n">
        <v>214</v>
      </c>
      <c r="AD134" t="n">
        <v>1</v>
      </c>
      <c r="AE134" t="n">
        <v>1</v>
      </c>
      <c r="AF134" t="n">
        <v>2</v>
      </c>
      <c r="AG134" t="n">
        <v>6</v>
      </c>
      <c r="AH134" t="n">
        <v>1</v>
      </c>
      <c r="AI134" t="n">
        <v>3</v>
      </c>
      <c r="AJ134" t="n">
        <v>1</v>
      </c>
      <c r="AK134" t="n">
        <v>1</v>
      </c>
      <c r="AL134" t="n">
        <v>0</v>
      </c>
      <c r="AM134" t="n">
        <v>2</v>
      </c>
      <c r="AN134" t="n">
        <v>0</v>
      </c>
      <c r="AO134" t="n">
        <v>0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HYPERLINK("https://creighton-primo.hosted.exlibrisgroup.com/primo-explore/search?tab=default_tab&amp;search_scope=EVERYTHING&amp;vid=01CRU&amp;lang=en_US&amp;offset=0&amp;query=any,contains,991001396399702656","Catalog Record")</f>
        <v/>
      </c>
      <c r="AV134">
        <f>HYPERLINK("http://www.worldcat.org/oclc/28802065","WorldCat Record")</f>
        <v/>
      </c>
      <c r="AW134" t="inlineStr">
        <is>
          <t>9231695:eng</t>
        </is>
      </c>
      <c r="AX134" t="inlineStr">
        <is>
          <t>28802065</t>
        </is>
      </c>
      <c r="AY134" t="inlineStr">
        <is>
          <t>991001396399702656</t>
        </is>
      </c>
      <c r="AZ134" t="inlineStr">
        <is>
          <t>991001396399702656</t>
        </is>
      </c>
      <c r="BA134" t="inlineStr">
        <is>
          <t>2257448950002656</t>
        </is>
      </c>
      <c r="BB134" t="inlineStr">
        <is>
          <t>BOOK</t>
        </is>
      </c>
      <c r="BD134" t="inlineStr">
        <is>
          <t>9780748400683</t>
        </is>
      </c>
      <c r="BE134" t="inlineStr">
        <is>
          <t>30001003146141</t>
        </is>
      </c>
      <c r="BF134" t="inlineStr">
        <is>
          <t>893284750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QV 38 C976d 1980</t>
        </is>
      </c>
      <c r="E135" t="inlineStr">
        <is>
          <t>0                      QV 0038000C  976d        1980</t>
        </is>
      </c>
      <c r="F135" t="inlineStr">
        <is>
          <t>Drug disposition and pharmacokinetics : with a consideration of pharmacological and clinical relationships / Stephen H. Curry.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Curry, Stephen H.</t>
        </is>
      </c>
      <c r="N135" t="inlineStr">
        <is>
          <t>Oxford ; Boston : Blackwell Scientific, 1980.</t>
        </is>
      </c>
      <c r="O135" t="inlineStr">
        <is>
          <t>1980</t>
        </is>
      </c>
      <c r="P135" t="inlineStr">
        <is>
          <t>3rd ed.</t>
        </is>
      </c>
      <c r="Q135" t="inlineStr">
        <is>
          <t>eng</t>
        </is>
      </c>
      <c r="R135" t="inlineStr">
        <is>
          <t>enk</t>
        </is>
      </c>
      <c r="T135" t="inlineStr">
        <is>
          <t xml:space="preserve">QV </t>
        </is>
      </c>
      <c r="U135" t="n">
        <v>9</v>
      </c>
      <c r="V135" t="n">
        <v>9</v>
      </c>
      <c r="W135" t="inlineStr">
        <is>
          <t>1989-11-03</t>
        </is>
      </c>
      <c r="X135" t="inlineStr">
        <is>
          <t>1989-11-03</t>
        </is>
      </c>
      <c r="Y135" t="inlineStr">
        <is>
          <t>1988-01-28</t>
        </is>
      </c>
      <c r="Z135" t="inlineStr">
        <is>
          <t>1988-01-28</t>
        </is>
      </c>
      <c r="AA135" t="n">
        <v>112</v>
      </c>
      <c r="AB135" t="n">
        <v>67</v>
      </c>
      <c r="AC135" t="n">
        <v>229</v>
      </c>
      <c r="AD135" t="n">
        <v>1</v>
      </c>
      <c r="AE135" t="n">
        <v>1</v>
      </c>
      <c r="AF135" t="n">
        <v>1</v>
      </c>
      <c r="AG135" t="n">
        <v>6</v>
      </c>
      <c r="AH135" t="n">
        <v>1</v>
      </c>
      <c r="AI135" t="n">
        <v>3</v>
      </c>
      <c r="AJ135" t="n">
        <v>0</v>
      </c>
      <c r="AK135" t="n">
        <v>3</v>
      </c>
      <c r="AL135" t="n">
        <v>0</v>
      </c>
      <c r="AM135" t="n">
        <v>2</v>
      </c>
      <c r="AN135" t="n">
        <v>0</v>
      </c>
      <c r="AO135" t="n">
        <v>0</v>
      </c>
      <c r="AP135" t="n">
        <v>0</v>
      </c>
      <c r="AQ135" t="n">
        <v>0</v>
      </c>
      <c r="AR135" t="inlineStr">
        <is>
          <t>No</t>
        </is>
      </c>
      <c r="AS135" t="inlineStr">
        <is>
          <t>No</t>
        </is>
      </c>
      <c r="AU135">
        <f>HYPERLINK("https://creighton-primo.hosted.exlibrisgroup.com/primo-explore/search?tab=default_tab&amp;search_scope=EVERYTHING&amp;vid=01CRU&amp;lang=en_US&amp;offset=0&amp;query=any,contains,991001097489702656","Catalog Record")</f>
        <v/>
      </c>
      <c r="AV135">
        <f>HYPERLINK("http://www.worldcat.org/oclc/7736884","WorldCat Record")</f>
        <v/>
      </c>
      <c r="AW135" t="inlineStr">
        <is>
          <t>2272931:eng</t>
        </is>
      </c>
      <c r="AX135" t="inlineStr">
        <is>
          <t>7736884</t>
        </is>
      </c>
      <c r="AY135" t="inlineStr">
        <is>
          <t>991001097489702656</t>
        </is>
      </c>
      <c r="AZ135" t="inlineStr">
        <is>
          <t>991001097489702656</t>
        </is>
      </c>
      <c r="BA135" t="inlineStr">
        <is>
          <t>2262956870002656</t>
        </is>
      </c>
      <c r="BB135" t="inlineStr">
        <is>
          <t>BOOK</t>
        </is>
      </c>
      <c r="BD135" t="inlineStr">
        <is>
          <t>9780632006397</t>
        </is>
      </c>
      <c r="BE135" t="inlineStr">
        <is>
          <t>30001000268492</t>
        </is>
      </c>
      <c r="BF135" t="inlineStr">
        <is>
          <t>893820899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QV 38 D7967f 2001</t>
        </is>
      </c>
      <c r="E136" t="inlineStr">
        <is>
          <t>0                      QV 0038000D  7967f       2001</t>
        </is>
      </c>
      <c r="F136" t="inlineStr">
        <is>
          <t>The forensic pharmacology of drugs of abuse / Olaf H. Drummer ; with a contribution by Morris Odell.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Drummer, Olaf H.</t>
        </is>
      </c>
      <c r="N136" t="inlineStr">
        <is>
          <t>London : Arnold ; New York : Oxford University Press [distributor], 2001.</t>
        </is>
      </c>
      <c r="O136" t="inlineStr">
        <is>
          <t>2001</t>
        </is>
      </c>
      <c r="Q136" t="inlineStr">
        <is>
          <t>eng</t>
        </is>
      </c>
      <c r="R136" t="inlineStr">
        <is>
          <t>enk</t>
        </is>
      </c>
      <c r="T136" t="inlineStr">
        <is>
          <t xml:space="preserve">QV </t>
        </is>
      </c>
      <c r="U136" t="n">
        <v>1</v>
      </c>
      <c r="V136" t="n">
        <v>1</v>
      </c>
      <c r="W136" t="inlineStr">
        <is>
          <t>2003-01-27</t>
        </is>
      </c>
      <c r="X136" t="inlineStr">
        <is>
          <t>2003-01-27</t>
        </is>
      </c>
      <c r="Y136" t="inlineStr">
        <is>
          <t>2003-01-24</t>
        </is>
      </c>
      <c r="Z136" t="inlineStr">
        <is>
          <t>2003-01-24</t>
        </is>
      </c>
      <c r="AA136" t="n">
        <v>146</v>
      </c>
      <c r="AB136" t="n">
        <v>83</v>
      </c>
      <c r="AC136" t="n">
        <v>88</v>
      </c>
      <c r="AD136" t="n">
        <v>1</v>
      </c>
      <c r="AE136" t="n">
        <v>1</v>
      </c>
      <c r="AF136" t="n">
        <v>5</v>
      </c>
      <c r="AG136" t="n">
        <v>5</v>
      </c>
      <c r="AH136" t="n">
        <v>1</v>
      </c>
      <c r="AI136" t="n">
        <v>1</v>
      </c>
      <c r="AJ136" t="n">
        <v>0</v>
      </c>
      <c r="AK136" t="n">
        <v>0</v>
      </c>
      <c r="AL136" t="n">
        <v>2</v>
      </c>
      <c r="AM136" t="n">
        <v>2</v>
      </c>
      <c r="AN136" t="n">
        <v>0</v>
      </c>
      <c r="AO136" t="n">
        <v>0</v>
      </c>
      <c r="AP136" t="n">
        <v>2</v>
      </c>
      <c r="AQ136" t="n">
        <v>2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HYPERLINK("https://creighton-primo.hosted.exlibrisgroup.com/primo-explore/search?tab=default_tab&amp;search_scope=EVERYTHING&amp;vid=01CRU&amp;lang=en_US&amp;offset=0&amp;query=any,contains,991000336329702656","Catalog Record")</f>
        <v/>
      </c>
      <c r="AV136">
        <f>HYPERLINK("http://www.worldcat.org/oclc/48127583","WorldCat Record")</f>
        <v/>
      </c>
      <c r="AW136" t="inlineStr">
        <is>
          <t>37503096:eng</t>
        </is>
      </c>
      <c r="AX136" t="inlineStr">
        <is>
          <t>48127583</t>
        </is>
      </c>
      <c r="AY136" t="inlineStr">
        <is>
          <t>991000336329702656</t>
        </is>
      </c>
      <c r="AZ136" t="inlineStr">
        <is>
          <t>991000336329702656</t>
        </is>
      </c>
      <c r="BA136" t="inlineStr">
        <is>
          <t>2256846670002656</t>
        </is>
      </c>
      <c r="BB136" t="inlineStr">
        <is>
          <t>BOOK</t>
        </is>
      </c>
      <c r="BD136" t="inlineStr">
        <is>
          <t>9780340762578</t>
        </is>
      </c>
      <c r="BE136" t="inlineStr">
        <is>
          <t>30001004571818</t>
        </is>
      </c>
      <c r="BF136" t="inlineStr">
        <is>
          <t>893122997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QV38 E24p 2000</t>
        </is>
      </c>
      <c r="E137" t="inlineStr">
        <is>
          <t>0                      QV 0038000E  24p         2000</t>
        </is>
      </c>
      <c r="F137" t="inlineStr">
        <is>
          <t>Pharmacology for the primary care provider / Marilyn Winterton Edmunds, Maren Stewart Mayhew.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Edmunds, Marilyn W.</t>
        </is>
      </c>
      <c r="N137" t="inlineStr">
        <is>
          <t>St. Louis, Mo. : Mosby, c2000.</t>
        </is>
      </c>
      <c r="O137" t="inlineStr">
        <is>
          <t>2000</t>
        </is>
      </c>
      <c r="Q137" t="inlineStr">
        <is>
          <t>eng</t>
        </is>
      </c>
      <c r="R137" t="inlineStr">
        <is>
          <t>mou</t>
        </is>
      </c>
      <c r="T137" t="inlineStr">
        <is>
          <t xml:space="preserve">QV </t>
        </is>
      </c>
      <c r="U137" t="n">
        <v>0</v>
      </c>
      <c r="V137" t="n">
        <v>0</v>
      </c>
      <c r="W137" t="inlineStr">
        <is>
          <t>2002-10-17</t>
        </is>
      </c>
      <c r="X137" t="inlineStr">
        <is>
          <t>2002-10-17</t>
        </is>
      </c>
      <c r="Y137" t="inlineStr">
        <is>
          <t>2002-06-26</t>
        </is>
      </c>
      <c r="Z137" t="inlineStr">
        <is>
          <t>2002-06-26</t>
        </is>
      </c>
      <c r="AA137" t="n">
        <v>175</v>
      </c>
      <c r="AB137" t="n">
        <v>137</v>
      </c>
      <c r="AC137" t="n">
        <v>388</v>
      </c>
      <c r="AD137" t="n">
        <v>1</v>
      </c>
      <c r="AE137" t="n">
        <v>2</v>
      </c>
      <c r="AF137" t="n">
        <v>5</v>
      </c>
      <c r="AG137" t="n">
        <v>17</v>
      </c>
      <c r="AH137" t="n">
        <v>3</v>
      </c>
      <c r="AI137" t="n">
        <v>9</v>
      </c>
      <c r="AJ137" t="n">
        <v>1</v>
      </c>
      <c r="AK137" t="n">
        <v>3</v>
      </c>
      <c r="AL137" t="n">
        <v>3</v>
      </c>
      <c r="AM137" t="n">
        <v>8</v>
      </c>
      <c r="AN137" t="n">
        <v>0</v>
      </c>
      <c r="AO137" t="n">
        <v>1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HYPERLINK("http://catalog.hathitrust.org/Record/004068834","HathiTrust Record")</f>
        <v/>
      </c>
      <c r="AU137">
        <f>HYPERLINK("https://creighton-primo.hosted.exlibrisgroup.com/primo-explore/search?tab=default_tab&amp;search_scope=EVERYTHING&amp;vid=01CRU&amp;lang=en_US&amp;offset=0&amp;query=any,contains,991000318459702656","Catalog Record")</f>
        <v/>
      </c>
      <c r="AV137">
        <f>HYPERLINK("http://www.worldcat.org/oclc/42621166","WorldCat Record")</f>
        <v/>
      </c>
      <c r="AW137" t="inlineStr">
        <is>
          <t>1004930:eng</t>
        </is>
      </c>
      <c r="AX137" t="inlineStr">
        <is>
          <t>42621166</t>
        </is>
      </c>
      <c r="AY137" t="inlineStr">
        <is>
          <t>991000318459702656</t>
        </is>
      </c>
      <c r="AZ137" t="inlineStr">
        <is>
          <t>991000318459702656</t>
        </is>
      </c>
      <c r="BA137" t="inlineStr">
        <is>
          <t>2258381430002656</t>
        </is>
      </c>
      <c r="BB137" t="inlineStr">
        <is>
          <t>BOOK</t>
        </is>
      </c>
      <c r="BD137" t="inlineStr">
        <is>
          <t>9780815130925</t>
        </is>
      </c>
      <c r="BE137" t="inlineStr">
        <is>
          <t>30001004239754</t>
        </is>
      </c>
      <c r="BF137" t="inlineStr">
        <is>
          <t>893461341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QV 38 E774 1998</t>
        </is>
      </c>
      <c r="E138" t="inlineStr">
        <is>
          <t>0                      QV 0038000E  774         1998</t>
        </is>
      </c>
      <c r="F138" t="inlineStr">
        <is>
          <t>Essentials of clinical pharmacology in nursing / [edited by] Bradley R. Williams, Charold L. Baer.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Springhouse, Pa. : Springhouse Corp., c1998.</t>
        </is>
      </c>
      <c r="O138" t="inlineStr">
        <is>
          <t>1998</t>
        </is>
      </c>
      <c r="P138" t="inlineStr">
        <is>
          <t>3rd ed.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QV </t>
        </is>
      </c>
      <c r="U138" t="n">
        <v>13</v>
      </c>
      <c r="V138" t="n">
        <v>13</v>
      </c>
      <c r="W138" t="inlineStr">
        <is>
          <t>2001-08-07</t>
        </is>
      </c>
      <c r="X138" t="inlineStr">
        <is>
          <t>2001-08-07</t>
        </is>
      </c>
      <c r="Y138" t="inlineStr">
        <is>
          <t>1999-11-04</t>
        </is>
      </c>
      <c r="Z138" t="inlineStr">
        <is>
          <t>1999-11-04</t>
        </is>
      </c>
      <c r="AA138" t="n">
        <v>110</v>
      </c>
      <c r="AB138" t="n">
        <v>89</v>
      </c>
      <c r="AC138" t="n">
        <v>227</v>
      </c>
      <c r="AD138" t="n">
        <v>1</v>
      </c>
      <c r="AE138" t="n">
        <v>2</v>
      </c>
      <c r="AF138" t="n">
        <v>2</v>
      </c>
      <c r="AG138" t="n">
        <v>7</v>
      </c>
      <c r="AH138" t="n">
        <v>1</v>
      </c>
      <c r="AI138" t="n">
        <v>4</v>
      </c>
      <c r="AJ138" t="n">
        <v>0</v>
      </c>
      <c r="AK138" t="n">
        <v>1</v>
      </c>
      <c r="AL138" t="n">
        <v>1</v>
      </c>
      <c r="AM138" t="n">
        <v>3</v>
      </c>
      <c r="AN138" t="n">
        <v>0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HYPERLINK("http://catalog.hathitrust.org/Record/003973057","HathiTrust Record")</f>
        <v/>
      </c>
      <c r="AU138">
        <f>HYPERLINK("https://creighton-primo.hosted.exlibrisgroup.com/primo-explore/search?tab=default_tab&amp;search_scope=EVERYTHING&amp;vid=01CRU&amp;lang=en_US&amp;offset=0&amp;query=any,contains,991000485609702656","Catalog Record")</f>
        <v/>
      </c>
      <c r="AV138">
        <f>HYPERLINK("http://www.worldcat.org/oclc/37513083","WorldCat Record")</f>
        <v/>
      </c>
      <c r="AW138" t="inlineStr">
        <is>
          <t>3856356309:eng</t>
        </is>
      </c>
      <c r="AX138" t="inlineStr">
        <is>
          <t>37513083</t>
        </is>
      </c>
      <c r="AY138" t="inlineStr">
        <is>
          <t>991000485609702656</t>
        </is>
      </c>
      <c r="AZ138" t="inlineStr">
        <is>
          <t>991000485609702656</t>
        </is>
      </c>
      <c r="BA138" t="inlineStr">
        <is>
          <t>2269638600002656</t>
        </is>
      </c>
      <c r="BB138" t="inlineStr">
        <is>
          <t>BOOK</t>
        </is>
      </c>
      <c r="BD138" t="inlineStr">
        <is>
          <t>9780874349313</t>
        </is>
      </c>
      <c r="BE138" t="inlineStr">
        <is>
          <t>30001004015873</t>
        </is>
      </c>
      <c r="BF138" t="inlineStr">
        <is>
          <t>893644463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QV 38 E78 1989</t>
        </is>
      </c>
      <c r="E139" t="inlineStr">
        <is>
          <t>0                      QV 0038000E  78          1989</t>
        </is>
      </c>
      <c r="F139" t="inlineStr">
        <is>
          <t>Essentials of pharmacology / [edited by] P. Michael Conn, G.F. Gebhart.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Philadelphia : Davis, c1989.</t>
        </is>
      </c>
      <c r="O139" t="inlineStr">
        <is>
          <t>1989</t>
        </is>
      </c>
      <c r="Q139" t="inlineStr">
        <is>
          <t>eng</t>
        </is>
      </c>
      <c r="R139" t="inlineStr">
        <is>
          <t>xxu</t>
        </is>
      </c>
      <c r="S139" t="inlineStr">
        <is>
          <t>Essentials of medical education series</t>
        </is>
      </c>
      <c r="T139" t="inlineStr">
        <is>
          <t xml:space="preserve">QV </t>
        </is>
      </c>
      <c r="U139" t="n">
        <v>16</v>
      </c>
      <c r="V139" t="n">
        <v>16</v>
      </c>
      <c r="W139" t="inlineStr">
        <is>
          <t>1999-08-08</t>
        </is>
      </c>
      <c r="X139" t="inlineStr">
        <is>
          <t>1999-08-08</t>
        </is>
      </c>
      <c r="Y139" t="inlineStr">
        <is>
          <t>1989-11-21</t>
        </is>
      </c>
      <c r="Z139" t="inlineStr">
        <is>
          <t>1989-11-21</t>
        </is>
      </c>
      <c r="AA139" t="n">
        <v>88</v>
      </c>
      <c r="AB139" t="n">
        <v>71</v>
      </c>
      <c r="AC139" t="n">
        <v>78</v>
      </c>
      <c r="AD139" t="n">
        <v>1</v>
      </c>
      <c r="AE139" t="n">
        <v>1</v>
      </c>
      <c r="AF139" t="n">
        <v>1</v>
      </c>
      <c r="AG139" t="n">
        <v>1</v>
      </c>
      <c r="AH139" t="n">
        <v>0</v>
      </c>
      <c r="AI139" t="n">
        <v>0</v>
      </c>
      <c r="AJ139" t="n">
        <v>0</v>
      </c>
      <c r="AK139" t="n">
        <v>0</v>
      </c>
      <c r="AL139" t="n">
        <v>1</v>
      </c>
      <c r="AM139" t="n">
        <v>1</v>
      </c>
      <c r="AN139" t="n">
        <v>0</v>
      </c>
      <c r="AO139" t="n">
        <v>0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HYPERLINK("http://catalog.hathitrust.org/Record/001537194","HathiTrust Record")</f>
        <v/>
      </c>
      <c r="AU139">
        <f>HYPERLINK("https://creighton-primo.hosted.exlibrisgroup.com/primo-explore/search?tab=default_tab&amp;search_scope=EVERYTHING&amp;vid=01CRU&amp;lang=en_US&amp;offset=0&amp;query=any,contains,991001367009702656","Catalog Record")</f>
        <v/>
      </c>
      <c r="AV139">
        <f>HYPERLINK("http://www.worldcat.org/oclc/19264310","WorldCat Record")</f>
        <v/>
      </c>
      <c r="AW139" t="inlineStr">
        <is>
          <t>55183498:eng</t>
        </is>
      </c>
      <c r="AX139" t="inlineStr">
        <is>
          <t>19264310</t>
        </is>
      </c>
      <c r="AY139" t="inlineStr">
        <is>
          <t>991001367009702656</t>
        </is>
      </c>
      <c r="AZ139" t="inlineStr">
        <is>
          <t>991001367009702656</t>
        </is>
      </c>
      <c r="BA139" t="inlineStr">
        <is>
          <t>2259499010002656</t>
        </is>
      </c>
      <c r="BB139" t="inlineStr">
        <is>
          <t>BOOK</t>
        </is>
      </c>
      <c r="BD139" t="inlineStr">
        <is>
          <t>9780803619739</t>
        </is>
      </c>
      <c r="BE139" t="inlineStr">
        <is>
          <t>30001001797267</t>
        </is>
      </c>
      <c r="BF139" t="inlineStr">
        <is>
          <t>893455725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QV 38 F726 1990</t>
        </is>
      </c>
      <c r="E140" t="inlineStr">
        <is>
          <t>0                      QV 0038000F  726         1990</t>
        </is>
      </c>
      <c r="F140" t="inlineStr">
        <is>
          <t>Formulation factors in adverse reactions / edited by A.T. Florence and E.G. Salole.</t>
        </is>
      </c>
      <c r="G140" t="inlineStr">
        <is>
          <t>V. 1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London ; Boston : Wright, c1990.</t>
        </is>
      </c>
      <c r="O140" t="inlineStr">
        <is>
          <t>1990</t>
        </is>
      </c>
      <c r="Q140" t="inlineStr">
        <is>
          <t>eng</t>
        </is>
      </c>
      <c r="R140" t="inlineStr">
        <is>
          <t>enk</t>
        </is>
      </c>
      <c r="S140" t="inlineStr">
        <is>
          <t>Topics in pharmacy ; v. 1</t>
        </is>
      </c>
      <c r="T140" t="inlineStr">
        <is>
          <t xml:space="preserve">QV </t>
        </is>
      </c>
      <c r="U140" t="n">
        <v>5</v>
      </c>
      <c r="V140" t="n">
        <v>5</v>
      </c>
      <c r="W140" t="inlineStr">
        <is>
          <t>1990-08-14</t>
        </is>
      </c>
      <c r="X140" t="inlineStr">
        <is>
          <t>1990-08-14</t>
        </is>
      </c>
      <c r="Y140" t="inlineStr">
        <is>
          <t>1990-08-14</t>
        </is>
      </c>
      <c r="Z140" t="inlineStr">
        <is>
          <t>1990-08-14</t>
        </is>
      </c>
      <c r="AA140" t="n">
        <v>19</v>
      </c>
      <c r="AB140" t="n">
        <v>8</v>
      </c>
      <c r="AC140" t="n">
        <v>93</v>
      </c>
      <c r="AD140" t="n">
        <v>1</v>
      </c>
      <c r="AE140" t="n">
        <v>1</v>
      </c>
      <c r="AF140" t="n">
        <v>0</v>
      </c>
      <c r="AG140" t="n">
        <v>5</v>
      </c>
      <c r="AH140" t="n">
        <v>0</v>
      </c>
      <c r="AI140" t="n">
        <v>3</v>
      </c>
      <c r="AJ140" t="n">
        <v>0</v>
      </c>
      <c r="AK140" t="n">
        <v>3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HYPERLINK("http://catalog.hathitrust.org/Record/002060430","HathiTrust Record")</f>
        <v/>
      </c>
      <c r="AU140">
        <f>HYPERLINK("https://creighton-primo.hosted.exlibrisgroup.com/primo-explore/search?tab=default_tab&amp;search_scope=EVERYTHING&amp;vid=01CRU&amp;lang=en_US&amp;offset=0&amp;query=any,contains,991001452799702656","Catalog Record")</f>
        <v/>
      </c>
      <c r="AV140">
        <f>HYPERLINK("http://www.worldcat.org/oclc/19399895","WorldCat Record")</f>
        <v/>
      </c>
      <c r="AW140" t="inlineStr">
        <is>
          <t>354589401:eng</t>
        </is>
      </c>
      <c r="AX140" t="inlineStr">
        <is>
          <t>19399895</t>
        </is>
      </c>
      <c r="AY140" t="inlineStr">
        <is>
          <t>991001452799702656</t>
        </is>
      </c>
      <c r="AZ140" t="inlineStr">
        <is>
          <t>991001452799702656</t>
        </is>
      </c>
      <c r="BA140" t="inlineStr">
        <is>
          <t>2261698140002656</t>
        </is>
      </c>
      <c r="BB140" t="inlineStr">
        <is>
          <t>BOOK</t>
        </is>
      </c>
      <c r="BD140" t="inlineStr">
        <is>
          <t>9780723609230</t>
        </is>
      </c>
      <c r="BE140" t="inlineStr">
        <is>
          <t>30001001883737</t>
        </is>
      </c>
      <c r="BF140" t="inlineStr">
        <is>
          <t>893561037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QV 38 G437p 1975</t>
        </is>
      </c>
      <c r="E141" t="inlineStr">
        <is>
          <t>0                      QV 0038000G  437p        1975</t>
        </is>
      </c>
      <c r="F141" t="inlineStr">
        <is>
          <t>Pharmacokinetics / Milo Gibaldi, Donald Perrier.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Gibaldi, Milo.</t>
        </is>
      </c>
      <c r="N141" t="inlineStr">
        <is>
          <t>New York : M. Dekker, c1975.</t>
        </is>
      </c>
      <c r="O141" t="inlineStr">
        <is>
          <t>1975</t>
        </is>
      </c>
      <c r="Q141" t="inlineStr">
        <is>
          <t>eng</t>
        </is>
      </c>
      <c r="R141" t="inlineStr">
        <is>
          <t>nyu</t>
        </is>
      </c>
      <c r="S141" t="inlineStr">
        <is>
          <t>Drugs and the pharmaceutical sciences ; v. 1</t>
        </is>
      </c>
      <c r="T141" t="inlineStr">
        <is>
          <t xml:space="preserve">QV </t>
        </is>
      </c>
      <c r="U141" t="n">
        <v>44</v>
      </c>
      <c r="V141" t="n">
        <v>44</v>
      </c>
      <c r="W141" t="inlineStr">
        <is>
          <t>2003-05-24</t>
        </is>
      </c>
      <c r="X141" t="inlineStr">
        <is>
          <t>2003-05-24</t>
        </is>
      </c>
      <c r="Y141" t="inlineStr">
        <is>
          <t>1988-03-02</t>
        </is>
      </c>
      <c r="Z141" t="inlineStr">
        <is>
          <t>1988-03-02</t>
        </is>
      </c>
      <c r="AA141" t="n">
        <v>204</v>
      </c>
      <c r="AB141" t="n">
        <v>126</v>
      </c>
      <c r="AC141" t="n">
        <v>257</v>
      </c>
      <c r="AD141" t="n">
        <v>2</v>
      </c>
      <c r="AE141" t="n">
        <v>2</v>
      </c>
      <c r="AF141" t="n">
        <v>3</v>
      </c>
      <c r="AG141" t="n">
        <v>5</v>
      </c>
      <c r="AH141" t="n">
        <v>0</v>
      </c>
      <c r="AI141" t="n">
        <v>2</v>
      </c>
      <c r="AJ141" t="n">
        <v>2</v>
      </c>
      <c r="AK141" t="n">
        <v>3</v>
      </c>
      <c r="AL141" t="n">
        <v>0</v>
      </c>
      <c r="AM141" t="n">
        <v>0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HYPERLINK("http://catalog.hathitrust.org/Record/000685698","HathiTrust Record")</f>
        <v/>
      </c>
      <c r="AU141">
        <f>HYPERLINK("https://creighton-primo.hosted.exlibrisgroup.com/primo-explore/search?tab=default_tab&amp;search_scope=EVERYTHING&amp;vid=01CRU&amp;lang=en_US&amp;offset=0&amp;query=any,contains,991000952139702656","Catalog Record")</f>
        <v/>
      </c>
      <c r="AV141">
        <f>HYPERLINK("http://www.worldcat.org/oclc/1916715","WorldCat Record")</f>
        <v/>
      </c>
      <c r="AW141" t="inlineStr">
        <is>
          <t>491287:eng</t>
        </is>
      </c>
      <c r="AX141" t="inlineStr">
        <is>
          <t>1916715</t>
        </is>
      </c>
      <c r="AY141" t="inlineStr">
        <is>
          <t>991000952139702656</t>
        </is>
      </c>
      <c r="AZ141" t="inlineStr">
        <is>
          <t>991000952139702656</t>
        </is>
      </c>
      <c r="BA141" t="inlineStr">
        <is>
          <t>2255473230002656</t>
        </is>
      </c>
      <c r="BB141" t="inlineStr">
        <is>
          <t>BOOK</t>
        </is>
      </c>
      <c r="BE141" t="inlineStr">
        <is>
          <t>30001000191736</t>
        </is>
      </c>
      <c r="BF141" t="inlineStr">
        <is>
          <t>893161557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QV38 G448i 1986</t>
        </is>
      </c>
      <c r="E142" t="inlineStr">
        <is>
          <t>0                      QV 0038000G  448i        1986</t>
        </is>
      </c>
      <c r="F142" t="inlineStr">
        <is>
          <t>Introduction to drug metabolism / G. Gordon Gibson and Paul Skett.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Yes</t>
        </is>
      </c>
      <c r="L142" t="inlineStr">
        <is>
          <t>0</t>
        </is>
      </c>
      <c r="M142" t="inlineStr">
        <is>
          <t>Gibson, G. Gordon.</t>
        </is>
      </c>
      <c r="N142" t="inlineStr">
        <is>
          <t>London ; New York : Chapman and Hall, 1986.</t>
        </is>
      </c>
      <c r="O142" t="inlineStr">
        <is>
          <t>1985</t>
        </is>
      </c>
      <c r="Q142" t="inlineStr">
        <is>
          <t>eng</t>
        </is>
      </c>
      <c r="R142" t="inlineStr">
        <is>
          <t>enk</t>
        </is>
      </c>
      <c r="T142" t="inlineStr">
        <is>
          <t xml:space="preserve">QV </t>
        </is>
      </c>
      <c r="U142" t="n">
        <v>12</v>
      </c>
      <c r="V142" t="n">
        <v>12</v>
      </c>
      <c r="W142" t="inlineStr">
        <is>
          <t>2000-11-28</t>
        </is>
      </c>
      <c r="X142" t="inlineStr">
        <is>
          <t>2000-11-28</t>
        </is>
      </c>
      <c r="Y142" t="inlineStr">
        <is>
          <t>1987-08-27</t>
        </is>
      </c>
      <c r="Z142" t="inlineStr">
        <is>
          <t>1987-08-27</t>
        </is>
      </c>
      <c r="AA142" t="n">
        <v>267</v>
      </c>
      <c r="AB142" t="n">
        <v>171</v>
      </c>
      <c r="AC142" t="n">
        <v>277</v>
      </c>
      <c r="AD142" t="n">
        <v>2</v>
      </c>
      <c r="AE142" t="n">
        <v>2</v>
      </c>
      <c r="AF142" t="n">
        <v>6</v>
      </c>
      <c r="AG142" t="n">
        <v>13</v>
      </c>
      <c r="AH142" t="n">
        <v>3</v>
      </c>
      <c r="AI142" t="n">
        <v>8</v>
      </c>
      <c r="AJ142" t="n">
        <v>2</v>
      </c>
      <c r="AK142" t="n">
        <v>3</v>
      </c>
      <c r="AL142" t="n">
        <v>2</v>
      </c>
      <c r="AM142" t="n">
        <v>6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HYPERLINK("http://catalog.hathitrust.org/Record/000624653","HathiTrust Record")</f>
        <v/>
      </c>
      <c r="AU142">
        <f>HYPERLINK("https://creighton-primo.hosted.exlibrisgroup.com/primo-explore/search?tab=default_tab&amp;search_scope=EVERYTHING&amp;vid=01CRU&amp;lang=en_US&amp;offset=0&amp;query=any,contains,991001486789702656","Catalog Record")</f>
        <v/>
      </c>
      <c r="AV142">
        <f>HYPERLINK("http://www.worldcat.org/oclc/12313526","WorldCat Record")</f>
        <v/>
      </c>
      <c r="AW142" t="inlineStr">
        <is>
          <t>745643:eng</t>
        </is>
      </c>
      <c r="AX142" t="inlineStr">
        <is>
          <t>12313526</t>
        </is>
      </c>
      <c r="AY142" t="inlineStr">
        <is>
          <t>991001486789702656</t>
        </is>
      </c>
      <c r="AZ142" t="inlineStr">
        <is>
          <t>991001486789702656</t>
        </is>
      </c>
      <c r="BA142" t="inlineStr">
        <is>
          <t>2271872300002656</t>
        </is>
      </c>
      <c r="BB142" t="inlineStr">
        <is>
          <t>BOOK</t>
        </is>
      </c>
      <c r="BD142" t="inlineStr">
        <is>
          <t>9780412263903</t>
        </is>
      </c>
      <c r="BE142" t="inlineStr">
        <is>
          <t>30001000575342</t>
        </is>
      </c>
      <c r="BF142" t="inlineStr">
        <is>
          <t>893460635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QV 38 H2364 1983</t>
        </is>
      </c>
      <c r="E143" t="inlineStr">
        <is>
          <t>0                      QV 0038000H  2364        1983</t>
        </is>
      </c>
      <c r="F143" t="inlineStr">
        <is>
          <t>Handbook of clinical pharmacokinetics / editors, Milo Gibaldi and Laurie Prescott.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New York : ADIS Health Science Press, c1983.</t>
        </is>
      </c>
      <c r="O143" t="inlineStr">
        <is>
          <t>1983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QV </t>
        </is>
      </c>
      <c r="U143" t="n">
        <v>16</v>
      </c>
      <c r="V143" t="n">
        <v>16</v>
      </c>
      <c r="W143" t="inlineStr">
        <is>
          <t>1994-01-20</t>
        </is>
      </c>
      <c r="X143" t="inlineStr">
        <is>
          <t>1994-01-20</t>
        </is>
      </c>
      <c r="Y143" t="inlineStr">
        <is>
          <t>1988-01-28</t>
        </is>
      </c>
      <c r="Z143" t="inlineStr">
        <is>
          <t>1988-01-28</t>
        </is>
      </c>
      <c r="AA143" t="n">
        <v>138</v>
      </c>
      <c r="AB143" t="n">
        <v>93</v>
      </c>
      <c r="AC143" t="n">
        <v>95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HYPERLINK("http://catalog.hathitrust.org/Record/000242473","HathiTrust Record")</f>
        <v/>
      </c>
      <c r="AU143">
        <f>HYPERLINK("https://creighton-primo.hosted.exlibrisgroup.com/primo-explore/search?tab=default_tab&amp;search_scope=EVERYTHING&amp;vid=01CRU&amp;lang=en_US&amp;offset=0&amp;query=any,contains,991000952509702656","Catalog Record")</f>
        <v/>
      </c>
      <c r="AV143">
        <f>HYPERLINK("http://www.worldcat.org/oclc/10273601","WorldCat Record")</f>
        <v/>
      </c>
      <c r="AW143" t="inlineStr">
        <is>
          <t>365502883:eng</t>
        </is>
      </c>
      <c r="AX143" t="inlineStr">
        <is>
          <t>10273601</t>
        </is>
      </c>
      <c r="AY143" t="inlineStr">
        <is>
          <t>991000952509702656</t>
        </is>
      </c>
      <c r="AZ143" t="inlineStr">
        <is>
          <t>991000952509702656</t>
        </is>
      </c>
      <c r="BA143" t="inlineStr">
        <is>
          <t>2271828260002656</t>
        </is>
      </c>
      <c r="BB143" t="inlineStr">
        <is>
          <t>BOOK</t>
        </is>
      </c>
      <c r="BD143" t="inlineStr">
        <is>
          <t>9780867920048</t>
        </is>
      </c>
      <c r="BE143" t="inlineStr">
        <is>
          <t>30001000192122</t>
        </is>
      </c>
      <c r="BF143" t="inlineStr">
        <is>
          <t>893736067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QV 38 H251d 1985</t>
        </is>
      </c>
      <c r="E144" t="inlineStr">
        <is>
          <t>0                      QV 0038000H  251d        1985</t>
        </is>
      </c>
      <c r="F144" t="inlineStr">
        <is>
          <t>Drug interactions : clinical significance of drug-drug interactions / Philip D. Hansten.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Hansten, Philip D.</t>
        </is>
      </c>
      <c r="N144" t="inlineStr">
        <is>
          <t>Philadelphia : Lea &amp; Febiger, c1985.</t>
        </is>
      </c>
      <c r="O144" t="inlineStr">
        <is>
          <t>1985</t>
        </is>
      </c>
      <c r="P144" t="inlineStr">
        <is>
          <t>5th ed.</t>
        </is>
      </c>
      <c r="Q144" t="inlineStr">
        <is>
          <t>eng</t>
        </is>
      </c>
      <c r="R144" t="inlineStr">
        <is>
          <t>xxu</t>
        </is>
      </c>
      <c r="T144" t="inlineStr">
        <is>
          <t xml:space="preserve">QV </t>
        </is>
      </c>
      <c r="U144" t="n">
        <v>15</v>
      </c>
      <c r="V144" t="n">
        <v>15</v>
      </c>
      <c r="W144" t="inlineStr">
        <is>
          <t>1992-03-16</t>
        </is>
      </c>
      <c r="X144" t="inlineStr">
        <is>
          <t>1992-03-16</t>
        </is>
      </c>
      <c r="Y144" t="inlineStr">
        <is>
          <t>1990-10-16</t>
        </is>
      </c>
      <c r="Z144" t="inlineStr">
        <is>
          <t>1990-10-16</t>
        </is>
      </c>
      <c r="AA144" t="n">
        <v>327</v>
      </c>
      <c r="AB144" t="n">
        <v>241</v>
      </c>
      <c r="AC144" t="n">
        <v>321</v>
      </c>
      <c r="AD144" t="n">
        <v>1</v>
      </c>
      <c r="AE144" t="n">
        <v>2</v>
      </c>
      <c r="AF144" t="n">
        <v>4</v>
      </c>
      <c r="AG144" t="n">
        <v>4</v>
      </c>
      <c r="AH144" t="n">
        <v>1</v>
      </c>
      <c r="AI144" t="n">
        <v>1</v>
      </c>
      <c r="AJ144" t="n">
        <v>1</v>
      </c>
      <c r="AK144" t="n">
        <v>1</v>
      </c>
      <c r="AL144" t="n">
        <v>2</v>
      </c>
      <c r="AM144" t="n">
        <v>2</v>
      </c>
      <c r="AN144" t="n">
        <v>0</v>
      </c>
      <c r="AO144" t="n">
        <v>0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HYPERLINK("https://creighton-primo.hosted.exlibrisgroup.com/primo-explore/search?tab=default_tab&amp;search_scope=EVERYTHING&amp;vid=01CRU&amp;lang=en_US&amp;offset=0&amp;query=any,contains,991000747659702656","Catalog Record")</f>
        <v/>
      </c>
      <c r="AV144">
        <f>HYPERLINK("http://www.worldcat.org/oclc/11090172","WorldCat Record")</f>
        <v/>
      </c>
      <c r="AW144" t="inlineStr">
        <is>
          <t>10349538162:eng</t>
        </is>
      </c>
      <c r="AX144" t="inlineStr">
        <is>
          <t>11090172</t>
        </is>
      </c>
      <c r="AY144" t="inlineStr">
        <is>
          <t>991000747659702656</t>
        </is>
      </c>
      <c r="AZ144" t="inlineStr">
        <is>
          <t>991000747659702656</t>
        </is>
      </c>
      <c r="BA144" t="inlineStr">
        <is>
          <t>2259648250002656</t>
        </is>
      </c>
      <c r="BB144" t="inlineStr">
        <is>
          <t>BOOK</t>
        </is>
      </c>
      <c r="BD144" t="inlineStr">
        <is>
          <t>9780812109443</t>
        </is>
      </c>
      <c r="BE144" t="inlineStr">
        <is>
          <t>30001000046344</t>
        </is>
      </c>
      <c r="BF144" t="inlineStr">
        <is>
          <t>893726655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QV 38 H917 1993</t>
        </is>
      </c>
      <c r="E145" t="inlineStr">
        <is>
          <t>0                      QV 0038000H  917         1993</t>
        </is>
      </c>
      <c r="F145" t="inlineStr">
        <is>
          <t>Human drug metabolism : from molecular biology to man / edited by Elizabeth H. Jeffery.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N145" t="inlineStr">
        <is>
          <t>Boca Raton : CRC Press, c1993.</t>
        </is>
      </c>
      <c r="O145" t="inlineStr">
        <is>
          <t>1993</t>
        </is>
      </c>
      <c r="Q145" t="inlineStr">
        <is>
          <t>eng</t>
        </is>
      </c>
      <c r="R145" t="inlineStr">
        <is>
          <t>flu</t>
        </is>
      </c>
      <c r="S145" t="inlineStr">
        <is>
          <t>Pharmacology and toxicology</t>
        </is>
      </c>
      <c r="T145" t="inlineStr">
        <is>
          <t xml:space="preserve">QV </t>
        </is>
      </c>
      <c r="U145" t="n">
        <v>5</v>
      </c>
      <c r="V145" t="n">
        <v>5</v>
      </c>
      <c r="W145" t="inlineStr">
        <is>
          <t>2004-08-20</t>
        </is>
      </c>
      <c r="X145" t="inlineStr">
        <is>
          <t>2004-08-20</t>
        </is>
      </c>
      <c r="Y145" t="inlineStr">
        <is>
          <t>1993-08-31</t>
        </is>
      </c>
      <c r="Z145" t="inlineStr">
        <is>
          <t>1993-08-31</t>
        </is>
      </c>
      <c r="AA145" t="n">
        <v>123</v>
      </c>
      <c r="AB145" t="n">
        <v>82</v>
      </c>
      <c r="AC145" t="n">
        <v>83</v>
      </c>
      <c r="AD145" t="n">
        <v>1</v>
      </c>
      <c r="AE145" t="n">
        <v>1</v>
      </c>
      <c r="AF145" t="n">
        <v>3</v>
      </c>
      <c r="AG145" t="n">
        <v>3</v>
      </c>
      <c r="AH145" t="n">
        <v>2</v>
      </c>
      <c r="AI145" t="n">
        <v>2</v>
      </c>
      <c r="AJ145" t="n">
        <v>1</v>
      </c>
      <c r="AK145" t="n">
        <v>1</v>
      </c>
      <c r="AL145" t="n">
        <v>1</v>
      </c>
      <c r="AM145" t="n">
        <v>1</v>
      </c>
      <c r="AN145" t="n">
        <v>0</v>
      </c>
      <c r="AO145" t="n">
        <v>0</v>
      </c>
      <c r="AP145" t="n">
        <v>0</v>
      </c>
      <c r="AQ145" t="n">
        <v>0</v>
      </c>
      <c r="AR145" t="inlineStr">
        <is>
          <t>No</t>
        </is>
      </c>
      <c r="AS145" t="inlineStr">
        <is>
          <t>No</t>
        </is>
      </c>
      <c r="AU145">
        <f>HYPERLINK("https://creighton-primo.hosted.exlibrisgroup.com/primo-explore/search?tab=default_tab&amp;search_scope=EVERYTHING&amp;vid=01CRU&amp;lang=en_US&amp;offset=0&amp;query=any,contains,991001512099702656","Catalog Record")</f>
        <v/>
      </c>
      <c r="AV145">
        <f>HYPERLINK("http://www.worldcat.org/oclc/26098903","WorldCat Record")</f>
        <v/>
      </c>
      <c r="AW145" t="inlineStr">
        <is>
          <t>806855051:eng</t>
        </is>
      </c>
      <c r="AX145" t="inlineStr">
        <is>
          <t>26098903</t>
        </is>
      </c>
      <c r="AY145" t="inlineStr">
        <is>
          <t>991001512099702656</t>
        </is>
      </c>
      <c r="AZ145" t="inlineStr">
        <is>
          <t>991001512099702656</t>
        </is>
      </c>
      <c r="BA145" t="inlineStr">
        <is>
          <t>2266775560002656</t>
        </is>
      </c>
      <c r="BB145" t="inlineStr">
        <is>
          <t>BOOK</t>
        </is>
      </c>
      <c r="BD145" t="inlineStr">
        <is>
          <t>9780849378102</t>
        </is>
      </c>
      <c r="BE145" t="inlineStr">
        <is>
          <t>30001002601005</t>
        </is>
      </c>
      <c r="BF145" t="inlineStr">
        <is>
          <t>893121584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QV 38 I61 1997</t>
        </is>
      </c>
      <c r="E146" t="inlineStr">
        <is>
          <t>0                      QV 0038000I  61          1997</t>
        </is>
      </c>
      <c r="F146" t="inlineStr">
        <is>
          <t>Integrated pharmacology / by Clive P. Page ... [et al.]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Yes</t>
        </is>
      </c>
      <c r="L146" t="inlineStr">
        <is>
          <t>0</t>
        </is>
      </c>
      <c r="N146" t="inlineStr">
        <is>
          <t>London : Mosby, c1997.</t>
        </is>
      </c>
      <c r="O146" t="inlineStr">
        <is>
          <t>1997</t>
        </is>
      </c>
      <c r="Q146" t="inlineStr">
        <is>
          <t>eng</t>
        </is>
      </c>
      <c r="R146" t="inlineStr">
        <is>
          <t>enk</t>
        </is>
      </c>
      <c r="T146" t="inlineStr">
        <is>
          <t xml:space="preserve">QV </t>
        </is>
      </c>
      <c r="U146" t="n">
        <v>29</v>
      </c>
      <c r="V146" t="n">
        <v>29</v>
      </c>
      <c r="W146" t="inlineStr">
        <is>
          <t>2003-11-09</t>
        </is>
      </c>
      <c r="X146" t="inlineStr">
        <is>
          <t>2003-11-09</t>
        </is>
      </c>
      <c r="Y146" t="inlineStr">
        <is>
          <t>1997-09-10</t>
        </is>
      </c>
      <c r="Z146" t="inlineStr">
        <is>
          <t>1997-09-10</t>
        </is>
      </c>
      <c r="AA146" t="n">
        <v>129</v>
      </c>
      <c r="AB146" t="n">
        <v>57</v>
      </c>
      <c r="AC146" t="n">
        <v>226</v>
      </c>
      <c r="AD146" t="n">
        <v>1</v>
      </c>
      <c r="AE146" t="n">
        <v>1</v>
      </c>
      <c r="AF146" t="n">
        <v>4</v>
      </c>
      <c r="AG146" t="n">
        <v>11</v>
      </c>
      <c r="AH146" t="n">
        <v>2</v>
      </c>
      <c r="AI146" t="n">
        <v>4</v>
      </c>
      <c r="AJ146" t="n">
        <v>2</v>
      </c>
      <c r="AK146" t="n">
        <v>3</v>
      </c>
      <c r="AL146" t="n">
        <v>1</v>
      </c>
      <c r="AM146" t="n">
        <v>5</v>
      </c>
      <c r="AN146" t="n">
        <v>0</v>
      </c>
      <c r="AO146" t="n">
        <v>0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HYPERLINK("http://catalog.hathitrust.org/Record/003166120","HathiTrust Record")</f>
        <v/>
      </c>
      <c r="AU146">
        <f>HYPERLINK("https://creighton-primo.hosted.exlibrisgroup.com/primo-explore/search?tab=default_tab&amp;search_scope=EVERYTHING&amp;vid=01CRU&amp;lang=en_US&amp;offset=0&amp;query=any,contains,991001559389702656","Catalog Record")</f>
        <v/>
      </c>
      <c r="AV146">
        <f>HYPERLINK("http://www.worldcat.org/oclc/37732035","WorldCat Record")</f>
        <v/>
      </c>
      <c r="AW146" t="inlineStr">
        <is>
          <t>54144171:eng</t>
        </is>
      </c>
      <c r="AX146" t="inlineStr">
        <is>
          <t>37732035</t>
        </is>
      </c>
      <c r="AY146" t="inlineStr">
        <is>
          <t>991001559389702656</t>
        </is>
      </c>
      <c r="AZ146" t="inlineStr">
        <is>
          <t>991001559389702656</t>
        </is>
      </c>
      <c r="BA146" t="inlineStr">
        <is>
          <t>2261436280002656</t>
        </is>
      </c>
      <c r="BB146" t="inlineStr">
        <is>
          <t>BOOK</t>
        </is>
      </c>
      <c r="BD146" t="inlineStr">
        <is>
          <t>9780723425564</t>
        </is>
      </c>
      <c r="BE146" t="inlineStr">
        <is>
          <t>30001003605815</t>
        </is>
      </c>
      <c r="BF146" t="inlineStr">
        <is>
          <t>893268642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QV 38 J54p 2006</t>
        </is>
      </c>
      <c r="E147" t="inlineStr">
        <is>
          <t>0                      QV 0038000J  54p         2006</t>
        </is>
      </c>
      <c r="F147" t="inlineStr">
        <is>
          <t>Pharmacology and drug administration for imaging technologists / Steven C. Jensen, Michael P. Peppers.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Jensen, Steven C.</t>
        </is>
      </c>
      <c r="N147" t="inlineStr">
        <is>
          <t>St. Louis : Mosby/Elsevier, c2006.</t>
        </is>
      </c>
      <c r="O147" t="inlineStr">
        <is>
          <t>2006</t>
        </is>
      </c>
      <c r="P147" t="inlineStr">
        <is>
          <t>2nd ed.</t>
        </is>
      </c>
      <c r="Q147" t="inlineStr">
        <is>
          <t>eng</t>
        </is>
      </c>
      <c r="R147" t="inlineStr">
        <is>
          <t>mou</t>
        </is>
      </c>
      <c r="T147" t="inlineStr">
        <is>
          <t xml:space="preserve">QV </t>
        </is>
      </c>
      <c r="U147" t="n">
        <v>1</v>
      </c>
      <c r="V147" t="n">
        <v>1</v>
      </c>
      <c r="W147" t="inlineStr">
        <is>
          <t>2006-11-16</t>
        </is>
      </c>
      <c r="X147" t="inlineStr">
        <is>
          <t>2006-11-16</t>
        </is>
      </c>
      <c r="Y147" t="inlineStr">
        <is>
          <t>2006-09-14</t>
        </is>
      </c>
      <c r="Z147" t="inlineStr">
        <is>
          <t>2006-09-14</t>
        </is>
      </c>
      <c r="AA147" t="n">
        <v>166</v>
      </c>
      <c r="AB147" t="n">
        <v>133</v>
      </c>
      <c r="AC147" t="n">
        <v>212</v>
      </c>
      <c r="AD147" t="n">
        <v>2</v>
      </c>
      <c r="AE147" t="n">
        <v>2</v>
      </c>
      <c r="AF147" t="n">
        <v>1</v>
      </c>
      <c r="AG147" t="n">
        <v>1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1</v>
      </c>
      <c r="AO147" t="n">
        <v>1</v>
      </c>
      <c r="AP147" t="n">
        <v>0</v>
      </c>
      <c r="AQ147" t="n">
        <v>0</v>
      </c>
      <c r="AR147" t="inlineStr">
        <is>
          <t>No</t>
        </is>
      </c>
      <c r="AS147" t="inlineStr">
        <is>
          <t>No</t>
        </is>
      </c>
      <c r="AU147">
        <f>HYPERLINK("https://creighton-primo.hosted.exlibrisgroup.com/primo-explore/search?tab=default_tab&amp;search_scope=EVERYTHING&amp;vid=01CRU&amp;lang=en_US&amp;offset=0&amp;query=any,contains,991001743169702656","Catalog Record")</f>
        <v/>
      </c>
      <c r="AV147">
        <f>HYPERLINK("http://www.worldcat.org/oclc/62234893","WorldCat Record")</f>
        <v/>
      </c>
      <c r="AW147" t="inlineStr">
        <is>
          <t>2762400:eng</t>
        </is>
      </c>
      <c r="AX147" t="inlineStr">
        <is>
          <t>62234893</t>
        </is>
      </c>
      <c r="AY147" t="inlineStr">
        <is>
          <t>991001743169702656</t>
        </is>
      </c>
      <c r="AZ147" t="inlineStr">
        <is>
          <t>991001743169702656</t>
        </is>
      </c>
      <c r="BA147" t="inlineStr">
        <is>
          <t>2264000690002656</t>
        </is>
      </c>
      <c r="BB147" t="inlineStr">
        <is>
          <t>BOOK</t>
        </is>
      </c>
      <c r="BD147" t="inlineStr">
        <is>
          <t>9780323030755</t>
        </is>
      </c>
      <c r="BE147" t="inlineStr">
        <is>
          <t>30001005175148</t>
        </is>
      </c>
      <c r="BF147" t="inlineStr">
        <is>
          <t>893821648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QV 38 J65 1993</t>
        </is>
      </c>
      <c r="E148" t="inlineStr">
        <is>
          <t>0                      QV 0038000J  65          1993</t>
        </is>
      </c>
      <c r="F148" t="inlineStr">
        <is>
          <t>The Johns Hopkins handbook of drugs : for the 100 major medical disorders of people over the age of 50 : with a special expanded table of contents organized by disorder / medical editor, Simeon Margolis ; prepared by the editors of the Johns Hopkins medical letter health after 50.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N148" t="inlineStr">
        <is>
          <t>New York : Rebus : Distributed by Random House, c1993.</t>
        </is>
      </c>
      <c r="O148" t="inlineStr">
        <is>
          <t>1993</t>
        </is>
      </c>
      <c r="Q148" t="inlineStr">
        <is>
          <t>eng</t>
        </is>
      </c>
      <c r="R148" t="inlineStr">
        <is>
          <t>nyu</t>
        </is>
      </c>
      <c r="T148" t="inlineStr">
        <is>
          <t xml:space="preserve">QV </t>
        </is>
      </c>
      <c r="U148" t="n">
        <v>20</v>
      </c>
      <c r="V148" t="n">
        <v>20</v>
      </c>
      <c r="W148" t="inlineStr">
        <is>
          <t>1994-02-28</t>
        </is>
      </c>
      <c r="X148" t="inlineStr">
        <is>
          <t>1994-02-28</t>
        </is>
      </c>
      <c r="Y148" t="inlineStr">
        <is>
          <t>1994-02-18</t>
        </is>
      </c>
      <c r="Z148" t="inlineStr">
        <is>
          <t>1994-02-18</t>
        </is>
      </c>
      <c r="AA148" t="n">
        <v>208</v>
      </c>
      <c r="AB148" t="n">
        <v>195</v>
      </c>
      <c r="AC148" t="n">
        <v>195</v>
      </c>
      <c r="AD148" t="n">
        <v>2</v>
      </c>
      <c r="AE148" t="n">
        <v>2</v>
      </c>
      <c r="AF148" t="n">
        <v>1</v>
      </c>
      <c r="AG148" t="n">
        <v>1</v>
      </c>
      <c r="AH148" t="n">
        <v>0</v>
      </c>
      <c r="AI148" t="n">
        <v>0</v>
      </c>
      <c r="AJ148" t="n">
        <v>1</v>
      </c>
      <c r="AK148" t="n">
        <v>1</v>
      </c>
      <c r="AL148" t="n">
        <v>1</v>
      </c>
      <c r="AM148" t="n">
        <v>1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No</t>
        </is>
      </c>
      <c r="AU148">
        <f>HYPERLINK("https://creighton-primo.hosted.exlibrisgroup.com/primo-explore/search?tab=default_tab&amp;search_scope=EVERYTHING&amp;vid=01CRU&amp;lang=en_US&amp;offset=0&amp;query=any,contains,991000552829702656","Catalog Record")</f>
        <v/>
      </c>
      <c r="AV148">
        <f>HYPERLINK("http://www.worldcat.org/oclc/27812393","WorldCat Record")</f>
        <v/>
      </c>
      <c r="AW148" t="inlineStr">
        <is>
          <t>382051:eng</t>
        </is>
      </c>
      <c r="AX148" t="inlineStr">
        <is>
          <t>27812393</t>
        </is>
      </c>
      <c r="AY148" t="inlineStr">
        <is>
          <t>991000552829702656</t>
        </is>
      </c>
      <c r="AZ148" t="inlineStr">
        <is>
          <t>991000552829702656</t>
        </is>
      </c>
      <c r="BA148" t="inlineStr">
        <is>
          <t>2258187830002656</t>
        </is>
      </c>
      <c r="BB148" t="inlineStr">
        <is>
          <t>BOOK</t>
        </is>
      </c>
      <c r="BD148" t="inlineStr">
        <is>
          <t>9780929661070</t>
        </is>
      </c>
      <c r="BE148" t="inlineStr">
        <is>
          <t>30001002671503</t>
        </is>
      </c>
      <c r="BF148" t="inlineStr">
        <is>
          <t>893463537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QV 38 K33p 1987</t>
        </is>
      </c>
      <c r="E149" t="inlineStr">
        <is>
          <t>0                      QV 0038000K  33p         1987</t>
        </is>
      </c>
      <c r="F149" t="inlineStr">
        <is>
          <t>Pharmacologic analysis of drug-receptor interaction / Terrence P. Kenakin.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Kenakin, Terrence P.</t>
        </is>
      </c>
      <c r="N149" t="inlineStr">
        <is>
          <t>New York : Raven Press, c1987.</t>
        </is>
      </c>
      <c r="O149" t="inlineStr">
        <is>
          <t>1987</t>
        </is>
      </c>
      <c r="Q149" t="inlineStr">
        <is>
          <t>eng</t>
        </is>
      </c>
      <c r="R149" t="inlineStr">
        <is>
          <t>xxu</t>
        </is>
      </c>
      <c r="T149" t="inlineStr">
        <is>
          <t xml:space="preserve">QV </t>
        </is>
      </c>
      <c r="U149" t="n">
        <v>51</v>
      </c>
      <c r="V149" t="n">
        <v>51</v>
      </c>
      <c r="W149" t="inlineStr">
        <is>
          <t>2006-10-02</t>
        </is>
      </c>
      <c r="X149" t="inlineStr">
        <is>
          <t>2006-10-02</t>
        </is>
      </c>
      <c r="Y149" t="inlineStr">
        <is>
          <t>1987-10-21</t>
        </is>
      </c>
      <c r="Z149" t="inlineStr">
        <is>
          <t>1987-10-21</t>
        </is>
      </c>
      <c r="AA149" t="n">
        <v>171</v>
      </c>
      <c r="AB149" t="n">
        <v>110</v>
      </c>
      <c r="AC149" t="n">
        <v>204</v>
      </c>
      <c r="AD149" t="n">
        <v>1</v>
      </c>
      <c r="AE149" t="n">
        <v>2</v>
      </c>
      <c r="AF149" t="n">
        <v>6</v>
      </c>
      <c r="AG149" t="n">
        <v>9</v>
      </c>
      <c r="AH149" t="n">
        <v>1</v>
      </c>
      <c r="AI149" t="n">
        <v>3</v>
      </c>
      <c r="AJ149" t="n">
        <v>2</v>
      </c>
      <c r="AK149" t="n">
        <v>2</v>
      </c>
      <c r="AL149" t="n">
        <v>3</v>
      </c>
      <c r="AM149" t="n">
        <v>4</v>
      </c>
      <c r="AN149" t="n">
        <v>0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HYPERLINK("http://catalog.hathitrust.org/Record/000826717","HathiTrust Record")</f>
        <v/>
      </c>
      <c r="AU149">
        <f>HYPERLINK("https://creighton-primo.hosted.exlibrisgroup.com/primo-explore/search?tab=default_tab&amp;search_scope=EVERYTHING&amp;vid=01CRU&amp;lang=en_US&amp;offset=0&amp;query=any,contains,991001528529702656","Catalog Record")</f>
        <v/>
      </c>
      <c r="AV149">
        <f>HYPERLINK("http://www.worldcat.org/oclc/15661034","WorldCat Record")</f>
        <v/>
      </c>
      <c r="AW149" t="inlineStr">
        <is>
          <t>350065:eng</t>
        </is>
      </c>
      <c r="AX149" t="inlineStr">
        <is>
          <t>15661034</t>
        </is>
      </c>
      <c r="AY149" t="inlineStr">
        <is>
          <t>991001528529702656</t>
        </is>
      </c>
      <c r="AZ149" t="inlineStr">
        <is>
          <t>991001528529702656</t>
        </is>
      </c>
      <c r="BA149" t="inlineStr">
        <is>
          <t>2270529370002656</t>
        </is>
      </c>
      <c r="BB149" t="inlineStr">
        <is>
          <t>BOOK</t>
        </is>
      </c>
      <c r="BD149" t="inlineStr">
        <is>
          <t>9780881672770</t>
        </is>
      </c>
      <c r="BE149" t="inlineStr">
        <is>
          <t>30001000620734</t>
        </is>
      </c>
      <c r="BF149" t="inlineStr">
        <is>
          <t>893558072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QV 38 L379e 1964</t>
        </is>
      </c>
      <c r="E150" t="inlineStr">
        <is>
          <t>0                      QV 0038000L  379e        1964</t>
        </is>
      </c>
      <c r="F150" t="inlineStr">
        <is>
          <t>Evaluation of drug activities : pharmacometrics / edited by D.R. Laurence and A.L. Bacharach.</t>
        </is>
      </c>
      <c r="G150" t="inlineStr">
        <is>
          <t>V. 1</t>
        </is>
      </c>
      <c r="H150" t="inlineStr">
        <is>
          <t>Yes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Laurence, D. R. (Desmond Roger) editor.</t>
        </is>
      </c>
      <c r="N150" t="inlineStr">
        <is>
          <t>London, New York : Academic Press, 1964.</t>
        </is>
      </c>
      <c r="O150" t="inlineStr">
        <is>
          <t>1964</t>
        </is>
      </c>
      <c r="Q150" t="inlineStr">
        <is>
          <t>eng</t>
        </is>
      </c>
      <c r="R150" t="inlineStr">
        <is>
          <t>enk</t>
        </is>
      </c>
      <c r="T150" t="inlineStr">
        <is>
          <t xml:space="preserve">QV </t>
        </is>
      </c>
      <c r="U150" t="n">
        <v>2</v>
      </c>
      <c r="V150" t="n">
        <v>5</v>
      </c>
      <c r="W150" t="inlineStr">
        <is>
          <t>1991-04-12</t>
        </is>
      </c>
      <c r="X150" t="inlineStr">
        <is>
          <t>1991-05-08</t>
        </is>
      </c>
      <c r="Y150" t="inlineStr">
        <is>
          <t>1988-03-25</t>
        </is>
      </c>
      <c r="Z150" t="inlineStr">
        <is>
          <t>1988-03-25</t>
        </is>
      </c>
      <c r="AA150" t="n">
        <v>197</v>
      </c>
      <c r="AB150" t="n">
        <v>126</v>
      </c>
      <c r="AC150" t="n">
        <v>173</v>
      </c>
      <c r="AD150" t="n">
        <v>2</v>
      </c>
      <c r="AE150" t="n">
        <v>2</v>
      </c>
      <c r="AF150" t="n">
        <v>5</v>
      </c>
      <c r="AG150" t="n">
        <v>9</v>
      </c>
      <c r="AH150" t="n">
        <v>2</v>
      </c>
      <c r="AI150" t="n">
        <v>4</v>
      </c>
      <c r="AJ150" t="n">
        <v>1</v>
      </c>
      <c r="AK150" t="n">
        <v>3</v>
      </c>
      <c r="AL150" t="n">
        <v>1</v>
      </c>
      <c r="AM150" t="n">
        <v>2</v>
      </c>
      <c r="AN150" t="n">
        <v>1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HYPERLINK("http://catalog.hathitrust.org/Record/001573902","HathiTrust Record")</f>
        <v/>
      </c>
      <c r="AU150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V150">
        <f>HYPERLINK("http://www.worldcat.org/oclc/595025","WorldCat Record")</f>
        <v/>
      </c>
      <c r="AW150" t="inlineStr">
        <is>
          <t>346542132:eng</t>
        </is>
      </c>
      <c r="AX150" t="inlineStr">
        <is>
          <t>595025</t>
        </is>
      </c>
      <c r="AY150" t="inlineStr">
        <is>
          <t>991000952469702656</t>
        </is>
      </c>
      <c r="AZ150" t="inlineStr">
        <is>
          <t>991000952469702656</t>
        </is>
      </c>
      <c r="BA150" t="inlineStr">
        <is>
          <t>2272346220002656</t>
        </is>
      </c>
      <c r="BB150" t="inlineStr">
        <is>
          <t>BOOK</t>
        </is>
      </c>
      <c r="BE150" t="inlineStr">
        <is>
          <t>30001000192015</t>
        </is>
      </c>
      <c r="BF150" t="inlineStr">
        <is>
          <t>893363576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QV 38 L379e 1964</t>
        </is>
      </c>
      <c r="E151" t="inlineStr">
        <is>
          <t>0                      QV 0038000L  379e        1964</t>
        </is>
      </c>
      <c r="F151" t="inlineStr">
        <is>
          <t>Evaluation of drug activities : pharmacometrics / edited by D.R. Laurence and A.L. Bacharach.</t>
        </is>
      </c>
      <c r="G151" t="inlineStr">
        <is>
          <t>V. 2</t>
        </is>
      </c>
      <c r="H151" t="inlineStr">
        <is>
          <t>Yes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Laurence, D. R. (Desmond Roger) editor.</t>
        </is>
      </c>
      <c r="N151" t="inlineStr">
        <is>
          <t>London, New York : Academic Press, 1964.</t>
        </is>
      </c>
      <c r="O151" t="inlineStr">
        <is>
          <t>1964</t>
        </is>
      </c>
      <c r="Q151" t="inlineStr">
        <is>
          <t>eng</t>
        </is>
      </c>
      <c r="R151" t="inlineStr">
        <is>
          <t>enk</t>
        </is>
      </c>
      <c r="T151" t="inlineStr">
        <is>
          <t xml:space="preserve">QV </t>
        </is>
      </c>
      <c r="U151" t="n">
        <v>3</v>
      </c>
      <c r="V151" t="n">
        <v>5</v>
      </c>
      <c r="W151" t="inlineStr">
        <is>
          <t>1991-05-08</t>
        </is>
      </c>
      <c r="X151" t="inlineStr">
        <is>
          <t>1991-05-08</t>
        </is>
      </c>
      <c r="Y151" t="inlineStr">
        <is>
          <t>1988-03-25</t>
        </is>
      </c>
      <c r="Z151" t="inlineStr">
        <is>
          <t>1988-03-25</t>
        </is>
      </c>
      <c r="AA151" t="n">
        <v>197</v>
      </c>
      <c r="AB151" t="n">
        <v>126</v>
      </c>
      <c r="AC151" t="n">
        <v>173</v>
      </c>
      <c r="AD151" t="n">
        <v>2</v>
      </c>
      <c r="AE151" t="n">
        <v>2</v>
      </c>
      <c r="AF151" t="n">
        <v>5</v>
      </c>
      <c r="AG151" t="n">
        <v>9</v>
      </c>
      <c r="AH151" t="n">
        <v>2</v>
      </c>
      <c r="AI151" t="n">
        <v>4</v>
      </c>
      <c r="AJ151" t="n">
        <v>1</v>
      </c>
      <c r="AK151" t="n">
        <v>3</v>
      </c>
      <c r="AL151" t="n">
        <v>1</v>
      </c>
      <c r="AM151" t="n">
        <v>2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HYPERLINK("http://catalog.hathitrust.org/Record/001573902","HathiTrust Record")</f>
        <v/>
      </c>
      <c r="AU151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V151">
        <f>HYPERLINK("http://www.worldcat.org/oclc/595025","WorldCat Record")</f>
        <v/>
      </c>
      <c r="AW151" t="inlineStr">
        <is>
          <t>346542132:eng</t>
        </is>
      </c>
      <c r="AX151" t="inlineStr">
        <is>
          <t>595025</t>
        </is>
      </c>
      <c r="AY151" t="inlineStr">
        <is>
          <t>991000952469702656</t>
        </is>
      </c>
      <c r="AZ151" t="inlineStr">
        <is>
          <t>991000952469702656</t>
        </is>
      </c>
      <c r="BA151" t="inlineStr">
        <is>
          <t>2272346220002656</t>
        </is>
      </c>
      <c r="BB151" t="inlineStr">
        <is>
          <t>BOOK</t>
        </is>
      </c>
      <c r="BE151" t="inlineStr">
        <is>
          <t>30001000192007</t>
        </is>
      </c>
      <c r="BF151" t="inlineStr">
        <is>
          <t>893368926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QV 38 L473o 1980 v.2</t>
        </is>
      </c>
      <c r="E152" t="inlineStr">
        <is>
          <t>0                      QV 0038000L  473o        1980                                        v.2</t>
        </is>
      </c>
      <c r="F152" t="inlineStr">
        <is>
          <t>The organic chemistry of drug synthesis : Volume 2 / Daniel Lednicer, Lester A. Mitscher.</t>
        </is>
      </c>
      <c r="G152" t="inlineStr">
        <is>
          <t>V. 2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Lednicer, Daniel, 1929-</t>
        </is>
      </c>
      <c r="N152" t="inlineStr">
        <is>
          <t>New York : Wiley, c1980.</t>
        </is>
      </c>
      <c r="O152" t="inlineStr">
        <is>
          <t>1980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QV </t>
        </is>
      </c>
      <c r="U152" t="n">
        <v>3</v>
      </c>
      <c r="V152" t="n">
        <v>3</v>
      </c>
      <c r="W152" t="inlineStr">
        <is>
          <t>1989-02-24</t>
        </is>
      </c>
      <c r="X152" t="inlineStr">
        <is>
          <t>1989-02-24</t>
        </is>
      </c>
      <c r="Y152" t="inlineStr">
        <is>
          <t>1988-01-28</t>
        </is>
      </c>
      <c r="Z152" t="inlineStr">
        <is>
          <t>1988-01-28</t>
        </is>
      </c>
      <c r="AA152" t="n">
        <v>712</v>
      </c>
      <c r="AB152" t="n">
        <v>591</v>
      </c>
      <c r="AC152" t="n">
        <v>598</v>
      </c>
      <c r="AD152" t="n">
        <v>4</v>
      </c>
      <c r="AE152" t="n">
        <v>4</v>
      </c>
      <c r="AF152" t="n">
        <v>21</v>
      </c>
      <c r="AG152" t="n">
        <v>21</v>
      </c>
      <c r="AH152" t="n">
        <v>9</v>
      </c>
      <c r="AI152" t="n">
        <v>9</v>
      </c>
      <c r="AJ152" t="n">
        <v>4</v>
      </c>
      <c r="AK152" t="n">
        <v>4</v>
      </c>
      <c r="AL152" t="n">
        <v>11</v>
      </c>
      <c r="AM152" t="n">
        <v>11</v>
      </c>
      <c r="AN152" t="n">
        <v>3</v>
      </c>
      <c r="AO152" t="n">
        <v>3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HYPERLINK("http://catalog.hathitrust.org/Record/000738011","HathiTrust Record")</f>
        <v/>
      </c>
      <c r="AU152">
        <f>HYPERLINK("https://creighton-primo.hosted.exlibrisgroup.com/primo-explore/search?tab=default_tab&amp;search_scope=EVERYTHING&amp;vid=01CRU&amp;lang=en_US&amp;offset=0&amp;query=any,contains,991000952429702656","Catalog Record")</f>
        <v/>
      </c>
      <c r="AV152">
        <f>HYPERLINK("http://www.worldcat.org/oclc/2388302","WorldCat Record")</f>
        <v/>
      </c>
      <c r="AW152" t="inlineStr">
        <is>
          <t>10792638871:eng</t>
        </is>
      </c>
      <c r="AX152" t="inlineStr">
        <is>
          <t>2388302</t>
        </is>
      </c>
      <c r="AY152" t="inlineStr">
        <is>
          <t>991000952429702656</t>
        </is>
      </c>
      <c r="AZ152" t="inlineStr">
        <is>
          <t>991000952429702656</t>
        </is>
      </c>
      <c r="BA152" t="inlineStr">
        <is>
          <t>2259227850002656</t>
        </is>
      </c>
      <c r="BB152" t="inlineStr">
        <is>
          <t>BOOK</t>
        </is>
      </c>
      <c r="BE152" t="inlineStr">
        <is>
          <t>30001000191991</t>
        </is>
      </c>
      <c r="BF152" t="inlineStr">
        <is>
          <t>893560784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QV 38 L665 1983</t>
        </is>
      </c>
      <c r="E153" t="inlineStr">
        <is>
          <t>0                      QV 0038000L  665         1983</t>
        </is>
      </c>
      <c r="F153" t="inlineStr">
        <is>
          <t>Pharmacology : drug actions and reactions / Ruth R. Levine ; foreword by Byron B. Clark.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Levine, Ruth R.</t>
        </is>
      </c>
      <c r="N153" t="inlineStr">
        <is>
          <t>Boston, Mass. : Little, Brown, c1983.</t>
        </is>
      </c>
      <c r="O153" t="inlineStr">
        <is>
          <t>1983</t>
        </is>
      </c>
      <c r="P153" t="inlineStr">
        <is>
          <t>3rd ed.</t>
        </is>
      </c>
      <c r="Q153" t="inlineStr">
        <is>
          <t>eng</t>
        </is>
      </c>
      <c r="R153" t="inlineStr">
        <is>
          <t>mau</t>
        </is>
      </c>
      <c r="T153" t="inlineStr">
        <is>
          <t xml:space="preserve">QV </t>
        </is>
      </c>
      <c r="U153" t="n">
        <v>3</v>
      </c>
      <c r="V153" t="n">
        <v>3</v>
      </c>
      <c r="W153" t="inlineStr">
        <is>
          <t>2003-06-30</t>
        </is>
      </c>
      <c r="X153" t="inlineStr">
        <is>
          <t>2003-06-30</t>
        </is>
      </c>
      <c r="Y153" t="inlineStr">
        <is>
          <t>1988-12-28</t>
        </is>
      </c>
      <c r="Z153" t="inlineStr">
        <is>
          <t>1988-12-28</t>
        </is>
      </c>
      <c r="AA153" t="n">
        <v>159</v>
      </c>
      <c r="AB153" t="n">
        <v>123</v>
      </c>
      <c r="AC153" t="n">
        <v>408</v>
      </c>
      <c r="AD153" t="n">
        <v>1</v>
      </c>
      <c r="AE153" t="n">
        <v>1</v>
      </c>
      <c r="AF153" t="n">
        <v>3</v>
      </c>
      <c r="AG153" t="n">
        <v>9</v>
      </c>
      <c r="AH153" t="n">
        <v>0</v>
      </c>
      <c r="AI153" t="n">
        <v>3</v>
      </c>
      <c r="AJ153" t="n">
        <v>2</v>
      </c>
      <c r="AK153" t="n">
        <v>4</v>
      </c>
      <c r="AL153" t="n">
        <v>2</v>
      </c>
      <c r="AM153" t="n">
        <v>5</v>
      </c>
      <c r="AN153" t="n">
        <v>0</v>
      </c>
      <c r="AO153" t="n">
        <v>0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HYPERLINK("http://catalog.hathitrust.org/Record/000243434","HathiTrust Record")</f>
        <v/>
      </c>
      <c r="AU153">
        <f>HYPERLINK("https://creighton-primo.hosted.exlibrisgroup.com/primo-explore/search?tab=default_tab&amp;search_scope=EVERYTHING&amp;vid=01CRU&amp;lang=en_US&amp;offset=0&amp;query=any,contains,991000952389702656","Catalog Record")</f>
        <v/>
      </c>
      <c r="AV153">
        <f>HYPERLINK("http://www.worldcat.org/oclc/9729530","WorldCat Record")</f>
        <v/>
      </c>
      <c r="AW153" t="inlineStr">
        <is>
          <t>1652529:eng</t>
        </is>
      </c>
      <c r="AX153" t="inlineStr">
        <is>
          <t>9729530</t>
        </is>
      </c>
      <c r="AY153" t="inlineStr">
        <is>
          <t>991000952389702656</t>
        </is>
      </c>
      <c r="AZ153" t="inlineStr">
        <is>
          <t>991000952389702656</t>
        </is>
      </c>
      <c r="BA153" t="inlineStr">
        <is>
          <t>2264836490002656</t>
        </is>
      </c>
      <c r="BB153" t="inlineStr">
        <is>
          <t>BOOK</t>
        </is>
      </c>
      <c r="BD153" t="inlineStr">
        <is>
          <t>9780316522229</t>
        </is>
      </c>
      <c r="BE153" t="inlineStr">
        <is>
          <t>30001000191959</t>
        </is>
      </c>
      <c r="BF153" t="inlineStr">
        <is>
          <t>893284171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QV38 L665p 2005</t>
        </is>
      </c>
      <c r="E154" t="inlineStr">
        <is>
          <t>0                      QV 0038000L  665p        2005</t>
        </is>
      </c>
      <c r="F154" t="inlineStr">
        <is>
          <t>Levine's pharmacology : drug actions and reactions.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Walsh, Carol T.</t>
        </is>
      </c>
      <c r="N154" t="inlineStr">
        <is>
          <t>London : Taylor &amp; Francis, 2005.</t>
        </is>
      </c>
      <c r="O154" t="inlineStr">
        <is>
          <t>2005</t>
        </is>
      </c>
      <c r="P154" t="inlineStr">
        <is>
          <t>7th ed. / Carol T. Walsh, Rochelle D. Schwarz-Bloom.</t>
        </is>
      </c>
      <c r="Q154" t="inlineStr">
        <is>
          <t>eng</t>
        </is>
      </c>
      <c r="R154" t="inlineStr">
        <is>
          <t>enk</t>
        </is>
      </c>
      <c r="T154" t="inlineStr">
        <is>
          <t xml:space="preserve">QV </t>
        </is>
      </c>
      <c r="U154" t="n">
        <v>2</v>
      </c>
      <c r="V154" t="n">
        <v>2</v>
      </c>
      <c r="W154" t="inlineStr">
        <is>
          <t>2006-06-25</t>
        </is>
      </c>
      <c r="X154" t="inlineStr">
        <is>
          <t>2006-06-25</t>
        </is>
      </c>
      <c r="Y154" t="inlineStr">
        <is>
          <t>2005-02-03</t>
        </is>
      </c>
      <c r="Z154" t="inlineStr">
        <is>
          <t>2005-02-03</t>
        </is>
      </c>
      <c r="AA154" t="n">
        <v>186</v>
      </c>
      <c r="AB154" t="n">
        <v>120</v>
      </c>
      <c r="AC154" t="n">
        <v>223</v>
      </c>
      <c r="AD154" t="n">
        <v>3</v>
      </c>
      <c r="AE154" t="n">
        <v>3</v>
      </c>
      <c r="AF154" t="n">
        <v>6</v>
      </c>
      <c r="AG154" t="n">
        <v>8</v>
      </c>
      <c r="AH154" t="n">
        <v>3</v>
      </c>
      <c r="AI154" t="n">
        <v>4</v>
      </c>
      <c r="AJ154" t="n">
        <v>1</v>
      </c>
      <c r="AK154" t="n">
        <v>2</v>
      </c>
      <c r="AL154" t="n">
        <v>2</v>
      </c>
      <c r="AM154" t="n">
        <v>3</v>
      </c>
      <c r="AN154" t="n">
        <v>1</v>
      </c>
      <c r="AO154" t="n">
        <v>1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HYPERLINK("https://creighton-primo.hosted.exlibrisgroup.com/primo-explore/search?tab=default_tab&amp;search_scope=EVERYTHING&amp;vid=01CRU&amp;lang=en_US&amp;offset=0&amp;query=any,contains,991000425919702656","Catalog Record")</f>
        <v/>
      </c>
      <c r="AV154">
        <f>HYPERLINK("http://www.worldcat.org/oclc/57256484","WorldCat Record")</f>
        <v/>
      </c>
      <c r="AW154" t="inlineStr">
        <is>
          <t>2872497195:eng</t>
        </is>
      </c>
      <c r="AX154" t="inlineStr">
        <is>
          <t>57256484</t>
        </is>
      </c>
      <c r="AY154" t="inlineStr">
        <is>
          <t>991000425919702656</t>
        </is>
      </c>
      <c r="AZ154" t="inlineStr">
        <is>
          <t>991000425919702656</t>
        </is>
      </c>
      <c r="BA154" t="inlineStr">
        <is>
          <t>2267542340002656</t>
        </is>
      </c>
      <c r="BB154" t="inlineStr">
        <is>
          <t>BOOK</t>
        </is>
      </c>
      <c r="BD154" t="inlineStr">
        <is>
          <t>9781842142554</t>
        </is>
      </c>
      <c r="BE154" t="inlineStr">
        <is>
          <t>30001004927226</t>
        </is>
      </c>
      <c r="BF154" t="inlineStr">
        <is>
          <t>893558807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QV38 M592 1976 PT. 2</t>
        </is>
      </c>
      <c r="E155" t="inlineStr">
        <is>
          <t>0                      QV 0038000M  592         1976                                        PT. 2</t>
        </is>
      </c>
      <c r="F155" t="inlineStr">
        <is>
          <t>Methods in receptor research / edited by Melvin Blecher.</t>
        </is>
      </c>
      <c r="G155" t="inlineStr">
        <is>
          <t>PT. 2*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N155" t="inlineStr">
        <is>
          <t>New York : M. Dekker, 1976-</t>
        </is>
      </c>
      <c r="O155" t="inlineStr">
        <is>
          <t>1976</t>
        </is>
      </c>
      <c r="Q155" t="inlineStr">
        <is>
          <t>eng</t>
        </is>
      </c>
      <c r="R155" t="inlineStr">
        <is>
          <t>nyu</t>
        </is>
      </c>
      <c r="S155" t="inlineStr">
        <is>
          <t>Methods in molecular biology ; v. 9</t>
        </is>
      </c>
      <c r="T155" t="inlineStr">
        <is>
          <t xml:space="preserve">QV </t>
        </is>
      </c>
      <c r="U155" t="n">
        <v>5</v>
      </c>
      <c r="V155" t="n">
        <v>8</v>
      </c>
      <c r="W155" t="inlineStr">
        <is>
          <t>2002-04-08</t>
        </is>
      </c>
      <c r="X155" t="inlineStr">
        <is>
          <t>2002-04-08</t>
        </is>
      </c>
      <c r="Y155" t="inlineStr">
        <is>
          <t>1991-03-05</t>
        </is>
      </c>
      <c r="Z155" t="inlineStr">
        <is>
          <t>1991-03-05</t>
        </is>
      </c>
      <c r="AA155" t="n">
        <v>228</v>
      </c>
      <c r="AB155" t="n">
        <v>174</v>
      </c>
      <c r="AC155" t="n">
        <v>182</v>
      </c>
      <c r="AD155" t="n">
        <v>2</v>
      </c>
      <c r="AE155" t="n">
        <v>2</v>
      </c>
      <c r="AF155" t="n">
        <v>6</v>
      </c>
      <c r="AG155" t="n">
        <v>6</v>
      </c>
      <c r="AH155" t="n">
        <v>1</v>
      </c>
      <c r="AI155" t="n">
        <v>1</v>
      </c>
      <c r="AJ155" t="n">
        <v>2</v>
      </c>
      <c r="AK155" t="n">
        <v>2</v>
      </c>
      <c r="AL155" t="n">
        <v>3</v>
      </c>
      <c r="AM155" t="n">
        <v>3</v>
      </c>
      <c r="AN155" t="n">
        <v>1</v>
      </c>
      <c r="AO155" t="n">
        <v>1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HYPERLINK("http://catalog.hathitrust.org/Record/000734426","HathiTrust Record")</f>
        <v/>
      </c>
      <c r="AU155">
        <f>HYPERLINK("https://creighton-primo.hosted.exlibrisgroup.com/primo-explore/search?tab=default_tab&amp;search_scope=EVERYTHING&amp;vid=01CRU&amp;lang=en_US&amp;offset=0&amp;query=any,contains,991000952349702656","Catalog Record")</f>
        <v/>
      </c>
      <c r="AV155">
        <f>HYPERLINK("http://www.worldcat.org/oclc/2437968","WorldCat Record")</f>
        <v/>
      </c>
      <c r="AW155" t="inlineStr">
        <is>
          <t>3863884748:eng</t>
        </is>
      </c>
      <c r="AX155" t="inlineStr">
        <is>
          <t>2437968</t>
        </is>
      </c>
      <c r="AY155" t="inlineStr">
        <is>
          <t>991000952349702656</t>
        </is>
      </c>
      <c r="AZ155" t="inlineStr">
        <is>
          <t>991000952349702656</t>
        </is>
      </c>
      <c r="BA155" t="inlineStr">
        <is>
          <t>2263414780002656</t>
        </is>
      </c>
      <c r="BB155" t="inlineStr">
        <is>
          <t>BOOK</t>
        </is>
      </c>
      <c r="BD155" t="inlineStr">
        <is>
          <t>9780824764142</t>
        </is>
      </c>
      <c r="BE155" t="inlineStr">
        <is>
          <t>30001000191926</t>
        </is>
      </c>
      <c r="BF155" t="inlineStr">
        <is>
          <t>893287134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QV 38 M612s 1952</t>
        </is>
      </c>
      <c r="E156" t="inlineStr">
        <is>
          <t>0                      QV 0038000M  612s        1952</t>
        </is>
      </c>
      <c r="F156" t="inlineStr">
        <is>
          <t>Side effects of drugs / Translated by Ph. Vuijsje and W. Mulhall Corbet.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Meyler, L.</t>
        </is>
      </c>
      <c r="N156" t="inlineStr">
        <is>
          <t>Amsterdam ; Houston : Elsevier Pub. Co., c1952.</t>
        </is>
      </c>
      <c r="O156" t="inlineStr">
        <is>
          <t>1952</t>
        </is>
      </c>
      <c r="Q156" t="inlineStr">
        <is>
          <t>eng</t>
        </is>
      </c>
      <c r="R156" t="inlineStr">
        <is>
          <t xml:space="preserve">ne </t>
        </is>
      </c>
      <c r="T156" t="inlineStr">
        <is>
          <t xml:space="preserve">QV </t>
        </is>
      </c>
      <c r="U156" t="n">
        <v>4</v>
      </c>
      <c r="V156" t="n">
        <v>4</v>
      </c>
      <c r="W156" t="inlineStr">
        <is>
          <t>1991-10-29</t>
        </is>
      </c>
      <c r="X156" t="inlineStr">
        <is>
          <t>1991-10-29</t>
        </is>
      </c>
      <c r="Y156" t="inlineStr">
        <is>
          <t>1988-01-28</t>
        </is>
      </c>
      <c r="Z156" t="inlineStr">
        <is>
          <t>1988-01-28</t>
        </is>
      </c>
      <c r="AA156" t="n">
        <v>108</v>
      </c>
      <c r="AB156" t="n">
        <v>81</v>
      </c>
      <c r="AC156" t="n">
        <v>81</v>
      </c>
      <c r="AD156" t="n">
        <v>1</v>
      </c>
      <c r="AE156" t="n">
        <v>1</v>
      </c>
      <c r="AF156" t="n">
        <v>2</v>
      </c>
      <c r="AG156" t="n">
        <v>2</v>
      </c>
      <c r="AH156" t="n">
        <v>1</v>
      </c>
      <c r="AI156" t="n">
        <v>1</v>
      </c>
      <c r="AJ156" t="n">
        <v>1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HYPERLINK("https://creighton-primo.hosted.exlibrisgroup.com/primo-explore/search?tab=default_tab&amp;search_scope=EVERYTHING&amp;vid=01CRU&amp;lang=en_US&amp;offset=0&amp;query=any,contains,991000952959702656","Catalog Record")</f>
        <v/>
      </c>
      <c r="AV156">
        <f>HYPERLINK("http://www.worldcat.org/oclc/4732796","WorldCat Record")</f>
        <v/>
      </c>
      <c r="AW156" t="inlineStr">
        <is>
          <t>4783688673:eng</t>
        </is>
      </c>
      <c r="AX156" t="inlineStr">
        <is>
          <t>4732796</t>
        </is>
      </c>
      <c r="AY156" t="inlineStr">
        <is>
          <t>991000952959702656</t>
        </is>
      </c>
      <c r="AZ156" t="inlineStr">
        <is>
          <t>991000952959702656</t>
        </is>
      </c>
      <c r="BA156" t="inlineStr">
        <is>
          <t>2262311560002656</t>
        </is>
      </c>
      <c r="BB156" t="inlineStr">
        <is>
          <t>BOOK</t>
        </is>
      </c>
      <c r="BE156" t="inlineStr">
        <is>
          <t>30001000192452</t>
        </is>
      </c>
      <c r="BF156" t="inlineStr">
        <is>
          <t>893560785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QV 38 M613t 1985</t>
        </is>
      </c>
      <c r="E157" t="inlineStr">
        <is>
          <t>0                      QV 0038000M  613t        1985</t>
        </is>
      </c>
      <c r="F157" t="inlineStr">
        <is>
          <t>The therapeutic equivalence of drug products : a second look / Marvin C. Meyer.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Meyer, Marvin C.</t>
        </is>
      </c>
      <c r="N157" t="inlineStr">
        <is>
          <t>[Chattanooga, Tenn.] : University of Tennessee, Center for the Health Sciences, College of Pharmacy, [1985]</t>
        </is>
      </c>
      <c r="O157" t="inlineStr">
        <is>
          <t>1985</t>
        </is>
      </c>
      <c r="Q157" t="inlineStr">
        <is>
          <t>eng</t>
        </is>
      </c>
      <c r="R157" t="inlineStr">
        <is>
          <t>tnu</t>
        </is>
      </c>
      <c r="T157" t="inlineStr">
        <is>
          <t xml:space="preserve">QV </t>
        </is>
      </c>
      <c r="U157" t="n">
        <v>3</v>
      </c>
      <c r="V157" t="n">
        <v>3</v>
      </c>
      <c r="W157" t="inlineStr">
        <is>
          <t>1993-03-23</t>
        </is>
      </c>
      <c r="X157" t="inlineStr">
        <is>
          <t>1993-03-23</t>
        </is>
      </c>
      <c r="Y157" t="inlineStr">
        <is>
          <t>1988-01-28</t>
        </is>
      </c>
      <c r="Z157" t="inlineStr">
        <is>
          <t>1988-01-28</t>
        </is>
      </c>
      <c r="AA157" t="n">
        <v>24</v>
      </c>
      <c r="AB157" t="n">
        <v>24</v>
      </c>
      <c r="AC157" t="n">
        <v>24</v>
      </c>
      <c r="AD157" t="n">
        <v>1</v>
      </c>
      <c r="AE157" t="n">
        <v>1</v>
      </c>
      <c r="AF157" t="n">
        <v>3</v>
      </c>
      <c r="AG157" t="n">
        <v>3</v>
      </c>
      <c r="AH157" t="n">
        <v>2</v>
      </c>
      <c r="AI157" t="n">
        <v>2</v>
      </c>
      <c r="AJ157" t="n">
        <v>1</v>
      </c>
      <c r="AK157" t="n">
        <v>1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HYPERLINK("https://creighton-primo.hosted.exlibrisgroup.com/primo-explore/search?tab=default_tab&amp;search_scope=EVERYTHING&amp;vid=01CRU&amp;lang=en_US&amp;offset=0&amp;query=any,contains,991000952929702656","Catalog Record")</f>
        <v/>
      </c>
      <c r="AV157">
        <f>HYPERLINK("http://www.worldcat.org/oclc/12831981","WorldCat Record")</f>
        <v/>
      </c>
      <c r="AW157" t="inlineStr">
        <is>
          <t>430419064:eng</t>
        </is>
      </c>
      <c r="AX157" t="inlineStr">
        <is>
          <t>12831981</t>
        </is>
      </c>
      <c r="AY157" t="inlineStr">
        <is>
          <t>991000952929702656</t>
        </is>
      </c>
      <c r="AZ157" t="inlineStr">
        <is>
          <t>991000952929702656</t>
        </is>
      </c>
      <c r="BA157" t="inlineStr">
        <is>
          <t>2265162740002656</t>
        </is>
      </c>
      <c r="BB157" t="inlineStr">
        <is>
          <t>BOOK</t>
        </is>
      </c>
      <c r="BE157" t="inlineStr">
        <is>
          <t>30001000192437</t>
        </is>
      </c>
      <c r="BF157" t="inlineStr">
        <is>
          <t>893134122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QV 38 MO167T 1976 v.9</t>
        </is>
      </c>
      <c r="E158" t="inlineStr">
        <is>
          <t>0                      QV 0038000MO 167T        1976                                        v.9</t>
        </is>
      </c>
      <c r="F158" t="inlineStr">
        <is>
          <t>Hormone-receptor interaction : molecular aspects / edited by Gerald S. Levey.</t>
        </is>
      </c>
      <c r="G158" t="inlineStr">
        <is>
          <t>V. 9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N158" t="inlineStr">
        <is>
          <t>New York : Dekker, c1976.</t>
        </is>
      </c>
      <c r="O158" t="inlineStr">
        <is>
          <t>1976</t>
        </is>
      </c>
      <c r="Q158" t="inlineStr">
        <is>
          <t>eng</t>
        </is>
      </c>
      <c r="R158" t="inlineStr">
        <is>
          <t>nyu</t>
        </is>
      </c>
      <c r="S158" t="inlineStr">
        <is>
          <t>Modern pharmacology-toxicology ; v. 9</t>
        </is>
      </c>
      <c r="T158" t="inlineStr">
        <is>
          <t xml:space="preserve">QV </t>
        </is>
      </c>
      <c r="U158" t="n">
        <v>2</v>
      </c>
      <c r="V158" t="n">
        <v>2</v>
      </c>
      <c r="W158" t="inlineStr">
        <is>
          <t>1993-03-01</t>
        </is>
      </c>
      <c r="X158" t="inlineStr">
        <is>
          <t>1993-03-01</t>
        </is>
      </c>
      <c r="Y158" t="inlineStr">
        <is>
          <t>1988-02-04</t>
        </is>
      </c>
      <c r="Z158" t="inlineStr">
        <is>
          <t>1988-02-04</t>
        </is>
      </c>
      <c r="AA158" t="n">
        <v>185</v>
      </c>
      <c r="AB158" t="n">
        <v>139</v>
      </c>
      <c r="AC158" t="n">
        <v>141</v>
      </c>
      <c r="AD158" t="n">
        <v>2</v>
      </c>
      <c r="AE158" t="n">
        <v>2</v>
      </c>
      <c r="AF158" t="n">
        <v>4</v>
      </c>
      <c r="AG158" t="n">
        <v>4</v>
      </c>
      <c r="AH158" t="n">
        <v>1</v>
      </c>
      <c r="AI158" t="n">
        <v>1</v>
      </c>
      <c r="AJ158" t="n">
        <v>0</v>
      </c>
      <c r="AK158" t="n">
        <v>0</v>
      </c>
      <c r="AL158" t="n">
        <v>2</v>
      </c>
      <c r="AM158" t="n">
        <v>2</v>
      </c>
      <c r="AN158" t="n">
        <v>1</v>
      </c>
      <c r="AO158" t="n">
        <v>1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HYPERLINK("http://catalog.hathitrust.org/Record/000027971","HathiTrust Record")</f>
        <v/>
      </c>
      <c r="AU158">
        <f>HYPERLINK("https://creighton-primo.hosted.exlibrisgroup.com/primo-explore/search?tab=default_tab&amp;search_scope=EVERYTHING&amp;vid=01CRU&amp;lang=en_US&amp;offset=0&amp;query=any,contains,991000952869702656","Catalog Record")</f>
        <v/>
      </c>
      <c r="AV158">
        <f>HYPERLINK("http://www.worldcat.org/oclc/2586624","WorldCat Record")</f>
        <v/>
      </c>
      <c r="AW158" t="inlineStr">
        <is>
          <t>803097708:eng</t>
        </is>
      </c>
      <c r="AX158" t="inlineStr">
        <is>
          <t>2586624</t>
        </is>
      </c>
      <c r="AY158" t="inlineStr">
        <is>
          <t>991000952869702656</t>
        </is>
      </c>
      <c r="AZ158" t="inlineStr">
        <is>
          <t>991000952869702656</t>
        </is>
      </c>
      <c r="BA158" t="inlineStr">
        <is>
          <t>2264004280002656</t>
        </is>
      </c>
      <c r="BB158" t="inlineStr">
        <is>
          <t>BOOK</t>
        </is>
      </c>
      <c r="BD158" t="inlineStr">
        <is>
          <t>9780824764388</t>
        </is>
      </c>
      <c r="BE158" t="inlineStr">
        <is>
          <t>30001000192395</t>
        </is>
      </c>
      <c r="BF158" t="inlineStr">
        <is>
          <t>893161559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QV 38 MO167T 1978 v.11</t>
        </is>
      </c>
      <c r="E159" t="inlineStr">
        <is>
          <t>0                      QV 0038000MO 167T        1978                                        v.11</t>
        </is>
      </c>
      <c r="F159" t="inlineStr">
        <is>
          <t>Receptors in pharmacology / [edited by] John R. Smythies, Ronald J. Bradley.</t>
        </is>
      </c>
      <c r="G159" t="inlineStr">
        <is>
          <t>V.11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New York : Dekker, c1978.</t>
        </is>
      </c>
      <c r="O159" t="inlineStr">
        <is>
          <t>1978</t>
        </is>
      </c>
      <c r="Q159" t="inlineStr">
        <is>
          <t>eng</t>
        </is>
      </c>
      <c r="R159" t="inlineStr">
        <is>
          <t>nyu</t>
        </is>
      </c>
      <c r="S159" t="inlineStr">
        <is>
          <t>Modern pharmacology-toxicology ; v. 11</t>
        </is>
      </c>
      <c r="T159" t="inlineStr">
        <is>
          <t xml:space="preserve">QV </t>
        </is>
      </c>
      <c r="U159" t="n">
        <v>17</v>
      </c>
      <c r="V159" t="n">
        <v>17</v>
      </c>
      <c r="W159" t="inlineStr">
        <is>
          <t>2008-05-25</t>
        </is>
      </c>
      <c r="X159" t="inlineStr">
        <is>
          <t>2008-05-25</t>
        </is>
      </c>
      <c r="Y159" t="inlineStr">
        <is>
          <t>1988-02-04</t>
        </is>
      </c>
      <c r="Z159" t="inlineStr">
        <is>
          <t>1988-02-04</t>
        </is>
      </c>
      <c r="AA159" t="n">
        <v>189</v>
      </c>
      <c r="AB159" t="n">
        <v>131</v>
      </c>
      <c r="AC159" t="n">
        <v>132</v>
      </c>
      <c r="AD159" t="n">
        <v>2</v>
      </c>
      <c r="AE159" t="n">
        <v>2</v>
      </c>
      <c r="AF159" t="n">
        <v>3</v>
      </c>
      <c r="AG159" t="n">
        <v>3</v>
      </c>
      <c r="AH159" t="n">
        <v>1</v>
      </c>
      <c r="AI159" t="n">
        <v>1</v>
      </c>
      <c r="AJ159" t="n">
        <v>1</v>
      </c>
      <c r="AK159" t="n">
        <v>1</v>
      </c>
      <c r="AL159" t="n">
        <v>0</v>
      </c>
      <c r="AM159" t="n">
        <v>0</v>
      </c>
      <c r="AN159" t="n">
        <v>1</v>
      </c>
      <c r="AO159" t="n">
        <v>1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HYPERLINK("http://catalog.hathitrust.org/Record/000088743","HathiTrust Record")</f>
        <v/>
      </c>
      <c r="AU159">
        <f>HYPERLINK("https://creighton-primo.hosted.exlibrisgroup.com/primo-explore/search?tab=default_tab&amp;search_scope=EVERYTHING&amp;vid=01CRU&amp;lang=en_US&amp;offset=0&amp;query=any,contains,991000952829702656","Catalog Record")</f>
        <v/>
      </c>
      <c r="AV159">
        <f>HYPERLINK("http://www.worldcat.org/oclc/3517612","WorldCat Record")</f>
        <v/>
      </c>
      <c r="AW159" t="inlineStr">
        <is>
          <t>364432150:eng</t>
        </is>
      </c>
      <c r="AX159" t="inlineStr">
        <is>
          <t>3517612</t>
        </is>
      </c>
      <c r="AY159" t="inlineStr">
        <is>
          <t>991000952829702656</t>
        </is>
      </c>
      <c r="AZ159" t="inlineStr">
        <is>
          <t>991000952829702656</t>
        </is>
      </c>
      <c r="BA159" t="inlineStr">
        <is>
          <t>2271215460002656</t>
        </is>
      </c>
      <c r="BB159" t="inlineStr">
        <is>
          <t>BOOK</t>
        </is>
      </c>
      <c r="BD159" t="inlineStr">
        <is>
          <t>9780824765460</t>
        </is>
      </c>
      <c r="BE159" t="inlineStr">
        <is>
          <t>30001000192387</t>
        </is>
      </c>
      <c r="BF159" t="inlineStr">
        <is>
          <t>893368927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QV 38 MO167T 1982 v.20</t>
        </is>
      </c>
      <c r="E160" t="inlineStr">
        <is>
          <t>0                      QV 0038000MO 167T        1982                                        v.20</t>
        </is>
      </c>
      <c r="F160" t="inlineStr">
        <is>
          <t>Endorphins : chemistry, physiology, pharmacology, and clinical relevance / edited by Jeffrey B. Malick, Robert M.S. Bell.</t>
        </is>
      </c>
      <c r="G160" t="inlineStr">
        <is>
          <t>V. 20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New York : Dekker, c1982.</t>
        </is>
      </c>
      <c r="O160" t="inlineStr">
        <is>
          <t>1982</t>
        </is>
      </c>
      <c r="Q160" t="inlineStr">
        <is>
          <t>eng</t>
        </is>
      </c>
      <c r="R160" t="inlineStr">
        <is>
          <t>xxu</t>
        </is>
      </c>
      <c r="S160" t="inlineStr">
        <is>
          <t>Modern pharmacology-toxicology ; v. 20</t>
        </is>
      </c>
      <c r="T160" t="inlineStr">
        <is>
          <t xml:space="preserve">QV </t>
        </is>
      </c>
      <c r="U160" t="n">
        <v>8</v>
      </c>
      <c r="V160" t="n">
        <v>8</v>
      </c>
      <c r="W160" t="inlineStr">
        <is>
          <t>1991-06-17</t>
        </is>
      </c>
      <c r="X160" t="inlineStr">
        <is>
          <t>1991-06-17</t>
        </is>
      </c>
      <c r="Y160" t="inlineStr">
        <is>
          <t>1987-09-28</t>
        </is>
      </c>
      <c r="Z160" t="inlineStr">
        <is>
          <t>1987-09-28</t>
        </is>
      </c>
      <c r="AA160" t="n">
        <v>236</v>
      </c>
      <c r="AB160" t="n">
        <v>179</v>
      </c>
      <c r="AC160" t="n">
        <v>181</v>
      </c>
      <c r="AD160" t="n">
        <v>1</v>
      </c>
      <c r="AE160" t="n">
        <v>1</v>
      </c>
      <c r="AF160" t="n">
        <v>6</v>
      </c>
      <c r="AG160" t="n">
        <v>6</v>
      </c>
      <c r="AH160" t="n">
        <v>1</v>
      </c>
      <c r="AI160" t="n">
        <v>1</v>
      </c>
      <c r="AJ160" t="n">
        <v>2</v>
      </c>
      <c r="AK160" t="n">
        <v>2</v>
      </c>
      <c r="AL160" t="n">
        <v>5</v>
      </c>
      <c r="AM160" t="n">
        <v>5</v>
      </c>
      <c r="AN160" t="n">
        <v>0</v>
      </c>
      <c r="AO160" t="n">
        <v>0</v>
      </c>
      <c r="AP160" t="n">
        <v>0</v>
      </c>
      <c r="AQ160" t="n">
        <v>0</v>
      </c>
      <c r="AR160" t="inlineStr">
        <is>
          <t>No</t>
        </is>
      </c>
      <c r="AS160" t="inlineStr">
        <is>
          <t>Yes</t>
        </is>
      </c>
      <c r="AT160">
        <f>HYPERLINK("http://catalog.hathitrust.org/Record/000766258","HathiTrust Record")</f>
        <v/>
      </c>
      <c r="AU160">
        <f>HYPERLINK("https://creighton-primo.hosted.exlibrisgroup.com/primo-explore/search?tab=default_tab&amp;search_scope=EVERYTHING&amp;vid=01CRU&amp;lang=en_US&amp;offset=0&amp;query=any,contains,991000747689702656","Catalog Record")</f>
        <v/>
      </c>
      <c r="AV160">
        <f>HYPERLINK("http://www.worldcat.org/oclc/8169519","WorldCat Record")</f>
        <v/>
      </c>
      <c r="AW160" t="inlineStr">
        <is>
          <t>982659596:eng</t>
        </is>
      </c>
      <c r="AX160" t="inlineStr">
        <is>
          <t>8169519</t>
        </is>
      </c>
      <c r="AY160" t="inlineStr">
        <is>
          <t>991000747689702656</t>
        </is>
      </c>
      <c r="AZ160" t="inlineStr">
        <is>
          <t>991000747689702656</t>
        </is>
      </c>
      <c r="BA160" t="inlineStr">
        <is>
          <t>2265213040002656</t>
        </is>
      </c>
      <c r="BB160" t="inlineStr">
        <is>
          <t>BOOK</t>
        </is>
      </c>
      <c r="BD160" t="inlineStr">
        <is>
          <t>9780824716875</t>
        </is>
      </c>
      <c r="BE160" t="inlineStr">
        <is>
          <t>30001000046351</t>
        </is>
      </c>
      <c r="BF160" t="inlineStr">
        <is>
          <t>893540388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QV 38 N812 1994</t>
        </is>
      </c>
      <c r="E161" t="inlineStr">
        <is>
          <t>0                      QV 0038000N  812         1994</t>
        </is>
      </c>
      <c r="F161" t="inlineStr">
        <is>
          <t>Noncompliance with medications : an economic tragedy with important implications for health care reform : a report / by The Task Force for Compliance.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Baltimore, Md. : The Task Force for Compliance, 1994</t>
        </is>
      </c>
      <c r="O161" t="inlineStr">
        <is>
          <t>1994</t>
        </is>
      </c>
      <c r="Q161" t="inlineStr">
        <is>
          <t>eng</t>
        </is>
      </c>
      <c r="R161" t="inlineStr">
        <is>
          <t>mdu</t>
        </is>
      </c>
      <c r="T161" t="inlineStr">
        <is>
          <t xml:space="preserve">QV </t>
        </is>
      </c>
      <c r="U161" t="n">
        <v>25</v>
      </c>
      <c r="V161" t="n">
        <v>25</v>
      </c>
      <c r="W161" t="inlineStr">
        <is>
          <t>2009-07-31</t>
        </is>
      </c>
      <c r="X161" t="inlineStr">
        <is>
          <t>2009-07-31</t>
        </is>
      </c>
      <c r="Y161" t="inlineStr">
        <is>
          <t>1995-02-28</t>
        </is>
      </c>
      <c r="Z161" t="inlineStr">
        <is>
          <t>1995-02-28</t>
        </is>
      </c>
      <c r="AA161" t="n">
        <v>10</v>
      </c>
      <c r="AB161" t="n">
        <v>10</v>
      </c>
      <c r="AC161" t="n">
        <v>12</v>
      </c>
      <c r="AD161" t="n">
        <v>1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HYPERLINK("http://catalog.hathitrust.org/Record/002966645","HathiTrust Record")</f>
        <v/>
      </c>
      <c r="AU161">
        <f>HYPERLINK("https://creighton-primo.hosted.exlibrisgroup.com/primo-explore/search?tab=default_tab&amp;search_scope=EVERYTHING&amp;vid=01CRU&amp;lang=en_US&amp;offset=0&amp;query=any,contains,991000687609702656","Catalog Record")</f>
        <v/>
      </c>
      <c r="AV161">
        <f>HYPERLINK("http://www.worldcat.org/oclc/31594309","WorldCat Record")</f>
        <v/>
      </c>
      <c r="AW161" t="inlineStr">
        <is>
          <t>1151754150:eng</t>
        </is>
      </c>
      <c r="AX161" t="inlineStr">
        <is>
          <t>31594309</t>
        </is>
      </c>
      <c r="AY161" t="inlineStr">
        <is>
          <t>991000687609702656</t>
        </is>
      </c>
      <c r="AZ161" t="inlineStr">
        <is>
          <t>991000687609702656</t>
        </is>
      </c>
      <c r="BA161" t="inlineStr">
        <is>
          <t>2261623050002656</t>
        </is>
      </c>
      <c r="BB161" t="inlineStr">
        <is>
          <t>BOOK</t>
        </is>
      </c>
      <c r="BE161" t="inlineStr">
        <is>
          <t>30001002699405</t>
        </is>
      </c>
      <c r="BF161" t="inlineStr">
        <is>
          <t>893825382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QV 38 P5315 1991</t>
        </is>
      </c>
      <c r="E162" t="inlineStr">
        <is>
          <t>0                      QV 0038000P  5315        1991</t>
        </is>
      </c>
      <c r="F162" t="inlineStr">
        <is>
          <t>Pharmaceutical bioequivalence / edited by Peter G. Welling, Francis L.S. Tse, Shrikant V. Dighe.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N162" t="inlineStr">
        <is>
          <t>New York : Dekker, c1991.</t>
        </is>
      </c>
      <c r="O162" t="inlineStr">
        <is>
          <t>1991</t>
        </is>
      </c>
      <c r="Q162" t="inlineStr">
        <is>
          <t>eng</t>
        </is>
      </c>
      <c r="R162" t="inlineStr">
        <is>
          <t>xxu</t>
        </is>
      </c>
      <c r="S162" t="inlineStr">
        <is>
          <t>Drugs and the pharmaceutical sciences ; v. 48</t>
        </is>
      </c>
      <c r="T162" t="inlineStr">
        <is>
          <t xml:space="preserve">QV </t>
        </is>
      </c>
      <c r="U162" t="n">
        <v>8</v>
      </c>
      <c r="V162" t="n">
        <v>8</v>
      </c>
      <c r="W162" t="inlineStr">
        <is>
          <t>2004-12-21</t>
        </is>
      </c>
      <c r="X162" t="inlineStr">
        <is>
          <t>2004-12-21</t>
        </is>
      </c>
      <c r="Y162" t="inlineStr">
        <is>
          <t>1991-10-30</t>
        </is>
      </c>
      <c r="Z162" t="inlineStr">
        <is>
          <t>1991-10-30</t>
        </is>
      </c>
      <c r="AA162" t="n">
        <v>158</v>
      </c>
      <c r="AB162" t="n">
        <v>111</v>
      </c>
      <c r="AC162" t="n">
        <v>111</v>
      </c>
      <c r="AD162" t="n">
        <v>1</v>
      </c>
      <c r="AE162" t="n">
        <v>1</v>
      </c>
      <c r="AF162" t="n">
        <v>4</v>
      </c>
      <c r="AG162" t="n">
        <v>4</v>
      </c>
      <c r="AH162" t="n">
        <v>3</v>
      </c>
      <c r="AI162" t="n">
        <v>3</v>
      </c>
      <c r="AJ162" t="n">
        <v>2</v>
      </c>
      <c r="AK162" t="n">
        <v>2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HYPERLINK("https://creighton-primo.hosted.exlibrisgroup.com/primo-explore/search?tab=default_tab&amp;search_scope=EVERYTHING&amp;vid=01CRU&amp;lang=en_US&amp;offset=0&amp;query=any,contains,991000948169702656","Catalog Record")</f>
        <v/>
      </c>
      <c r="AV162">
        <f>HYPERLINK("http://www.worldcat.org/oclc/23973699","WorldCat Record")</f>
        <v/>
      </c>
      <c r="AW162" t="inlineStr">
        <is>
          <t>354617336:eng</t>
        </is>
      </c>
      <c r="AX162" t="inlineStr">
        <is>
          <t>23973699</t>
        </is>
      </c>
      <c r="AY162" t="inlineStr">
        <is>
          <t>991000948169702656</t>
        </is>
      </c>
      <c r="AZ162" t="inlineStr">
        <is>
          <t>991000948169702656</t>
        </is>
      </c>
      <c r="BA162" t="inlineStr">
        <is>
          <t>2265417290002656</t>
        </is>
      </c>
      <c r="BB162" t="inlineStr">
        <is>
          <t>BOOK</t>
        </is>
      </c>
      <c r="BD162" t="inlineStr">
        <is>
          <t>9780824784843</t>
        </is>
      </c>
      <c r="BE162" t="inlineStr">
        <is>
          <t>30001002194373</t>
        </is>
      </c>
      <c r="BF162" t="inlineStr">
        <is>
          <t>893831772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QV38 P5319 2005</t>
        </is>
      </c>
      <c r="E163" t="inlineStr">
        <is>
          <t>0                      QV 0038000P  5319        2005</t>
        </is>
      </c>
      <c r="F163" t="inlineStr">
        <is>
          <t>Pharmacogenomics / [edited by] Werner Kalow, Urs A. Meyer, Rachel F. Tyndale.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Boca Raton : Taylor &amp; Francis, 2005.</t>
        </is>
      </c>
      <c r="O163" t="inlineStr">
        <is>
          <t>2005</t>
        </is>
      </c>
      <c r="P163" t="inlineStr">
        <is>
          <t>2nd ed.</t>
        </is>
      </c>
      <c r="Q163" t="inlineStr">
        <is>
          <t>eng</t>
        </is>
      </c>
      <c r="R163" t="inlineStr">
        <is>
          <t>flu</t>
        </is>
      </c>
      <c r="S163" t="inlineStr">
        <is>
          <t>Drugs and the pharmaceutical sciences ; 156</t>
        </is>
      </c>
      <c r="T163" t="inlineStr">
        <is>
          <t xml:space="preserve">QV </t>
        </is>
      </c>
      <c r="U163" t="n">
        <v>8</v>
      </c>
      <c r="V163" t="n">
        <v>8</v>
      </c>
      <c r="W163" t="inlineStr">
        <is>
          <t>2010-08-29</t>
        </is>
      </c>
      <c r="X163" t="inlineStr">
        <is>
          <t>2010-08-29</t>
        </is>
      </c>
      <c r="Y163" t="inlineStr">
        <is>
          <t>2006-04-06</t>
        </is>
      </c>
      <c r="Z163" t="inlineStr">
        <is>
          <t>2006-04-06</t>
        </is>
      </c>
      <c r="AA163" t="n">
        <v>139</v>
      </c>
      <c r="AB163" t="n">
        <v>91</v>
      </c>
      <c r="AC163" t="n">
        <v>184</v>
      </c>
      <c r="AD163" t="n">
        <v>1</v>
      </c>
      <c r="AE163" t="n">
        <v>1</v>
      </c>
      <c r="AF163" t="n">
        <v>3</v>
      </c>
      <c r="AG163" t="n">
        <v>6</v>
      </c>
      <c r="AH163" t="n">
        <v>0</v>
      </c>
      <c r="AI163" t="n">
        <v>2</v>
      </c>
      <c r="AJ163" t="n">
        <v>2</v>
      </c>
      <c r="AK163" t="n">
        <v>3</v>
      </c>
      <c r="AL163" t="n">
        <v>1</v>
      </c>
      <c r="AM163" t="n">
        <v>2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No</t>
        </is>
      </c>
      <c r="AU163">
        <f>HYPERLINK("https://creighton-primo.hosted.exlibrisgroup.com/primo-explore/search?tab=default_tab&amp;search_scope=EVERYTHING&amp;vid=01CRU&amp;lang=en_US&amp;offset=0&amp;query=any,contains,991000472619702656","Catalog Record")</f>
        <v/>
      </c>
      <c r="AV163">
        <f>HYPERLINK("http://www.worldcat.org/oclc/60825584","WorldCat Record")</f>
        <v/>
      </c>
      <c r="AW163" t="inlineStr">
        <is>
          <t>864040764:eng</t>
        </is>
      </c>
      <c r="AX163" t="inlineStr">
        <is>
          <t>60825584</t>
        </is>
      </c>
      <c r="AY163" t="inlineStr">
        <is>
          <t>991000472619702656</t>
        </is>
      </c>
      <c r="AZ163" t="inlineStr">
        <is>
          <t>991000472619702656</t>
        </is>
      </c>
      <c r="BA163" t="inlineStr">
        <is>
          <t>2269010490002656</t>
        </is>
      </c>
      <c r="BB163" t="inlineStr">
        <is>
          <t>BOOK</t>
        </is>
      </c>
      <c r="BD163" t="inlineStr">
        <is>
          <t>9781574448788</t>
        </is>
      </c>
      <c r="BE163" t="inlineStr">
        <is>
          <t>30001005127123</t>
        </is>
      </c>
      <c r="BF163" t="inlineStr">
        <is>
          <t>893728451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QV 38 P5355 1994</t>
        </is>
      </c>
      <c r="E164" t="inlineStr">
        <is>
          <t>0                      QV 0038000P  5355        1994</t>
        </is>
      </c>
      <c r="F164" t="inlineStr">
        <is>
          <t>The Pharmacologic approach to the critically ill patient / editor, Bart Chernow ; associate editors, John W. Holaday, Gary P. Zaloga, Arno L. Zaritsky ; editorial assistant, Lisa Daniel.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Baltimore, MD : Williams &amp; Wilkins, c1994.</t>
        </is>
      </c>
      <c r="O164" t="inlineStr">
        <is>
          <t>1994</t>
        </is>
      </c>
      <c r="P164" t="inlineStr">
        <is>
          <t>3rd ed.</t>
        </is>
      </c>
      <c r="Q164" t="inlineStr">
        <is>
          <t>eng</t>
        </is>
      </c>
      <c r="R164" t="inlineStr">
        <is>
          <t>mdu</t>
        </is>
      </c>
      <c r="T164" t="inlineStr">
        <is>
          <t xml:space="preserve">QV </t>
        </is>
      </c>
      <c r="U164" t="n">
        <v>8</v>
      </c>
      <c r="V164" t="n">
        <v>8</v>
      </c>
      <c r="W164" t="inlineStr">
        <is>
          <t>1997-05-05</t>
        </is>
      </c>
      <c r="X164" t="inlineStr">
        <is>
          <t>1997-05-05</t>
        </is>
      </c>
      <c r="Y164" t="inlineStr">
        <is>
          <t>1994-01-11</t>
        </is>
      </c>
      <c r="Z164" t="inlineStr">
        <is>
          <t>1994-01-11</t>
        </is>
      </c>
      <c r="AA164" t="n">
        <v>171</v>
      </c>
      <c r="AB164" t="n">
        <v>126</v>
      </c>
      <c r="AC164" t="n">
        <v>224</v>
      </c>
      <c r="AD164" t="n">
        <v>1</v>
      </c>
      <c r="AE164" t="n">
        <v>1</v>
      </c>
      <c r="AF164" t="n">
        <v>3</v>
      </c>
      <c r="AG164" t="n">
        <v>6</v>
      </c>
      <c r="AH164" t="n">
        <v>2</v>
      </c>
      <c r="AI164" t="n">
        <v>3</v>
      </c>
      <c r="AJ164" t="n">
        <v>2</v>
      </c>
      <c r="AK164" t="n">
        <v>3</v>
      </c>
      <c r="AL164" t="n">
        <v>0</v>
      </c>
      <c r="AM164" t="n">
        <v>1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HYPERLINK("https://creighton-primo.hosted.exlibrisgroup.com/primo-explore/search?tab=default_tab&amp;search_scope=EVERYTHING&amp;vid=01CRU&amp;lang=en_US&amp;offset=0&amp;query=any,contains,991000649389702656","Catalog Record")</f>
        <v/>
      </c>
      <c r="AV164">
        <f>HYPERLINK("http://www.worldcat.org/oclc/28678521","WorldCat Record")</f>
        <v/>
      </c>
      <c r="AW164" t="inlineStr">
        <is>
          <t>353700961:eng</t>
        </is>
      </c>
      <c r="AX164" t="inlineStr">
        <is>
          <t>28678521</t>
        </is>
      </c>
      <c r="AY164" t="inlineStr">
        <is>
          <t>991000649389702656</t>
        </is>
      </c>
      <c r="AZ164" t="inlineStr">
        <is>
          <t>991000649389702656</t>
        </is>
      </c>
      <c r="BA164" t="inlineStr">
        <is>
          <t>2267167270002656</t>
        </is>
      </c>
      <c r="BB164" t="inlineStr">
        <is>
          <t>BOOK</t>
        </is>
      </c>
      <c r="BD164" t="inlineStr">
        <is>
          <t>9780683015249</t>
        </is>
      </c>
      <c r="BE164" t="inlineStr">
        <is>
          <t>30001002690792</t>
        </is>
      </c>
      <c r="BF164" t="inlineStr">
        <is>
          <t>893160726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QV 38 P536 1977-81</t>
        </is>
      </c>
      <c r="E165" t="inlineStr">
        <is>
          <t>0                      QV 0038000P  536         1977                                        -81</t>
        </is>
      </c>
      <c r="F165" t="inlineStr">
        <is>
          <t>Pharmacological and biochemical properties of drug substances / Morton E. Goldberg, editor.</t>
        </is>
      </c>
      <c r="G165" t="inlineStr">
        <is>
          <t>V. 2</t>
        </is>
      </c>
      <c r="H165" t="inlineStr">
        <is>
          <t>Yes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Washington : American Pharmaceutical Association, Academy of Pharmaceutical Sciences, c1977-1981.</t>
        </is>
      </c>
      <c r="O165" t="inlineStr">
        <is>
          <t>1977</t>
        </is>
      </c>
      <c r="Q165" t="inlineStr">
        <is>
          <t>eng</t>
        </is>
      </c>
      <c r="R165" t="inlineStr">
        <is>
          <t>dcu</t>
        </is>
      </c>
      <c r="T165" t="inlineStr">
        <is>
          <t xml:space="preserve">QV </t>
        </is>
      </c>
      <c r="U165" t="n">
        <v>2</v>
      </c>
      <c r="V165" t="n">
        <v>6</v>
      </c>
      <c r="W165" t="inlineStr">
        <is>
          <t>2007-02-04</t>
        </is>
      </c>
      <c r="X165" t="inlineStr">
        <is>
          <t>2007-02-04</t>
        </is>
      </c>
      <c r="Y165" t="inlineStr">
        <is>
          <t>1987-12-11</t>
        </is>
      </c>
      <c r="Z165" t="inlineStr">
        <is>
          <t>1989-07-21</t>
        </is>
      </c>
      <c r="AA165" t="n">
        <v>138</v>
      </c>
      <c r="AB165" t="n">
        <v>118</v>
      </c>
      <c r="AC165" t="n">
        <v>121</v>
      </c>
      <c r="AD165" t="n">
        <v>1</v>
      </c>
      <c r="AE165" t="n">
        <v>1</v>
      </c>
      <c r="AF165" t="n">
        <v>3</v>
      </c>
      <c r="AG165" t="n">
        <v>3</v>
      </c>
      <c r="AH165" t="n">
        <v>1</v>
      </c>
      <c r="AI165" t="n">
        <v>1</v>
      </c>
      <c r="AJ165" t="n">
        <v>1</v>
      </c>
      <c r="AK165" t="n">
        <v>1</v>
      </c>
      <c r="AL165" t="n">
        <v>1</v>
      </c>
      <c r="AM165" t="n">
        <v>1</v>
      </c>
      <c r="AN165" t="n">
        <v>0</v>
      </c>
      <c r="AO165" t="n">
        <v>0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HYPERLINK("http://catalog.hathitrust.org/Record/000188097","HathiTrust Record")</f>
        <v/>
      </c>
      <c r="AU165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V165">
        <f>HYPERLINK("http://www.worldcat.org/oclc/3710703","WorldCat Record")</f>
        <v/>
      </c>
      <c r="AW165" t="inlineStr">
        <is>
          <t>356026183:eng</t>
        </is>
      </c>
      <c r="AX165" t="inlineStr">
        <is>
          <t>3710703</t>
        </is>
      </c>
      <c r="AY165" t="inlineStr">
        <is>
          <t>991001254869702656</t>
        </is>
      </c>
      <c r="AZ165" t="inlineStr">
        <is>
          <t>991001254869702656</t>
        </is>
      </c>
      <c r="BA165" t="inlineStr">
        <is>
          <t>2263897030002656</t>
        </is>
      </c>
      <c r="BB165" t="inlineStr">
        <is>
          <t>BOOK</t>
        </is>
      </c>
      <c r="BD165" t="inlineStr">
        <is>
          <t>9780917330179</t>
        </is>
      </c>
      <c r="BE165" t="inlineStr">
        <is>
          <t>30001000369555</t>
        </is>
      </c>
      <c r="BF165" t="inlineStr">
        <is>
          <t>893268248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QV 38 P536 1977-81</t>
        </is>
      </c>
      <c r="E166" t="inlineStr">
        <is>
          <t>0                      QV 0038000P  536         1977                                        -81</t>
        </is>
      </c>
      <c r="F166" t="inlineStr">
        <is>
          <t>Pharmacological and biochemical properties of drug substances / Morton E. Goldberg, editor.</t>
        </is>
      </c>
      <c r="G166" t="inlineStr">
        <is>
          <t>V. 1</t>
        </is>
      </c>
      <c r="H166" t="inlineStr">
        <is>
          <t>Yes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Washington : American Pharmaceutical Association, Academy of Pharmaceutical Sciences, c1977-1981.</t>
        </is>
      </c>
      <c r="O166" t="inlineStr">
        <is>
          <t>1977</t>
        </is>
      </c>
      <c r="Q166" t="inlineStr">
        <is>
          <t>eng</t>
        </is>
      </c>
      <c r="R166" t="inlineStr">
        <is>
          <t>dcu</t>
        </is>
      </c>
      <c r="T166" t="inlineStr">
        <is>
          <t xml:space="preserve">QV </t>
        </is>
      </c>
      <c r="U166" t="n">
        <v>1</v>
      </c>
      <c r="V166" t="n">
        <v>6</v>
      </c>
      <c r="W166" t="inlineStr">
        <is>
          <t>2007-02-04</t>
        </is>
      </c>
      <c r="X166" t="inlineStr">
        <is>
          <t>2007-02-04</t>
        </is>
      </c>
      <c r="Y166" t="inlineStr">
        <is>
          <t>1987-12-11</t>
        </is>
      </c>
      <c r="Z166" t="inlineStr">
        <is>
          <t>1989-07-21</t>
        </is>
      </c>
      <c r="AA166" t="n">
        <v>138</v>
      </c>
      <c r="AB166" t="n">
        <v>118</v>
      </c>
      <c r="AC166" t="n">
        <v>121</v>
      </c>
      <c r="AD166" t="n">
        <v>1</v>
      </c>
      <c r="AE166" t="n">
        <v>1</v>
      </c>
      <c r="AF166" t="n">
        <v>3</v>
      </c>
      <c r="AG166" t="n">
        <v>3</v>
      </c>
      <c r="AH166" t="n">
        <v>1</v>
      </c>
      <c r="AI166" t="n">
        <v>1</v>
      </c>
      <c r="AJ166" t="n">
        <v>1</v>
      </c>
      <c r="AK166" t="n">
        <v>1</v>
      </c>
      <c r="AL166" t="n">
        <v>1</v>
      </c>
      <c r="AM166" t="n">
        <v>1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HYPERLINK("http://catalog.hathitrust.org/Record/000188097","HathiTrust Record")</f>
        <v/>
      </c>
      <c r="AU166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V166">
        <f>HYPERLINK("http://www.worldcat.org/oclc/3710703","WorldCat Record")</f>
        <v/>
      </c>
      <c r="AW166" t="inlineStr">
        <is>
          <t>356026183:eng</t>
        </is>
      </c>
      <c r="AX166" t="inlineStr">
        <is>
          <t>3710703</t>
        </is>
      </c>
      <c r="AY166" t="inlineStr">
        <is>
          <t>991001254869702656</t>
        </is>
      </c>
      <c r="AZ166" t="inlineStr">
        <is>
          <t>991001254869702656</t>
        </is>
      </c>
      <c r="BA166" t="inlineStr">
        <is>
          <t>2263897030002656</t>
        </is>
      </c>
      <c r="BB166" t="inlineStr">
        <is>
          <t>BOOK</t>
        </is>
      </c>
      <c r="BD166" t="inlineStr">
        <is>
          <t>9780917330179</t>
        </is>
      </c>
      <c r="BE166" t="inlineStr">
        <is>
          <t>30001000369548</t>
        </is>
      </c>
      <c r="BF166" t="inlineStr">
        <is>
          <t>893273937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QV 38 P536 1977-81</t>
        </is>
      </c>
      <c r="E167" t="inlineStr">
        <is>
          <t>0                      QV 0038000P  536         1977                                        -81</t>
        </is>
      </c>
      <c r="F167" t="inlineStr">
        <is>
          <t>Pharmacological and biochemical properties of drug substances / Morton E. Goldberg, editor.</t>
        </is>
      </c>
      <c r="G167" t="inlineStr">
        <is>
          <t>V. 3</t>
        </is>
      </c>
      <c r="H167" t="inlineStr">
        <is>
          <t>Yes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N167" t="inlineStr">
        <is>
          <t>Washington : American Pharmaceutical Association, Academy of Pharmaceutical Sciences, c1977-1981.</t>
        </is>
      </c>
      <c r="O167" t="inlineStr">
        <is>
          <t>1977</t>
        </is>
      </c>
      <c r="Q167" t="inlineStr">
        <is>
          <t>eng</t>
        </is>
      </c>
      <c r="R167" t="inlineStr">
        <is>
          <t>dcu</t>
        </is>
      </c>
      <c r="T167" t="inlineStr">
        <is>
          <t xml:space="preserve">QV </t>
        </is>
      </c>
      <c r="U167" t="n">
        <v>3</v>
      </c>
      <c r="V167" t="n">
        <v>6</v>
      </c>
      <c r="W167" t="inlineStr">
        <is>
          <t>2007-02-04</t>
        </is>
      </c>
      <c r="X167" t="inlineStr">
        <is>
          <t>2007-02-04</t>
        </is>
      </c>
      <c r="Y167" t="inlineStr">
        <is>
          <t>1989-07-21</t>
        </is>
      </c>
      <c r="Z167" t="inlineStr">
        <is>
          <t>1989-07-21</t>
        </is>
      </c>
      <c r="AA167" t="n">
        <v>138</v>
      </c>
      <c r="AB167" t="n">
        <v>118</v>
      </c>
      <c r="AC167" t="n">
        <v>121</v>
      </c>
      <c r="AD167" t="n">
        <v>1</v>
      </c>
      <c r="AE167" t="n">
        <v>1</v>
      </c>
      <c r="AF167" t="n">
        <v>3</v>
      </c>
      <c r="AG167" t="n">
        <v>3</v>
      </c>
      <c r="AH167" t="n">
        <v>1</v>
      </c>
      <c r="AI167" t="n">
        <v>1</v>
      </c>
      <c r="AJ167" t="n">
        <v>1</v>
      </c>
      <c r="AK167" t="n">
        <v>1</v>
      </c>
      <c r="AL167" t="n">
        <v>1</v>
      </c>
      <c r="AM167" t="n">
        <v>1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Yes</t>
        </is>
      </c>
      <c r="AT167">
        <f>HYPERLINK("http://catalog.hathitrust.org/Record/000188097","HathiTrust Record")</f>
        <v/>
      </c>
      <c r="AU167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V167">
        <f>HYPERLINK("http://www.worldcat.org/oclc/3710703","WorldCat Record")</f>
        <v/>
      </c>
      <c r="AW167" t="inlineStr">
        <is>
          <t>356026183:eng</t>
        </is>
      </c>
      <c r="AX167" t="inlineStr">
        <is>
          <t>3710703</t>
        </is>
      </c>
      <c r="AY167" t="inlineStr">
        <is>
          <t>991001254869702656</t>
        </is>
      </c>
      <c r="AZ167" t="inlineStr">
        <is>
          <t>991001254869702656</t>
        </is>
      </c>
      <c r="BA167" t="inlineStr">
        <is>
          <t>2263897030002656</t>
        </is>
      </c>
      <c r="BB167" t="inlineStr">
        <is>
          <t>BOOK</t>
        </is>
      </c>
      <c r="BD167" t="inlineStr">
        <is>
          <t>9780917330179</t>
        </is>
      </c>
      <c r="BE167" t="inlineStr">
        <is>
          <t>30001001679960</t>
        </is>
      </c>
      <c r="BF167" t="inlineStr">
        <is>
          <t>893284605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QV 38 P698b 1977</t>
        </is>
      </c>
      <c r="E168" t="inlineStr">
        <is>
          <t>0                      QV 0038000P  698b        1977</t>
        </is>
      </c>
      <c r="F168" t="inlineStr">
        <is>
          <t>Basic concepts in biopharmaceutics : an introduction / Fotios M. Plakogiannis and Anthony J. Cutie.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Plakogiannis, Fotios M.</t>
        </is>
      </c>
      <c r="N168" t="inlineStr">
        <is>
          <t>-- Brooklyn, N. Y. : Brooklyn Medical Press, 1977.</t>
        </is>
      </c>
      <c r="O168" t="inlineStr">
        <is>
          <t>1977</t>
        </is>
      </c>
      <c r="Q168" t="inlineStr">
        <is>
          <t>eng</t>
        </is>
      </c>
      <c r="R168" t="inlineStr">
        <is>
          <t>nyu</t>
        </is>
      </c>
      <c r="T168" t="inlineStr">
        <is>
          <t xml:space="preserve">QV </t>
        </is>
      </c>
      <c r="U168" t="n">
        <v>3</v>
      </c>
      <c r="V168" t="n">
        <v>3</v>
      </c>
      <c r="W168" t="inlineStr">
        <is>
          <t>1998-04-29</t>
        </is>
      </c>
      <c r="X168" t="inlineStr">
        <is>
          <t>1998-04-29</t>
        </is>
      </c>
      <c r="Y168" t="inlineStr">
        <is>
          <t>1988-02-04</t>
        </is>
      </c>
      <c r="Z168" t="inlineStr">
        <is>
          <t>1988-02-04</t>
        </is>
      </c>
      <c r="AA168" t="n">
        <v>25</v>
      </c>
      <c r="AB168" t="n">
        <v>21</v>
      </c>
      <c r="AC168" t="n">
        <v>21</v>
      </c>
      <c r="AD168" t="n">
        <v>1</v>
      </c>
      <c r="AE168" t="n">
        <v>1</v>
      </c>
      <c r="AF168" t="n">
        <v>3</v>
      </c>
      <c r="AG168" t="n">
        <v>3</v>
      </c>
      <c r="AH168" t="n">
        <v>2</v>
      </c>
      <c r="AI168" t="n">
        <v>2</v>
      </c>
      <c r="AJ168" t="n">
        <v>2</v>
      </c>
      <c r="AK168" t="n">
        <v>2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HYPERLINK("https://creighton-primo.hosted.exlibrisgroup.com/primo-explore/search?tab=default_tab&amp;search_scope=EVERYTHING&amp;vid=01CRU&amp;lang=en_US&amp;offset=0&amp;query=any,contains,991000952749702656","Catalog Record")</f>
        <v/>
      </c>
      <c r="AV168">
        <f>HYPERLINK("http://www.worldcat.org/oclc/3304014","WorldCat Record")</f>
        <v/>
      </c>
      <c r="AW168" t="inlineStr">
        <is>
          <t>9253912:eng</t>
        </is>
      </c>
      <c r="AX168" t="inlineStr">
        <is>
          <t>3304014</t>
        </is>
      </c>
      <c r="AY168" t="inlineStr">
        <is>
          <t>991000952749702656</t>
        </is>
      </c>
      <c r="AZ168" t="inlineStr">
        <is>
          <t>991000952749702656</t>
        </is>
      </c>
      <c r="BA168" t="inlineStr">
        <is>
          <t>2266880860002656</t>
        </is>
      </c>
      <c r="BB168" t="inlineStr">
        <is>
          <t>BOOK</t>
        </is>
      </c>
      <c r="BE168" t="inlineStr">
        <is>
          <t>30001000192312</t>
        </is>
      </c>
      <c r="BF168" t="inlineStr">
        <is>
          <t>893632527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QV 38 P957 1989</t>
        </is>
      </c>
      <c r="E169" t="inlineStr">
        <is>
          <t>0                      QV 0038000P  957         1989</t>
        </is>
      </c>
      <c r="F169" t="inlineStr">
        <is>
          <t>Principles of medical pharmacology.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Toronto ; Philadelphia : Decker ; Saint Louis, Mo. : Mosby, [U.S. distributor], c1989.</t>
        </is>
      </c>
      <c r="O169" t="inlineStr">
        <is>
          <t>1989</t>
        </is>
      </c>
      <c r="P169" t="inlineStr">
        <is>
          <t>5th ed. / [edited by] Harold Kalant, Walter H.E. Roschlau.</t>
        </is>
      </c>
      <c r="Q169" t="inlineStr">
        <is>
          <t>eng</t>
        </is>
      </c>
      <c r="R169" t="inlineStr">
        <is>
          <t>onc</t>
        </is>
      </c>
      <c r="T169" t="inlineStr">
        <is>
          <t xml:space="preserve">QV </t>
        </is>
      </c>
      <c r="U169" t="n">
        <v>55</v>
      </c>
      <c r="V169" t="n">
        <v>55</v>
      </c>
      <c r="W169" t="inlineStr">
        <is>
          <t>2008-06-17</t>
        </is>
      </c>
      <c r="X169" t="inlineStr">
        <is>
          <t>2008-06-17</t>
        </is>
      </c>
      <c r="Y169" t="inlineStr">
        <is>
          <t>1989-11-18</t>
        </is>
      </c>
      <c r="Z169" t="inlineStr">
        <is>
          <t>1989-11-18</t>
        </is>
      </c>
      <c r="AA169" t="n">
        <v>125</v>
      </c>
      <c r="AB169" t="n">
        <v>73</v>
      </c>
      <c r="AC169" t="n">
        <v>226</v>
      </c>
      <c r="AD169" t="n">
        <v>1</v>
      </c>
      <c r="AE169" t="n">
        <v>2</v>
      </c>
      <c r="AF169" t="n">
        <v>2</v>
      </c>
      <c r="AG169" t="n">
        <v>12</v>
      </c>
      <c r="AH169" t="n">
        <v>0</v>
      </c>
      <c r="AI169" t="n">
        <v>5</v>
      </c>
      <c r="AJ169" t="n">
        <v>1</v>
      </c>
      <c r="AK169" t="n">
        <v>3</v>
      </c>
      <c r="AL169" t="n">
        <v>1</v>
      </c>
      <c r="AM169" t="n">
        <v>4</v>
      </c>
      <c r="AN169" t="n">
        <v>0</v>
      </c>
      <c r="AO169" t="n">
        <v>1</v>
      </c>
      <c r="AP169" t="n">
        <v>0</v>
      </c>
      <c r="AQ169" t="n">
        <v>0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HYPERLINK("http://catalog.hathitrust.org/Record/001839821","HathiTrust Record")</f>
        <v/>
      </c>
      <c r="AU169">
        <f>HYPERLINK("https://creighton-primo.hosted.exlibrisgroup.com/primo-explore/search?tab=default_tab&amp;search_scope=EVERYTHING&amp;vid=01CRU&amp;lang=en_US&amp;offset=0&amp;query=any,contains,991001367579702656","Catalog Record")</f>
        <v/>
      </c>
      <c r="AV169">
        <f>HYPERLINK("http://www.worldcat.org/oclc/20161509","WorldCat Record")</f>
        <v/>
      </c>
      <c r="AW169" t="inlineStr">
        <is>
          <t>354633638:eng</t>
        </is>
      </c>
      <c r="AX169" t="inlineStr">
        <is>
          <t>20161509</t>
        </is>
      </c>
      <c r="AY169" t="inlineStr">
        <is>
          <t>991001367579702656</t>
        </is>
      </c>
      <c r="AZ169" t="inlineStr">
        <is>
          <t>991001367579702656</t>
        </is>
      </c>
      <c r="BA169" t="inlineStr">
        <is>
          <t>2271518590002656</t>
        </is>
      </c>
      <c r="BB169" t="inlineStr">
        <is>
          <t>BOOK</t>
        </is>
      </c>
      <c r="BD169" t="inlineStr">
        <is>
          <t>9781556641251</t>
        </is>
      </c>
      <c r="BE169" t="inlineStr">
        <is>
          <t>30001001797341</t>
        </is>
      </c>
      <c r="BF169" t="inlineStr">
        <is>
          <t>893284731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QV 38 P957 1990</t>
        </is>
      </c>
      <c r="E170" t="inlineStr">
        <is>
          <t>0                      QV 0038000P  957         1990</t>
        </is>
      </c>
      <c r="F170" t="inlineStr">
        <is>
          <t>Principles of drug action : the basis of pharmacology.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N170" t="inlineStr">
        <is>
          <t>New York : Churchill Livingstone, c1990.</t>
        </is>
      </c>
      <c r="O170" t="inlineStr">
        <is>
          <t>1990</t>
        </is>
      </c>
      <c r="P170" t="inlineStr">
        <is>
          <t>3rd ed. / edited by William B. Pratt, Palmer Taylor.</t>
        </is>
      </c>
      <c r="Q170" t="inlineStr">
        <is>
          <t>eng</t>
        </is>
      </c>
      <c r="R170" t="inlineStr">
        <is>
          <t>xxu</t>
        </is>
      </c>
      <c r="T170" t="inlineStr">
        <is>
          <t xml:space="preserve">QV </t>
        </is>
      </c>
      <c r="U170" t="n">
        <v>33</v>
      </c>
      <c r="V170" t="n">
        <v>33</v>
      </c>
      <c r="W170" t="inlineStr">
        <is>
          <t>2004-09-07</t>
        </is>
      </c>
      <c r="X170" t="inlineStr">
        <is>
          <t>2004-09-07</t>
        </is>
      </c>
      <c r="Y170" t="inlineStr">
        <is>
          <t>1991-02-19</t>
        </is>
      </c>
      <c r="Z170" t="inlineStr">
        <is>
          <t>1991-02-19</t>
        </is>
      </c>
      <c r="AA170" t="n">
        <v>327</v>
      </c>
      <c r="AB170" t="n">
        <v>193</v>
      </c>
      <c r="AC170" t="n">
        <v>539</v>
      </c>
      <c r="AD170" t="n">
        <v>1</v>
      </c>
      <c r="AE170" t="n">
        <v>3</v>
      </c>
      <c r="AF170" t="n">
        <v>3</v>
      </c>
      <c r="AG170" t="n">
        <v>16</v>
      </c>
      <c r="AH170" t="n">
        <v>2</v>
      </c>
      <c r="AI170" t="n">
        <v>7</v>
      </c>
      <c r="AJ170" t="n">
        <v>2</v>
      </c>
      <c r="AK170" t="n">
        <v>2</v>
      </c>
      <c r="AL170" t="n">
        <v>0</v>
      </c>
      <c r="AM170" t="n">
        <v>7</v>
      </c>
      <c r="AN170" t="n">
        <v>0</v>
      </c>
      <c r="AO170" t="n">
        <v>2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HYPERLINK("http://catalog.hathitrust.org/Record/002170831","HathiTrust Record")</f>
        <v/>
      </c>
      <c r="AU170">
        <f>HYPERLINK("https://creighton-primo.hosted.exlibrisgroup.com/primo-explore/search?tab=default_tab&amp;search_scope=EVERYTHING&amp;vid=01CRU&amp;lang=en_US&amp;offset=0&amp;query=any,contains,991000821779702656","Catalog Record")</f>
        <v/>
      </c>
      <c r="AV170">
        <f>HYPERLINK("http://www.worldcat.org/oclc/21226640","WorldCat Record")</f>
        <v/>
      </c>
      <c r="AW170" t="inlineStr">
        <is>
          <t>807715018:eng</t>
        </is>
      </c>
      <c r="AX170" t="inlineStr">
        <is>
          <t>21226640</t>
        </is>
      </c>
      <c r="AY170" t="inlineStr">
        <is>
          <t>991000821779702656</t>
        </is>
      </c>
      <c r="AZ170" t="inlineStr">
        <is>
          <t>991000821779702656</t>
        </is>
      </c>
      <c r="BA170" t="inlineStr">
        <is>
          <t>2271240580002656</t>
        </is>
      </c>
      <c r="BB170" t="inlineStr">
        <is>
          <t>BOOK</t>
        </is>
      </c>
      <c r="BD170" t="inlineStr">
        <is>
          <t>9780443086762</t>
        </is>
      </c>
      <c r="BE170" t="inlineStr">
        <is>
          <t>30001002087627</t>
        </is>
      </c>
      <c r="BF170" t="inlineStr">
        <is>
          <t>893648277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QV 38 PR524E 1976 v.10</t>
        </is>
      </c>
      <c r="E171" t="inlineStr">
        <is>
          <t>0                      QV 0038000PR 524E        1976                                        v.10</t>
        </is>
      </c>
      <c r="F171" t="inlineStr">
        <is>
          <t>Patient compliance / edited by Louis Lasagna.</t>
        </is>
      </c>
      <c r="G171" t="inlineStr">
        <is>
          <t>V. 10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N171" t="inlineStr">
        <is>
          <t>Mount Kisco, N.Y. : Futura Pub. Co., c1976.</t>
        </is>
      </c>
      <c r="O171" t="inlineStr">
        <is>
          <t>1976</t>
        </is>
      </c>
      <c r="Q171" t="inlineStr">
        <is>
          <t>eng</t>
        </is>
      </c>
      <c r="R171" t="inlineStr">
        <is>
          <t>nyu</t>
        </is>
      </c>
      <c r="S171" t="inlineStr">
        <is>
          <t>Principles and techniques of human research and therapeutics ; v. 10.</t>
        </is>
      </c>
      <c r="T171" t="inlineStr">
        <is>
          <t xml:space="preserve">QV </t>
        </is>
      </c>
      <c r="U171" t="n">
        <v>21</v>
      </c>
      <c r="V171" t="n">
        <v>21</v>
      </c>
      <c r="W171" t="inlineStr">
        <is>
          <t>1996-02-22</t>
        </is>
      </c>
      <c r="X171" t="inlineStr">
        <is>
          <t>1996-02-22</t>
        </is>
      </c>
      <c r="Y171" t="inlineStr">
        <is>
          <t>1988-01-09</t>
        </is>
      </c>
      <c r="Z171" t="inlineStr">
        <is>
          <t>1988-01-09</t>
        </is>
      </c>
      <c r="AA171" t="n">
        <v>100</v>
      </c>
      <c r="AB171" t="n">
        <v>77</v>
      </c>
      <c r="AC171" t="n">
        <v>79</v>
      </c>
      <c r="AD171" t="n">
        <v>2</v>
      </c>
      <c r="AE171" t="n">
        <v>2</v>
      </c>
      <c r="AF171" t="n">
        <v>5</v>
      </c>
      <c r="AG171" t="n">
        <v>5</v>
      </c>
      <c r="AH171" t="n">
        <v>2</v>
      </c>
      <c r="AI171" t="n">
        <v>2</v>
      </c>
      <c r="AJ171" t="n">
        <v>2</v>
      </c>
      <c r="AK171" t="n">
        <v>2</v>
      </c>
      <c r="AL171" t="n">
        <v>2</v>
      </c>
      <c r="AM171" t="n">
        <v>2</v>
      </c>
      <c r="AN171" t="n">
        <v>1</v>
      </c>
      <c r="AO171" t="n">
        <v>1</v>
      </c>
      <c r="AP171" t="n">
        <v>0</v>
      </c>
      <c r="AQ171" t="n">
        <v>0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HYPERLINK("http://catalog.hathitrust.org/Record/000242161","HathiTrust Record")</f>
        <v/>
      </c>
      <c r="AU171">
        <f>HYPERLINK("https://creighton-primo.hosted.exlibrisgroup.com/primo-explore/search?tab=default_tab&amp;search_scope=EVERYTHING&amp;vid=01CRU&amp;lang=en_US&amp;offset=0&amp;query=any,contains,991000984879702656","Catalog Record")</f>
        <v/>
      </c>
      <c r="AV171">
        <f>HYPERLINK("http://www.worldcat.org/oclc/2486308","WorldCat Record")</f>
        <v/>
      </c>
      <c r="AW171" t="inlineStr">
        <is>
          <t>54135046:eng</t>
        </is>
      </c>
      <c r="AX171" t="inlineStr">
        <is>
          <t>2486308</t>
        </is>
      </c>
      <c r="AY171" t="inlineStr">
        <is>
          <t>991000984879702656</t>
        </is>
      </c>
      <c r="AZ171" t="inlineStr">
        <is>
          <t>991000984879702656</t>
        </is>
      </c>
      <c r="BA171" t="inlineStr">
        <is>
          <t>2260930830002656</t>
        </is>
      </c>
      <c r="BB171" t="inlineStr">
        <is>
          <t>BOOK</t>
        </is>
      </c>
      <c r="BD171" t="inlineStr">
        <is>
          <t>9780879930813</t>
        </is>
      </c>
      <c r="BE171" t="inlineStr">
        <is>
          <t>30001000216483</t>
        </is>
      </c>
      <c r="BF171" t="inlineStr">
        <is>
          <t>893637913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QV 38 R236 1990</t>
        </is>
      </c>
      <c r="E172" t="inlineStr">
        <is>
          <t>0                      QV 0038000R  236         1990</t>
        </is>
      </c>
      <c r="F172" t="inlineStr">
        <is>
          <t>Rational therapeutics : a clinical pharmacologic guide for the health professional / edited by Roger L. Williams, D. Craig Brater, Joyce Mordenti.</t>
        </is>
      </c>
      <c r="G172" t="inlineStr">
        <is>
          <t>V. 16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New York : M. Dekker, c1990.</t>
        </is>
      </c>
      <c r="O172" t="inlineStr">
        <is>
          <t>1990</t>
        </is>
      </c>
      <c r="Q172" t="inlineStr">
        <is>
          <t>eng</t>
        </is>
      </c>
      <c r="R172" t="inlineStr">
        <is>
          <t>xxu</t>
        </is>
      </c>
      <c r="S172" t="inlineStr">
        <is>
          <t>Clinical pharmacology ; v. 16</t>
        </is>
      </c>
      <c r="T172" t="inlineStr">
        <is>
          <t xml:space="preserve">QV </t>
        </is>
      </c>
      <c r="U172" t="n">
        <v>10</v>
      </c>
      <c r="V172" t="n">
        <v>10</v>
      </c>
      <c r="W172" t="inlineStr">
        <is>
          <t>1995-12-11</t>
        </is>
      </c>
      <c r="X172" t="inlineStr">
        <is>
          <t>1995-12-11</t>
        </is>
      </c>
      <c r="Y172" t="inlineStr">
        <is>
          <t>1990-07-03</t>
        </is>
      </c>
      <c r="Z172" t="inlineStr">
        <is>
          <t>1990-07-03</t>
        </is>
      </c>
      <c r="AA172" t="n">
        <v>75</v>
      </c>
      <c r="AB172" t="n">
        <v>58</v>
      </c>
      <c r="AC172" t="n">
        <v>59</v>
      </c>
      <c r="AD172" t="n">
        <v>1</v>
      </c>
      <c r="AE172" t="n">
        <v>1</v>
      </c>
      <c r="AF172" t="n">
        <v>3</v>
      </c>
      <c r="AG172" t="n">
        <v>3</v>
      </c>
      <c r="AH172" t="n">
        <v>2</v>
      </c>
      <c r="AI172" t="n">
        <v>2</v>
      </c>
      <c r="AJ172" t="n">
        <v>0</v>
      </c>
      <c r="AK172" t="n">
        <v>0</v>
      </c>
      <c r="AL172" t="n">
        <v>1</v>
      </c>
      <c r="AM172" t="n">
        <v>1</v>
      </c>
      <c r="AN172" t="n">
        <v>0</v>
      </c>
      <c r="AO172" t="n">
        <v>0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HYPERLINK("https://creighton-primo.hosted.exlibrisgroup.com/primo-explore/search?tab=default_tab&amp;search_scope=EVERYTHING&amp;vid=01CRU&amp;lang=en_US&amp;offset=0&amp;query=any,contains,991001451099702656","Catalog Record")</f>
        <v/>
      </c>
      <c r="AV172">
        <f>HYPERLINK("http://www.worldcat.org/oclc/20491813","WorldCat Record")</f>
        <v/>
      </c>
      <c r="AW172" t="inlineStr">
        <is>
          <t>795540680:eng</t>
        </is>
      </c>
      <c r="AX172" t="inlineStr">
        <is>
          <t>20491813</t>
        </is>
      </c>
      <c r="AY172" t="inlineStr">
        <is>
          <t>991001451099702656</t>
        </is>
      </c>
      <c r="AZ172" t="inlineStr">
        <is>
          <t>991001451099702656</t>
        </is>
      </c>
      <c r="BA172" t="inlineStr">
        <is>
          <t>2267700300002656</t>
        </is>
      </c>
      <c r="BB172" t="inlineStr">
        <is>
          <t>BOOK</t>
        </is>
      </c>
      <c r="BD172" t="inlineStr">
        <is>
          <t>9780824779467</t>
        </is>
      </c>
      <c r="BE172" t="inlineStr">
        <is>
          <t>30001001882994</t>
        </is>
      </c>
      <c r="BF172" t="inlineStr">
        <is>
          <t>893821227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QV 38 R29435 1999</t>
        </is>
      </c>
      <c r="E173" t="inlineStr">
        <is>
          <t>0                      QV 0038000R  29435       1999</t>
        </is>
      </c>
      <c r="F173" t="inlineStr">
        <is>
          <t>Receptor binding techniques / edited by Mary Keen.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N173" t="inlineStr">
        <is>
          <t>Totowa, N.J. : Humana Press, c1999.</t>
        </is>
      </c>
      <c r="O173" t="inlineStr">
        <is>
          <t>1999</t>
        </is>
      </c>
      <c r="Q173" t="inlineStr">
        <is>
          <t>eng</t>
        </is>
      </c>
      <c r="R173" t="inlineStr">
        <is>
          <t>nju</t>
        </is>
      </c>
      <c r="S173" t="inlineStr">
        <is>
          <t>Methods in molecular biology ; v. 106</t>
        </is>
      </c>
      <c r="T173" t="inlineStr">
        <is>
          <t xml:space="preserve">QV </t>
        </is>
      </c>
      <c r="U173" t="n">
        <v>13</v>
      </c>
      <c r="V173" t="n">
        <v>13</v>
      </c>
      <c r="W173" t="inlineStr">
        <is>
          <t>2008-05-05</t>
        </is>
      </c>
      <c r="X173" t="inlineStr">
        <is>
          <t>2008-05-05</t>
        </is>
      </c>
      <c r="Y173" t="inlineStr">
        <is>
          <t>2000-02-18</t>
        </is>
      </c>
      <c r="Z173" t="inlineStr">
        <is>
          <t>2000-02-18</t>
        </is>
      </c>
      <c r="AA173" t="n">
        <v>206</v>
      </c>
      <c r="AB173" t="n">
        <v>133</v>
      </c>
      <c r="AC173" t="n">
        <v>181</v>
      </c>
      <c r="AD173" t="n">
        <v>2</v>
      </c>
      <c r="AE173" t="n">
        <v>3</v>
      </c>
      <c r="AF173" t="n">
        <v>2</v>
      </c>
      <c r="AG173" t="n">
        <v>4</v>
      </c>
      <c r="AH173" t="n">
        <v>0</v>
      </c>
      <c r="AI173" t="n">
        <v>1</v>
      </c>
      <c r="AJ173" t="n">
        <v>0</v>
      </c>
      <c r="AK173" t="n">
        <v>0</v>
      </c>
      <c r="AL173" t="n">
        <v>1</v>
      </c>
      <c r="AM173" t="n">
        <v>1</v>
      </c>
      <c r="AN173" t="n">
        <v>1</v>
      </c>
      <c r="AO173" t="n">
        <v>2</v>
      </c>
      <c r="AP173" t="n">
        <v>0</v>
      </c>
      <c r="AQ173" t="n">
        <v>0</v>
      </c>
      <c r="AR173" t="inlineStr">
        <is>
          <t>No</t>
        </is>
      </c>
      <c r="AS173" t="inlineStr">
        <is>
          <t>No</t>
        </is>
      </c>
      <c r="AU173">
        <f>HYPERLINK("https://creighton-primo.hosted.exlibrisgroup.com/primo-explore/search?tab=default_tab&amp;search_scope=EVERYTHING&amp;vid=01CRU&amp;lang=en_US&amp;offset=0&amp;query=any,contains,991001406419702656","Catalog Record")</f>
        <v/>
      </c>
      <c r="AV173">
        <f>HYPERLINK("http://www.worldcat.org/oclc/40120334","WorldCat Record")</f>
        <v/>
      </c>
      <c r="AW173" t="inlineStr">
        <is>
          <t>138847712:eng</t>
        </is>
      </c>
      <c r="AX173" t="inlineStr">
        <is>
          <t>40120334</t>
        </is>
      </c>
      <c r="AY173" t="inlineStr">
        <is>
          <t>991001406419702656</t>
        </is>
      </c>
      <c r="AZ173" t="inlineStr">
        <is>
          <t>991001406419702656</t>
        </is>
      </c>
      <c r="BA173" t="inlineStr">
        <is>
          <t>2264405060002656</t>
        </is>
      </c>
      <c r="BB173" t="inlineStr">
        <is>
          <t>BOOK</t>
        </is>
      </c>
      <c r="BD173" t="inlineStr">
        <is>
          <t>9780896035300</t>
        </is>
      </c>
      <c r="BE173" t="inlineStr">
        <is>
          <t>30001003820653</t>
        </is>
      </c>
      <c r="BF173" t="inlineStr">
        <is>
          <t>893134528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QV 38 R295</t>
        </is>
      </c>
      <c r="E174" t="inlineStr">
        <is>
          <t>0                      QV 0038000R  295</t>
        </is>
      </c>
      <c r="F174" t="inlineStr">
        <is>
          <t>The Receptors : a comprehensive treatise / edited by R. D. O'Brien.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N174" t="inlineStr">
        <is>
          <t>-- New York : Plenum Press, c1979-</t>
        </is>
      </c>
      <c r="O174" t="inlineStr">
        <is>
          <t>1979</t>
        </is>
      </c>
      <c r="Q174" t="inlineStr">
        <is>
          <t>eng</t>
        </is>
      </c>
      <c r="R174" t="inlineStr">
        <is>
          <t>nyu</t>
        </is>
      </c>
      <c r="T174" t="inlineStr">
        <is>
          <t xml:space="preserve">QV </t>
        </is>
      </c>
      <c r="U174" t="n">
        <v>9</v>
      </c>
      <c r="V174" t="n">
        <v>9</v>
      </c>
      <c r="W174" t="inlineStr">
        <is>
          <t>2008-05-25</t>
        </is>
      </c>
      <c r="X174" t="inlineStr">
        <is>
          <t>2008-05-25</t>
        </is>
      </c>
      <c r="Y174" t="inlineStr">
        <is>
          <t>1988-04-18</t>
        </is>
      </c>
      <c r="Z174" t="inlineStr">
        <is>
          <t>1988-04-18</t>
        </is>
      </c>
      <c r="AA174" t="n">
        <v>303</v>
      </c>
      <c r="AB174" t="n">
        <v>246</v>
      </c>
      <c r="AC174" t="n">
        <v>248</v>
      </c>
      <c r="AD174" t="n">
        <v>3</v>
      </c>
      <c r="AE174" t="n">
        <v>3</v>
      </c>
      <c r="AF174" t="n">
        <v>9</v>
      </c>
      <c r="AG174" t="n">
        <v>9</v>
      </c>
      <c r="AH174" t="n">
        <v>1</v>
      </c>
      <c r="AI174" t="n">
        <v>1</v>
      </c>
      <c r="AJ174" t="n">
        <v>3</v>
      </c>
      <c r="AK174" t="n">
        <v>3</v>
      </c>
      <c r="AL174" t="n">
        <v>5</v>
      </c>
      <c r="AM174" t="n">
        <v>5</v>
      </c>
      <c r="AN174" t="n">
        <v>2</v>
      </c>
      <c r="AO174" t="n">
        <v>2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HYPERLINK("http://catalog.hathitrust.org/Record/000030269","HathiTrust Record")</f>
        <v/>
      </c>
      <c r="AU174">
        <f>HYPERLINK("https://creighton-primo.hosted.exlibrisgroup.com/primo-explore/search?tab=default_tab&amp;search_scope=EVERYTHING&amp;vid=01CRU&amp;lang=en_US&amp;offset=0&amp;query=any,contains,991000952719702656","Catalog Record")</f>
        <v/>
      </c>
      <c r="AV174">
        <f>HYPERLINK("http://www.worldcat.org/oclc/4503551","WorldCat Record")</f>
        <v/>
      </c>
      <c r="AW174" t="inlineStr">
        <is>
          <t>3857501970:eng</t>
        </is>
      </c>
      <c r="AX174" t="inlineStr">
        <is>
          <t>4503551</t>
        </is>
      </c>
      <c r="AY174" t="inlineStr">
        <is>
          <t>991000952719702656</t>
        </is>
      </c>
      <c r="AZ174" t="inlineStr">
        <is>
          <t>991000952719702656</t>
        </is>
      </c>
      <c r="BA174" t="inlineStr">
        <is>
          <t>2265266120002656</t>
        </is>
      </c>
      <c r="BB174" t="inlineStr">
        <is>
          <t>BOOK</t>
        </is>
      </c>
      <c r="BD174" t="inlineStr">
        <is>
          <t>9780306401008</t>
        </is>
      </c>
      <c r="BE174" t="inlineStr">
        <is>
          <t>30001000192270</t>
        </is>
      </c>
      <c r="BF174" t="inlineStr">
        <is>
          <t>893820756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QV 38 R612h 1980</t>
        </is>
      </c>
      <c r="E175" t="inlineStr">
        <is>
          <t>0                      QV 0038000R  612h        1980</t>
        </is>
      </c>
      <c r="F175" t="inlineStr">
        <is>
          <t>Handbook of basic pharmacokinetics / by W.A. Ritschel.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Yes</t>
        </is>
      </c>
      <c r="L175" t="inlineStr">
        <is>
          <t>0</t>
        </is>
      </c>
      <c r="M175" t="inlineStr">
        <is>
          <t>Ritschel, W. A. (Wolfgang A.)</t>
        </is>
      </c>
      <c r="N175" t="inlineStr">
        <is>
          <t>Hamilton, Ill. : Drug Intelligence Publications, c1980.</t>
        </is>
      </c>
      <c r="O175" t="inlineStr">
        <is>
          <t>1980</t>
        </is>
      </c>
      <c r="P175" t="inlineStr">
        <is>
          <t>2nd ed.</t>
        </is>
      </c>
      <c r="Q175" t="inlineStr">
        <is>
          <t>eng</t>
        </is>
      </c>
      <c r="R175" t="inlineStr">
        <is>
          <t>ilu</t>
        </is>
      </c>
      <c r="T175" t="inlineStr">
        <is>
          <t xml:space="preserve">QV </t>
        </is>
      </c>
      <c r="U175" t="n">
        <v>31</v>
      </c>
      <c r="V175" t="n">
        <v>31</v>
      </c>
      <c r="W175" t="inlineStr">
        <is>
          <t>2006-08-20</t>
        </is>
      </c>
      <c r="X175" t="inlineStr">
        <is>
          <t>2006-08-20</t>
        </is>
      </c>
      <c r="Y175" t="inlineStr">
        <is>
          <t>1988-02-04</t>
        </is>
      </c>
      <c r="Z175" t="inlineStr">
        <is>
          <t>1988-02-04</t>
        </is>
      </c>
      <c r="AA175" t="n">
        <v>82</v>
      </c>
      <c r="AB175" t="n">
        <v>63</v>
      </c>
      <c r="AC175" t="n">
        <v>264</v>
      </c>
      <c r="AD175" t="n">
        <v>1</v>
      </c>
      <c r="AE175" t="n">
        <v>2</v>
      </c>
      <c r="AF175" t="n">
        <v>0</v>
      </c>
      <c r="AG175" t="n">
        <v>12</v>
      </c>
      <c r="AH175" t="n">
        <v>0</v>
      </c>
      <c r="AI175" t="n">
        <v>8</v>
      </c>
      <c r="AJ175" t="n">
        <v>0</v>
      </c>
      <c r="AK175" t="n">
        <v>3</v>
      </c>
      <c r="AL175" t="n">
        <v>0</v>
      </c>
      <c r="AM175" t="n">
        <v>3</v>
      </c>
      <c r="AN175" t="n">
        <v>0</v>
      </c>
      <c r="AO175" t="n">
        <v>1</v>
      </c>
      <c r="AP175" t="n">
        <v>0</v>
      </c>
      <c r="AQ175" t="n">
        <v>0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HYPERLINK("http://catalog.hathitrust.org/Record/000182270","HathiTrust Record")</f>
        <v/>
      </c>
      <c r="AU175">
        <f>HYPERLINK("https://creighton-primo.hosted.exlibrisgroup.com/primo-explore/search?tab=default_tab&amp;search_scope=EVERYTHING&amp;vid=01CRU&amp;lang=en_US&amp;offset=0&amp;query=any,contains,991000952679702656","Catalog Record")</f>
        <v/>
      </c>
      <c r="AV175">
        <f>HYPERLINK("http://www.worldcat.org/oclc/8051174","WorldCat Record")</f>
        <v/>
      </c>
      <c r="AW175" t="inlineStr">
        <is>
          <t>945350:eng</t>
        </is>
      </c>
      <c r="AX175" t="inlineStr">
        <is>
          <t>8051174</t>
        </is>
      </c>
      <c r="AY175" t="inlineStr">
        <is>
          <t>991000952679702656</t>
        </is>
      </c>
      <c r="AZ175" t="inlineStr">
        <is>
          <t>991000952679702656</t>
        </is>
      </c>
      <c r="BA175" t="inlineStr">
        <is>
          <t>2268276380002656</t>
        </is>
      </c>
      <c r="BB175" t="inlineStr">
        <is>
          <t>BOOK</t>
        </is>
      </c>
      <c r="BD175" t="inlineStr">
        <is>
          <t>9780914768340</t>
        </is>
      </c>
      <c r="BE175" t="inlineStr">
        <is>
          <t>30001000192254</t>
        </is>
      </c>
      <c r="BF175" t="inlineStr">
        <is>
          <t>893736068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QV 38 R628i 2000</t>
        </is>
      </c>
      <c r="E176" t="inlineStr">
        <is>
          <t>0                      QV 0038000R  628i        2000</t>
        </is>
      </c>
      <c r="F176" t="inlineStr">
        <is>
          <t>Introductory clinical pharmacology / Sally S. Roach, Jeanne C. Scherer.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Yes</t>
        </is>
      </c>
      <c r="L176" t="inlineStr">
        <is>
          <t>0</t>
        </is>
      </c>
      <c r="M176" t="inlineStr">
        <is>
          <t>Roach, Sally S.</t>
        </is>
      </c>
      <c r="N176" t="inlineStr">
        <is>
          <t>Philadelphia : Lippincott, c2000.</t>
        </is>
      </c>
      <c r="O176" t="inlineStr">
        <is>
          <t>2000</t>
        </is>
      </c>
      <c r="P176" t="inlineStr">
        <is>
          <t>6th ed.</t>
        </is>
      </c>
      <c r="Q176" t="inlineStr">
        <is>
          <t>eng</t>
        </is>
      </c>
      <c r="R176" t="inlineStr">
        <is>
          <t>pau</t>
        </is>
      </c>
      <c r="T176" t="inlineStr">
        <is>
          <t xml:space="preserve">QV </t>
        </is>
      </c>
      <c r="U176" t="n">
        <v>18</v>
      </c>
      <c r="V176" t="n">
        <v>18</v>
      </c>
      <c r="W176" t="inlineStr">
        <is>
          <t>2006-07-03</t>
        </is>
      </c>
      <c r="X176" t="inlineStr">
        <is>
          <t>2006-07-03</t>
        </is>
      </c>
      <c r="Y176" t="inlineStr">
        <is>
          <t>2000-02-08</t>
        </is>
      </c>
      <c r="Z176" t="inlineStr">
        <is>
          <t>2000-02-08</t>
        </is>
      </c>
      <c r="AA176" t="n">
        <v>149</v>
      </c>
      <c r="AB176" t="n">
        <v>113</v>
      </c>
      <c r="AC176" t="n">
        <v>526</v>
      </c>
      <c r="AD176" t="n">
        <v>1</v>
      </c>
      <c r="AE176" t="n">
        <v>3</v>
      </c>
      <c r="AF176" t="n">
        <v>4</v>
      </c>
      <c r="AG176" t="n">
        <v>13</v>
      </c>
      <c r="AH176" t="n">
        <v>3</v>
      </c>
      <c r="AI176" t="n">
        <v>5</v>
      </c>
      <c r="AJ176" t="n">
        <v>1</v>
      </c>
      <c r="AK176" t="n">
        <v>4</v>
      </c>
      <c r="AL176" t="n">
        <v>1</v>
      </c>
      <c r="AM176" t="n">
        <v>6</v>
      </c>
      <c r="AN176" t="n">
        <v>0</v>
      </c>
      <c r="AO176" t="n">
        <v>2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HYPERLINK("http://catalog.hathitrust.org/Record/004068947","HathiTrust Record")</f>
        <v/>
      </c>
      <c r="AU176">
        <f>HYPERLINK("https://creighton-primo.hosted.exlibrisgroup.com/primo-explore/search?tab=default_tab&amp;search_scope=EVERYTHING&amp;vid=01CRU&amp;lang=en_US&amp;offset=0&amp;query=any,contains,991001412279702656","Catalog Record")</f>
        <v/>
      </c>
      <c r="AV176">
        <f>HYPERLINK("http://www.worldcat.org/oclc/41326409","WorldCat Record")</f>
        <v/>
      </c>
      <c r="AW176" t="inlineStr">
        <is>
          <t>2111701:eng</t>
        </is>
      </c>
      <c r="AX176" t="inlineStr">
        <is>
          <t>41326409</t>
        </is>
      </c>
      <c r="AY176" t="inlineStr">
        <is>
          <t>991001412279702656</t>
        </is>
      </c>
      <c r="AZ176" t="inlineStr">
        <is>
          <t>991001412279702656</t>
        </is>
      </c>
      <c r="BA176" t="inlineStr">
        <is>
          <t>2264813840002656</t>
        </is>
      </c>
      <c r="BB176" t="inlineStr">
        <is>
          <t>BOOK</t>
        </is>
      </c>
      <c r="BD176" t="inlineStr">
        <is>
          <t>9780781716376</t>
        </is>
      </c>
      <c r="BE176" t="inlineStr">
        <is>
          <t>30001003832385</t>
        </is>
      </c>
      <c r="BF176" t="inlineStr">
        <is>
          <t>893741104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QV 38 R698d 1989</t>
        </is>
      </c>
      <c r="E177" t="inlineStr">
        <is>
          <t>0                      QV 0038000R  698d        1989</t>
        </is>
      </c>
      <c r="F177" t="inlineStr">
        <is>
          <t>Diet and drug interactions / Daphne A. Roe.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Roe, Daphne A., 1923-</t>
        </is>
      </c>
      <c r="N177" t="inlineStr">
        <is>
          <t>New York : Van Nostrand Reinhold Co., c1988.</t>
        </is>
      </c>
      <c r="O177" t="inlineStr">
        <is>
          <t>1989</t>
        </is>
      </c>
      <c r="Q177" t="inlineStr">
        <is>
          <t>eng</t>
        </is>
      </c>
      <c r="R177" t="inlineStr">
        <is>
          <t>xxu</t>
        </is>
      </c>
      <c r="T177" t="inlineStr">
        <is>
          <t xml:space="preserve">QV </t>
        </is>
      </c>
      <c r="U177" t="n">
        <v>12</v>
      </c>
      <c r="V177" t="n">
        <v>12</v>
      </c>
      <c r="W177" t="inlineStr">
        <is>
          <t>1997-09-24</t>
        </is>
      </c>
      <c r="X177" t="inlineStr">
        <is>
          <t>1997-09-24</t>
        </is>
      </c>
      <c r="Y177" t="inlineStr">
        <is>
          <t>1989-02-07</t>
        </is>
      </c>
      <c r="Z177" t="inlineStr">
        <is>
          <t>1989-02-07</t>
        </is>
      </c>
      <c r="AA177" t="n">
        <v>315</v>
      </c>
      <c r="AB177" t="n">
        <v>277</v>
      </c>
      <c r="AC177" t="n">
        <v>310</v>
      </c>
      <c r="AD177" t="n">
        <v>4</v>
      </c>
      <c r="AE177" t="n">
        <v>4</v>
      </c>
      <c r="AF177" t="n">
        <v>10</v>
      </c>
      <c r="AG177" t="n">
        <v>11</v>
      </c>
      <c r="AH177" t="n">
        <v>3</v>
      </c>
      <c r="AI177" t="n">
        <v>4</v>
      </c>
      <c r="AJ177" t="n">
        <v>3</v>
      </c>
      <c r="AK177" t="n">
        <v>3</v>
      </c>
      <c r="AL177" t="n">
        <v>3</v>
      </c>
      <c r="AM177" t="n">
        <v>4</v>
      </c>
      <c r="AN177" t="n">
        <v>2</v>
      </c>
      <c r="AO177" t="n">
        <v>2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HYPERLINK("http://catalog.hathitrust.org/Record/000944555","HathiTrust Record")</f>
        <v/>
      </c>
      <c r="AU177">
        <f>HYPERLINK("https://creighton-primo.hosted.exlibrisgroup.com/primo-explore/search?tab=default_tab&amp;search_scope=EVERYTHING&amp;vid=01CRU&amp;lang=en_US&amp;offset=0&amp;query=any,contains,991001121329702656","Catalog Record")</f>
        <v/>
      </c>
      <c r="AV177">
        <f>HYPERLINK("http://www.worldcat.org/oclc/17650456","WorldCat Record")</f>
        <v/>
      </c>
      <c r="AW177" t="inlineStr">
        <is>
          <t>15385109:eng</t>
        </is>
      </c>
      <c r="AX177" t="inlineStr">
        <is>
          <t>17650456</t>
        </is>
      </c>
      <c r="AY177" t="inlineStr">
        <is>
          <t>991001121329702656</t>
        </is>
      </c>
      <c r="AZ177" t="inlineStr">
        <is>
          <t>991001121329702656</t>
        </is>
      </c>
      <c r="BA177" t="inlineStr">
        <is>
          <t>2259906500002656</t>
        </is>
      </c>
      <c r="BB177" t="inlineStr">
        <is>
          <t>BOOK</t>
        </is>
      </c>
      <c r="BD177" t="inlineStr">
        <is>
          <t>9780442204877</t>
        </is>
      </c>
      <c r="BE177" t="inlineStr">
        <is>
          <t>30001001614538</t>
        </is>
      </c>
      <c r="BF177" t="inlineStr">
        <is>
          <t>893363786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QV 38 S257h 1989</t>
        </is>
      </c>
      <c r="E178" t="inlineStr">
        <is>
          <t>0                      QV 0038000S  257h        1989</t>
        </is>
      </c>
      <c r="F178" t="inlineStr">
        <is>
          <t>Human drug kinetics : a course of simulated experiments / L. Saunders, D. Ingram, S.H.D. Jackson.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Saunders, Leonard.</t>
        </is>
      </c>
      <c r="N178" t="inlineStr">
        <is>
          <t>Oxford, England ; New York : IRL Press, c1989.</t>
        </is>
      </c>
      <c r="O178" t="inlineStr">
        <is>
          <t>1989</t>
        </is>
      </c>
      <c r="Q178" t="inlineStr">
        <is>
          <t>eng</t>
        </is>
      </c>
      <c r="R178" t="inlineStr">
        <is>
          <t>enk</t>
        </is>
      </c>
      <c r="T178" t="inlineStr">
        <is>
          <t xml:space="preserve">QV </t>
        </is>
      </c>
      <c r="U178" t="n">
        <v>22</v>
      </c>
      <c r="V178" t="n">
        <v>22</v>
      </c>
      <c r="W178" t="inlineStr">
        <is>
          <t>2002-04-15</t>
        </is>
      </c>
      <c r="X178" t="inlineStr">
        <is>
          <t>2002-04-15</t>
        </is>
      </c>
      <c r="Y178" t="inlineStr">
        <is>
          <t>1989-11-03</t>
        </is>
      </c>
      <c r="Z178" t="inlineStr">
        <is>
          <t>1989-11-03</t>
        </is>
      </c>
      <c r="AA178" t="n">
        <v>69</v>
      </c>
      <c r="AB178" t="n">
        <v>42</v>
      </c>
      <c r="AC178" t="n">
        <v>46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HYPERLINK("http://catalog.hathitrust.org/Record/002233084","HathiTrust Record")</f>
        <v/>
      </c>
      <c r="AU178">
        <f>HYPERLINK("https://creighton-primo.hosted.exlibrisgroup.com/primo-explore/search?tab=default_tab&amp;search_scope=EVERYTHING&amp;vid=01CRU&amp;lang=en_US&amp;offset=0&amp;query=any,contains,991001361149702656","Catalog Record")</f>
        <v/>
      </c>
      <c r="AV178">
        <f>HYPERLINK("http://www.worldcat.org/oclc/18833905","WorldCat Record")</f>
        <v/>
      </c>
      <c r="AW178" t="inlineStr">
        <is>
          <t>365203224:eng</t>
        </is>
      </c>
      <c r="AX178" t="inlineStr">
        <is>
          <t>18833905</t>
        </is>
      </c>
      <c r="AY178" t="inlineStr">
        <is>
          <t>991001361149702656</t>
        </is>
      </c>
      <c r="AZ178" t="inlineStr">
        <is>
          <t>991001361149702656</t>
        </is>
      </c>
      <c r="BA178" t="inlineStr">
        <is>
          <t>2258633530002656</t>
        </is>
      </c>
      <c r="BB178" t="inlineStr">
        <is>
          <t>BOOK</t>
        </is>
      </c>
      <c r="BD178" t="inlineStr">
        <is>
          <t>9780199630387</t>
        </is>
      </c>
      <c r="BE178" t="inlineStr">
        <is>
          <t>30001001796731</t>
        </is>
      </c>
      <c r="BF178" t="inlineStr">
        <is>
          <t>893826682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QV 38 S416 1986</t>
        </is>
      </c>
      <c r="E179" t="inlineStr">
        <is>
          <t>0                      QV 0038000S  416         1986</t>
        </is>
      </c>
      <c r="F179" t="inlineStr">
        <is>
          <t>The scientific basis of clinical pharmacology : principles and examples / [edited by] Reynold Spector.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N179" t="inlineStr">
        <is>
          <t>Boston : Little, Brown, c1986.</t>
        </is>
      </c>
      <c r="O179" t="inlineStr">
        <is>
          <t>1986</t>
        </is>
      </c>
      <c r="Q179" t="inlineStr">
        <is>
          <t>eng</t>
        </is>
      </c>
      <c r="R179" t="inlineStr">
        <is>
          <t>mau</t>
        </is>
      </c>
      <c r="T179" t="inlineStr">
        <is>
          <t xml:space="preserve">QV </t>
        </is>
      </c>
      <c r="U179" t="n">
        <v>10</v>
      </c>
      <c r="V179" t="n">
        <v>10</v>
      </c>
      <c r="W179" t="inlineStr">
        <is>
          <t>1995-09-10</t>
        </is>
      </c>
      <c r="X179" t="inlineStr">
        <is>
          <t>1995-09-10</t>
        </is>
      </c>
      <c r="Y179" t="inlineStr">
        <is>
          <t>1988-02-04</t>
        </is>
      </c>
      <c r="Z179" t="inlineStr">
        <is>
          <t>1988-02-04</t>
        </is>
      </c>
      <c r="AA179" t="n">
        <v>145</v>
      </c>
      <c r="AB179" t="n">
        <v>116</v>
      </c>
      <c r="AC179" t="n">
        <v>118</v>
      </c>
      <c r="AD179" t="n">
        <v>1</v>
      </c>
      <c r="AE179" t="n">
        <v>1</v>
      </c>
      <c r="AF179" t="n">
        <v>3</v>
      </c>
      <c r="AG179" t="n">
        <v>3</v>
      </c>
      <c r="AH179" t="n">
        <v>1</v>
      </c>
      <c r="AI179" t="n">
        <v>1</v>
      </c>
      <c r="AJ179" t="n">
        <v>2</v>
      </c>
      <c r="AK179" t="n">
        <v>2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HYPERLINK("http://catalog.hathitrust.org/Record/000376174","HathiTrust Record")</f>
        <v/>
      </c>
      <c r="AU179">
        <f>HYPERLINK("https://creighton-primo.hosted.exlibrisgroup.com/primo-explore/search?tab=default_tab&amp;search_scope=EVERYTHING&amp;vid=01CRU&amp;lang=en_US&amp;offset=0&amp;query=any,contains,991000952639702656","Catalog Record")</f>
        <v/>
      </c>
      <c r="AV179">
        <f>HYPERLINK("http://www.worldcat.org/oclc/12852855","WorldCat Record")</f>
        <v/>
      </c>
      <c r="AW179" t="inlineStr">
        <is>
          <t>5368441:eng</t>
        </is>
      </c>
      <c r="AX179" t="inlineStr">
        <is>
          <t>12852855</t>
        </is>
      </c>
      <c r="AY179" t="inlineStr">
        <is>
          <t>991000952639702656</t>
        </is>
      </c>
      <c r="AZ179" t="inlineStr">
        <is>
          <t>991000952639702656</t>
        </is>
      </c>
      <c r="BA179" t="inlineStr">
        <is>
          <t>2257812680002656</t>
        </is>
      </c>
      <c r="BB179" t="inlineStr">
        <is>
          <t>BOOK</t>
        </is>
      </c>
      <c r="BD179" t="inlineStr">
        <is>
          <t>9780316805827</t>
        </is>
      </c>
      <c r="BE179" t="inlineStr">
        <is>
          <t>30001000192239</t>
        </is>
      </c>
      <c r="BF179" t="inlineStr">
        <is>
          <t>893455308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QV 38 S531a 1985</t>
        </is>
      </c>
      <c r="E180" t="inlineStr">
        <is>
          <t>0                      QV 0038000S  531a        1985</t>
        </is>
      </c>
      <c r="F180" t="inlineStr">
        <is>
          <t>Applied biopharmaceutics and pharmacokinetics / Leon Shargel, Andrew B.C. Yu.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Yes</t>
        </is>
      </c>
      <c r="L180" t="inlineStr">
        <is>
          <t>2</t>
        </is>
      </c>
      <c r="M180" t="inlineStr">
        <is>
          <t>Shargel, Leon, 1941-</t>
        </is>
      </c>
      <c r="N180" t="inlineStr">
        <is>
          <t>Norwalk, Conn. : Appleton-Century-Crofts, c1985.</t>
        </is>
      </c>
      <c r="O180" t="inlineStr">
        <is>
          <t>1985</t>
        </is>
      </c>
      <c r="P180" t="inlineStr">
        <is>
          <t>2nd ed.</t>
        </is>
      </c>
      <c r="Q180" t="inlineStr">
        <is>
          <t>eng</t>
        </is>
      </c>
      <c r="R180" t="inlineStr">
        <is>
          <t>xxu</t>
        </is>
      </c>
      <c r="T180" t="inlineStr">
        <is>
          <t xml:space="preserve">QV </t>
        </is>
      </c>
      <c r="U180" t="n">
        <v>43</v>
      </c>
      <c r="V180" t="n">
        <v>43</v>
      </c>
      <c r="W180" t="inlineStr">
        <is>
          <t>2010-09-22</t>
        </is>
      </c>
      <c r="X180" t="inlineStr">
        <is>
          <t>2010-09-22</t>
        </is>
      </c>
      <c r="Y180" t="inlineStr">
        <is>
          <t>1987-09-28</t>
        </is>
      </c>
      <c r="Z180" t="inlineStr">
        <is>
          <t>1987-09-28</t>
        </is>
      </c>
      <c r="AA180" t="n">
        <v>114</v>
      </c>
      <c r="AB180" t="n">
        <v>82</v>
      </c>
      <c r="AC180" t="n">
        <v>326</v>
      </c>
      <c r="AD180" t="n">
        <v>1</v>
      </c>
      <c r="AE180" t="n">
        <v>4</v>
      </c>
      <c r="AF180" t="n">
        <v>4</v>
      </c>
      <c r="AG180" t="n">
        <v>14</v>
      </c>
      <c r="AH180" t="n">
        <v>1</v>
      </c>
      <c r="AI180" t="n">
        <v>7</v>
      </c>
      <c r="AJ180" t="n">
        <v>2</v>
      </c>
      <c r="AK180" t="n">
        <v>3</v>
      </c>
      <c r="AL180" t="n">
        <v>1</v>
      </c>
      <c r="AM180" t="n">
        <v>4</v>
      </c>
      <c r="AN180" t="n">
        <v>0</v>
      </c>
      <c r="AO180" t="n">
        <v>3</v>
      </c>
      <c r="AP180" t="n">
        <v>0</v>
      </c>
      <c r="AQ180" t="n">
        <v>0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HYPERLINK("http://catalog.hathitrust.org/Record/000650518","HathiTrust Record")</f>
        <v/>
      </c>
      <c r="AU180">
        <f>HYPERLINK("https://creighton-primo.hosted.exlibrisgroup.com/primo-explore/search?tab=default_tab&amp;search_scope=EVERYTHING&amp;vid=01CRU&amp;lang=en_US&amp;offset=0&amp;query=any,contains,991000747719702656","Catalog Record")</f>
        <v/>
      </c>
      <c r="AV180">
        <f>HYPERLINK("http://www.worldcat.org/oclc/11677391","WorldCat Record")</f>
        <v/>
      </c>
      <c r="AW180" t="inlineStr">
        <is>
          <t>4926928282:eng</t>
        </is>
      </c>
      <c r="AX180" t="inlineStr">
        <is>
          <t>11677391</t>
        </is>
      </c>
      <c r="AY180" t="inlineStr">
        <is>
          <t>991000747719702656</t>
        </is>
      </c>
      <c r="AZ180" t="inlineStr">
        <is>
          <t>991000747719702656</t>
        </is>
      </c>
      <c r="BA180" t="inlineStr">
        <is>
          <t>2261264350002656</t>
        </is>
      </c>
      <c r="BB180" t="inlineStr">
        <is>
          <t>BOOK</t>
        </is>
      </c>
      <c r="BD180" t="inlineStr">
        <is>
          <t>9780838501061</t>
        </is>
      </c>
      <c r="BE180" t="inlineStr">
        <is>
          <t>30001000046369</t>
        </is>
      </c>
      <c r="BF180" t="inlineStr">
        <is>
          <t>893368425</t>
        </is>
      </c>
    </row>
    <row r="181">
      <c r="B181" t="inlineStr">
        <is>
          <t>CUHSL</t>
        </is>
      </c>
      <c r="C181" t="inlineStr">
        <is>
          <t>SHELVES</t>
        </is>
      </c>
      <c r="D181" t="inlineStr">
        <is>
          <t>QV 38 S985c 1974</t>
        </is>
      </c>
      <c r="E181" t="inlineStr">
        <is>
          <t>0                      QV 0038000S  985c        1974</t>
        </is>
      </c>
      <c r="F181" t="inlineStr">
        <is>
          <t>Clinical pharmacokinetics : a symposium / [edited by Gerhard Levy].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Symposium on Clinical Pharmacokinetics (1974 : New Orleans, La.)</t>
        </is>
      </c>
      <c r="N181" t="inlineStr">
        <is>
          <t>-- [Washington] : American Pharmaceutical Association, Academy of Pharmaceutical Sciences, 1974.</t>
        </is>
      </c>
      <c r="O181" t="inlineStr">
        <is>
          <t>1974</t>
        </is>
      </c>
      <c r="Q181" t="inlineStr">
        <is>
          <t>eng</t>
        </is>
      </c>
      <c r="R181" t="inlineStr">
        <is>
          <t>dcu</t>
        </is>
      </c>
      <c r="T181" t="inlineStr">
        <is>
          <t xml:space="preserve">QV </t>
        </is>
      </c>
      <c r="U181" t="n">
        <v>4</v>
      </c>
      <c r="V181" t="n">
        <v>4</v>
      </c>
      <c r="W181" t="inlineStr">
        <is>
          <t>1994-10-06</t>
        </is>
      </c>
      <c r="X181" t="inlineStr">
        <is>
          <t>1994-10-06</t>
        </is>
      </c>
      <c r="Y181" t="inlineStr">
        <is>
          <t>1988-02-04</t>
        </is>
      </c>
      <c r="Z181" t="inlineStr">
        <is>
          <t>1988-02-04</t>
        </is>
      </c>
      <c r="AA181" t="n">
        <v>88</v>
      </c>
      <c r="AB181" t="n">
        <v>60</v>
      </c>
      <c r="AC181" t="n">
        <v>60</v>
      </c>
      <c r="AD181" t="n">
        <v>1</v>
      </c>
      <c r="AE181" t="n">
        <v>1</v>
      </c>
      <c r="AF181" t="n">
        <v>1</v>
      </c>
      <c r="AG181" t="n">
        <v>1</v>
      </c>
      <c r="AH181" t="n">
        <v>0</v>
      </c>
      <c r="AI181" t="n">
        <v>0</v>
      </c>
      <c r="AJ181" t="n">
        <v>1</v>
      </c>
      <c r="AK181" t="n">
        <v>1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HYPERLINK("https://creighton-primo.hosted.exlibrisgroup.com/primo-explore/search?tab=default_tab&amp;search_scope=EVERYTHING&amp;vid=01CRU&amp;lang=en_US&amp;offset=0&amp;query=any,contains,991000952999702656","Catalog Record")</f>
        <v/>
      </c>
      <c r="AV181">
        <f>HYPERLINK("http://www.worldcat.org/oclc/3255329","WorldCat Record")</f>
        <v/>
      </c>
      <c r="AW181" t="inlineStr">
        <is>
          <t>8612264:eng</t>
        </is>
      </c>
      <c r="AX181" t="inlineStr">
        <is>
          <t>3255329</t>
        </is>
      </c>
      <c r="AY181" t="inlineStr">
        <is>
          <t>991000952999702656</t>
        </is>
      </c>
      <c r="AZ181" t="inlineStr">
        <is>
          <t>991000952999702656</t>
        </is>
      </c>
      <c r="BA181" t="inlineStr">
        <is>
          <t>2272448160002656</t>
        </is>
      </c>
      <c r="BB181" t="inlineStr">
        <is>
          <t>BOOK</t>
        </is>
      </c>
      <c r="BE181" t="inlineStr">
        <is>
          <t>30001000192460</t>
        </is>
      </c>
      <c r="BF181" t="inlineStr">
        <is>
          <t>893278519</t>
        </is>
      </c>
    </row>
    <row r="182">
      <c r="B182" t="inlineStr">
        <is>
          <t>CUHSL</t>
        </is>
      </c>
      <c r="C182" t="inlineStr">
        <is>
          <t>SHELVES</t>
        </is>
      </c>
      <c r="D182" t="inlineStr">
        <is>
          <t>QV 38 T1855 1991</t>
        </is>
      </c>
      <c r="E182" t="inlineStr">
        <is>
          <t>0                      QV 0038000T  1855        1991</t>
        </is>
      </c>
      <c r="F182" t="inlineStr">
        <is>
          <t>Targeting of drugs 3 : the challenge of peptides and proteins / edited by Gregory Gregoriadis and Alexander T. Florence, and George Poste.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New York : Plenum Press, c1992.</t>
        </is>
      </c>
      <c r="O182" t="inlineStr">
        <is>
          <t>1992</t>
        </is>
      </c>
      <c r="Q182" t="inlineStr">
        <is>
          <t>eng</t>
        </is>
      </c>
      <c r="R182" t="inlineStr">
        <is>
          <t>nyu</t>
        </is>
      </c>
      <c r="S182" t="inlineStr">
        <is>
          <t>NATO ASI series. Series A, Life sciences ; v. 238</t>
        </is>
      </c>
      <c r="T182" t="inlineStr">
        <is>
          <t xml:space="preserve">QV </t>
        </is>
      </c>
      <c r="U182" t="n">
        <v>6</v>
      </c>
      <c r="V182" t="n">
        <v>6</v>
      </c>
      <c r="W182" t="inlineStr">
        <is>
          <t>1998-03-23</t>
        </is>
      </c>
      <c r="X182" t="inlineStr">
        <is>
          <t>1998-03-23</t>
        </is>
      </c>
      <c r="Y182" t="inlineStr">
        <is>
          <t>1993-08-31</t>
        </is>
      </c>
      <c r="Z182" t="inlineStr">
        <is>
          <t>1993-08-31</t>
        </is>
      </c>
      <c r="AA182" t="n">
        <v>101</v>
      </c>
      <c r="AB182" t="n">
        <v>70</v>
      </c>
      <c r="AC182" t="n">
        <v>97</v>
      </c>
      <c r="AD182" t="n">
        <v>1</v>
      </c>
      <c r="AE182" t="n">
        <v>1</v>
      </c>
      <c r="AF182" t="n">
        <v>0</v>
      </c>
      <c r="AG182" t="n">
        <v>1</v>
      </c>
      <c r="AH182" t="n">
        <v>0</v>
      </c>
      <c r="AI182" t="n">
        <v>1</v>
      </c>
      <c r="AJ182" t="n">
        <v>0</v>
      </c>
      <c r="AK182" t="n">
        <v>0</v>
      </c>
      <c r="AL182" t="n">
        <v>0</v>
      </c>
      <c r="AM182" t="n">
        <v>1</v>
      </c>
      <c r="AN182" t="n">
        <v>0</v>
      </c>
      <c r="AO182" t="n">
        <v>0</v>
      </c>
      <c r="AP182" t="n">
        <v>0</v>
      </c>
      <c r="AQ182" t="n">
        <v>0</v>
      </c>
      <c r="AR182" t="inlineStr">
        <is>
          <t>No</t>
        </is>
      </c>
      <c r="AS182" t="inlineStr">
        <is>
          <t>No</t>
        </is>
      </c>
      <c r="AU182">
        <f>HYPERLINK("https://creighton-primo.hosted.exlibrisgroup.com/primo-explore/search?tab=default_tab&amp;search_scope=EVERYTHING&amp;vid=01CRU&amp;lang=en_US&amp;offset=0&amp;query=any,contains,991001511379702656","Catalog Record")</f>
        <v/>
      </c>
      <c r="AV182">
        <f>HYPERLINK("http://www.worldcat.org/oclc/27227749","WorldCat Record")</f>
        <v/>
      </c>
      <c r="AW182" t="inlineStr">
        <is>
          <t>807242774:eng</t>
        </is>
      </c>
      <c r="AX182" t="inlineStr">
        <is>
          <t>27227749</t>
        </is>
      </c>
      <c r="AY182" t="inlineStr">
        <is>
          <t>991001511379702656</t>
        </is>
      </c>
      <c r="AZ182" t="inlineStr">
        <is>
          <t>991001511379702656</t>
        </is>
      </c>
      <c r="BA182" t="inlineStr">
        <is>
          <t>2265817590002656</t>
        </is>
      </c>
      <c r="BB182" t="inlineStr">
        <is>
          <t>BOOK</t>
        </is>
      </c>
      <c r="BD182" t="inlineStr">
        <is>
          <t>9780306444005</t>
        </is>
      </c>
      <c r="BE182" t="inlineStr">
        <is>
          <t>30001002600874</t>
        </is>
      </c>
      <c r="BF182" t="inlineStr">
        <is>
          <t>893162094</t>
        </is>
      </c>
    </row>
    <row r="183">
      <c r="B183" t="inlineStr">
        <is>
          <t>CUHSL</t>
        </is>
      </c>
      <c r="C183" t="inlineStr">
        <is>
          <t>SHELVES</t>
        </is>
      </c>
      <c r="D183" t="inlineStr">
        <is>
          <t>QV 38 T355 1985</t>
        </is>
      </c>
      <c r="E183" t="inlineStr">
        <is>
          <t>0                      QV 0038000T  355         1985</t>
        </is>
      </c>
      <c r="F183" t="inlineStr">
        <is>
          <t>Textbook of adverse drug reactions / edited by D.M. Davies.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Yes</t>
        </is>
      </c>
      <c r="L183" t="inlineStr">
        <is>
          <t>0</t>
        </is>
      </c>
      <c r="N183" t="inlineStr">
        <is>
          <t>Oxford ; New York : Oxford University Press, 1987 reprint, c1985.</t>
        </is>
      </c>
      <c r="O183" t="inlineStr">
        <is>
          <t>1985</t>
        </is>
      </c>
      <c r="P183" t="inlineStr">
        <is>
          <t>3rd ed.</t>
        </is>
      </c>
      <c r="Q183" t="inlineStr">
        <is>
          <t>eng</t>
        </is>
      </c>
      <c r="R183" t="inlineStr">
        <is>
          <t>enk</t>
        </is>
      </c>
      <c r="S183" t="inlineStr">
        <is>
          <t>Oxford medical publications</t>
        </is>
      </c>
      <c r="T183" t="inlineStr">
        <is>
          <t xml:space="preserve">QV </t>
        </is>
      </c>
      <c r="U183" t="n">
        <v>16</v>
      </c>
      <c r="V183" t="n">
        <v>16</v>
      </c>
      <c r="W183" t="inlineStr">
        <is>
          <t>2003-07-15</t>
        </is>
      </c>
      <c r="X183" t="inlineStr">
        <is>
          <t>2003-07-15</t>
        </is>
      </c>
      <c r="Y183" t="inlineStr">
        <is>
          <t>1989-03-10</t>
        </is>
      </c>
      <c r="Z183" t="inlineStr">
        <is>
          <t>1989-03-10</t>
        </is>
      </c>
      <c r="AA183" t="n">
        <v>235</v>
      </c>
      <c r="AB183" t="n">
        <v>159</v>
      </c>
      <c r="AC183" t="n">
        <v>307</v>
      </c>
      <c r="AD183" t="n">
        <v>1</v>
      </c>
      <c r="AE183" t="n">
        <v>1</v>
      </c>
      <c r="AF183" t="n">
        <v>2</v>
      </c>
      <c r="AG183" t="n">
        <v>7</v>
      </c>
      <c r="AH183" t="n">
        <v>1</v>
      </c>
      <c r="AI183" t="n">
        <v>3</v>
      </c>
      <c r="AJ183" t="n">
        <v>0</v>
      </c>
      <c r="AK183" t="n">
        <v>1</v>
      </c>
      <c r="AL183" t="n">
        <v>1</v>
      </c>
      <c r="AM183" t="n">
        <v>2</v>
      </c>
      <c r="AN183" t="n">
        <v>0</v>
      </c>
      <c r="AO183" t="n">
        <v>0</v>
      </c>
      <c r="AP183" t="n">
        <v>0</v>
      </c>
      <c r="AQ183" t="n">
        <v>1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HYPERLINK("http://catalog.hathitrust.org/Record/000537243","HathiTrust Record")</f>
        <v/>
      </c>
      <c r="AU183">
        <f>HYPERLINK("https://creighton-primo.hosted.exlibrisgroup.com/primo-explore/search?tab=default_tab&amp;search_scope=EVERYTHING&amp;vid=01CRU&amp;lang=en_US&amp;offset=0&amp;query=any,contains,991001241209702656","Catalog Record")</f>
        <v/>
      </c>
      <c r="AV183">
        <f>HYPERLINK("http://www.worldcat.org/oclc/12558288","WorldCat Record")</f>
        <v/>
      </c>
      <c r="AW183" t="inlineStr">
        <is>
          <t>54174025:eng</t>
        </is>
      </c>
      <c r="AX183" t="inlineStr">
        <is>
          <t>12558288</t>
        </is>
      </c>
      <c r="AY183" t="inlineStr">
        <is>
          <t>991001241209702656</t>
        </is>
      </c>
      <c r="AZ183" t="inlineStr">
        <is>
          <t>991001241209702656</t>
        </is>
      </c>
      <c r="BA183" t="inlineStr">
        <is>
          <t>2267013370002656</t>
        </is>
      </c>
      <c r="BB183" t="inlineStr">
        <is>
          <t>BOOK</t>
        </is>
      </c>
      <c r="BD183" t="inlineStr">
        <is>
          <t>9780192614797</t>
        </is>
      </c>
      <c r="BE183" t="inlineStr">
        <is>
          <t>30001001675703</t>
        </is>
      </c>
      <c r="BF183" t="inlineStr">
        <is>
          <t>893284591</t>
        </is>
      </c>
    </row>
    <row r="184">
      <c r="B184" t="inlineStr">
        <is>
          <t>CUHSL</t>
        </is>
      </c>
      <c r="C184" t="inlineStr">
        <is>
          <t>SHELVES</t>
        </is>
      </c>
      <c r="D184" t="inlineStr">
        <is>
          <t>QV 38 T355 1991</t>
        </is>
      </c>
      <c r="E184" t="inlineStr">
        <is>
          <t>0                      QV 0038000T  355         1991</t>
        </is>
      </c>
      <c r="F184" t="inlineStr">
        <is>
          <t>Textbook of adverse drug reactions / edited by D.M. Davies.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Yes</t>
        </is>
      </c>
      <c r="L184" t="inlineStr">
        <is>
          <t>0</t>
        </is>
      </c>
      <c r="N184" t="inlineStr">
        <is>
          <t>Oxford [Oxfordshire] ; New York : Oxford University Press, c1991.</t>
        </is>
      </c>
      <c r="O184" t="inlineStr">
        <is>
          <t>1991</t>
        </is>
      </c>
      <c r="P184" t="inlineStr">
        <is>
          <t>4th ed.</t>
        </is>
      </c>
      <c r="Q184" t="inlineStr">
        <is>
          <t>eng</t>
        </is>
      </c>
      <c r="R184" t="inlineStr">
        <is>
          <t>enk</t>
        </is>
      </c>
      <c r="S184" t="inlineStr">
        <is>
          <t>Oxford medical publications</t>
        </is>
      </c>
      <c r="T184" t="inlineStr">
        <is>
          <t xml:space="preserve">QV </t>
        </is>
      </c>
      <c r="U184" t="n">
        <v>22</v>
      </c>
      <c r="V184" t="n">
        <v>22</v>
      </c>
      <c r="W184" t="inlineStr">
        <is>
          <t>2002-08-14</t>
        </is>
      </c>
      <c r="X184" t="inlineStr">
        <is>
          <t>2002-08-14</t>
        </is>
      </c>
      <c r="Y184" t="inlineStr">
        <is>
          <t>1991-11-12</t>
        </is>
      </c>
      <c r="Z184" t="inlineStr">
        <is>
          <t>1991-11-12</t>
        </is>
      </c>
      <c r="AA184" t="n">
        <v>162</v>
      </c>
      <c r="AB184" t="n">
        <v>102</v>
      </c>
      <c r="AC184" t="n">
        <v>307</v>
      </c>
      <c r="AD184" t="n">
        <v>1</v>
      </c>
      <c r="AE184" t="n">
        <v>1</v>
      </c>
      <c r="AF184" t="n">
        <v>2</v>
      </c>
      <c r="AG184" t="n">
        <v>7</v>
      </c>
      <c r="AH184" t="n">
        <v>1</v>
      </c>
      <c r="AI184" t="n">
        <v>3</v>
      </c>
      <c r="AJ184" t="n">
        <v>1</v>
      </c>
      <c r="AK184" t="n">
        <v>1</v>
      </c>
      <c r="AL184" t="n">
        <v>0</v>
      </c>
      <c r="AM184" t="n">
        <v>2</v>
      </c>
      <c r="AN184" t="n">
        <v>0</v>
      </c>
      <c r="AO184" t="n">
        <v>0</v>
      </c>
      <c r="AP184" t="n">
        <v>0</v>
      </c>
      <c r="AQ184" t="n">
        <v>1</v>
      </c>
      <c r="AR184" t="inlineStr">
        <is>
          <t>No</t>
        </is>
      </c>
      <c r="AS184" t="inlineStr">
        <is>
          <t>Yes</t>
        </is>
      </c>
      <c r="AT184">
        <f>HYPERLINK("http://catalog.hathitrust.org/Record/002495628","HathiTrust Record")</f>
        <v/>
      </c>
      <c r="AU184">
        <f>HYPERLINK("https://creighton-primo.hosted.exlibrisgroup.com/primo-explore/search?tab=default_tab&amp;search_scope=EVERYTHING&amp;vid=01CRU&amp;lang=en_US&amp;offset=0&amp;query=any,contains,991001021049702656","Catalog Record")</f>
        <v/>
      </c>
      <c r="AV184">
        <f>HYPERLINK("http://www.worldcat.org/oclc/26128781","WorldCat Record")</f>
        <v/>
      </c>
      <c r="AW184" t="inlineStr">
        <is>
          <t>54174025:eng</t>
        </is>
      </c>
      <c r="AX184" t="inlineStr">
        <is>
          <t>26128781</t>
        </is>
      </c>
      <c r="AY184" t="inlineStr">
        <is>
          <t>991001021049702656</t>
        </is>
      </c>
      <c r="AZ184" t="inlineStr">
        <is>
          <t>991001021049702656</t>
        </is>
      </c>
      <c r="BA184" t="inlineStr">
        <is>
          <t>2261852330002656</t>
        </is>
      </c>
      <c r="BB184" t="inlineStr">
        <is>
          <t>BOOK</t>
        </is>
      </c>
      <c r="BD184" t="inlineStr">
        <is>
          <t>9780192620453</t>
        </is>
      </c>
      <c r="BE184" t="inlineStr">
        <is>
          <t>30001002241745</t>
        </is>
      </c>
      <c r="BF184" t="inlineStr">
        <is>
          <t>893820853</t>
        </is>
      </c>
    </row>
    <row r="185">
      <c r="B185" t="inlineStr">
        <is>
          <t>CUHSL</t>
        </is>
      </c>
      <c r="C185" t="inlineStr">
        <is>
          <t>SHELVES</t>
        </is>
      </c>
      <c r="D185" t="inlineStr">
        <is>
          <t>QV 38 W277c 1983</t>
        </is>
      </c>
      <c r="E185" t="inlineStr">
        <is>
          <t>0                      QV 0038000W  277c        1983</t>
        </is>
      </c>
      <c r="F185" t="inlineStr">
        <is>
          <t>Clinical pharmacokinetics : a modern approach to individualized drug therapy / by Joseph Wartak.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Wartak, Joseph.</t>
        </is>
      </c>
      <c r="N185" t="inlineStr">
        <is>
          <t>New York : Praeger, c1983.</t>
        </is>
      </c>
      <c r="O185" t="inlineStr">
        <is>
          <t>1983</t>
        </is>
      </c>
      <c r="Q185" t="inlineStr">
        <is>
          <t>eng</t>
        </is>
      </c>
      <c r="R185" t="inlineStr">
        <is>
          <t>xxu</t>
        </is>
      </c>
      <c r="S185" t="inlineStr">
        <is>
          <t>Clinical pharmacology and therapeutics series ; v. 2</t>
        </is>
      </c>
      <c r="T185" t="inlineStr">
        <is>
          <t xml:space="preserve">QV </t>
        </is>
      </c>
      <c r="U185" t="n">
        <v>21</v>
      </c>
      <c r="V185" t="n">
        <v>21</v>
      </c>
      <c r="W185" t="inlineStr">
        <is>
          <t>1992-09-27</t>
        </is>
      </c>
      <c r="X185" t="inlineStr">
        <is>
          <t>1992-09-27</t>
        </is>
      </c>
      <c r="Y185" t="inlineStr">
        <is>
          <t>1988-02-04</t>
        </is>
      </c>
      <c r="Z185" t="inlineStr">
        <is>
          <t>1988-02-04</t>
        </is>
      </c>
      <c r="AA185" t="n">
        <v>106</v>
      </c>
      <c r="AB185" t="n">
        <v>69</v>
      </c>
      <c r="AC185" t="n">
        <v>69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inlineStr">
        <is>
          <t>No</t>
        </is>
      </c>
      <c r="AS185" t="inlineStr">
        <is>
          <t>No</t>
        </is>
      </c>
      <c r="AU185">
        <f>HYPERLINK("https://creighton-primo.hosted.exlibrisgroup.com/primo-explore/search?tab=default_tab&amp;search_scope=EVERYTHING&amp;vid=01CRU&amp;lang=en_US&amp;offset=0&amp;query=any,contains,991000953069702656","Catalog Record")</f>
        <v/>
      </c>
      <c r="AV185">
        <f>HYPERLINK("http://www.worldcat.org/oclc/8846301","WorldCat Record")</f>
        <v/>
      </c>
      <c r="AW185" t="inlineStr">
        <is>
          <t>365413612:eng</t>
        </is>
      </c>
      <c r="AX185" t="inlineStr">
        <is>
          <t>8846301</t>
        </is>
      </c>
      <c r="AY185" t="inlineStr">
        <is>
          <t>991000953069702656</t>
        </is>
      </c>
      <c r="AZ185" t="inlineStr">
        <is>
          <t>991000953069702656</t>
        </is>
      </c>
      <c r="BA185" t="inlineStr">
        <is>
          <t>2270109300002656</t>
        </is>
      </c>
      <c r="BB185" t="inlineStr">
        <is>
          <t>BOOK</t>
        </is>
      </c>
      <c r="BD185" t="inlineStr">
        <is>
          <t>9780030626524</t>
        </is>
      </c>
      <c r="BE185" t="inlineStr">
        <is>
          <t>30001000192601</t>
        </is>
      </c>
      <c r="BF185" t="inlineStr">
        <is>
          <t>893560786</t>
        </is>
      </c>
    </row>
    <row r="186">
      <c r="B186" t="inlineStr">
        <is>
          <t>CUHSL</t>
        </is>
      </c>
      <c r="C186" t="inlineStr">
        <is>
          <t>SHELVES</t>
        </is>
      </c>
      <c r="D186" t="inlineStr">
        <is>
          <t>QV 38 W786b 1994</t>
        </is>
      </c>
      <c r="E186" t="inlineStr">
        <is>
          <t>0                      QV 0038000W  786b        1994</t>
        </is>
      </c>
      <c r="F186" t="inlineStr">
        <is>
          <t>Basic clinical pharmacokinetics / Michael E. Winter ; edited by Mary Anne Koda-Kimble, Lloyd Y. Young.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Yes</t>
        </is>
      </c>
      <c r="L186" t="inlineStr">
        <is>
          <t>0</t>
        </is>
      </c>
      <c r="M186" t="inlineStr">
        <is>
          <t>Winter, Michael E.</t>
        </is>
      </c>
      <c r="N186" t="inlineStr">
        <is>
          <t>Vancouver, WA : Applied Therapeutics, c1994.</t>
        </is>
      </c>
      <c r="O186" t="inlineStr">
        <is>
          <t>1994</t>
        </is>
      </c>
      <c r="P186" t="inlineStr">
        <is>
          <t>3rd ed.</t>
        </is>
      </c>
      <c r="Q186" t="inlineStr">
        <is>
          <t>eng</t>
        </is>
      </c>
      <c r="R186" t="inlineStr">
        <is>
          <t>wau</t>
        </is>
      </c>
      <c r="T186" t="inlineStr">
        <is>
          <t xml:space="preserve">QV </t>
        </is>
      </c>
      <c r="U186" t="n">
        <v>63</v>
      </c>
      <c r="V186" t="n">
        <v>63</v>
      </c>
      <c r="W186" t="inlineStr">
        <is>
          <t>2007-07-30</t>
        </is>
      </c>
      <c r="X186" t="inlineStr">
        <is>
          <t>2007-07-30</t>
        </is>
      </c>
      <c r="Y186" t="inlineStr">
        <is>
          <t>1995-01-05</t>
        </is>
      </c>
      <c r="Z186" t="inlineStr">
        <is>
          <t>1995-01-05</t>
        </is>
      </c>
      <c r="AA186" t="n">
        <v>97</v>
      </c>
      <c r="AB186" t="n">
        <v>66</v>
      </c>
      <c r="AC186" t="n">
        <v>242</v>
      </c>
      <c r="AD186" t="n">
        <v>1</v>
      </c>
      <c r="AE186" t="n">
        <v>3</v>
      </c>
      <c r="AF186" t="n">
        <v>2</v>
      </c>
      <c r="AG186" t="n">
        <v>11</v>
      </c>
      <c r="AH186" t="n">
        <v>1</v>
      </c>
      <c r="AI186" t="n">
        <v>6</v>
      </c>
      <c r="AJ186" t="n">
        <v>1</v>
      </c>
      <c r="AK186" t="n">
        <v>3</v>
      </c>
      <c r="AL186" t="n">
        <v>0</v>
      </c>
      <c r="AM186" t="n">
        <v>2</v>
      </c>
      <c r="AN186" t="n">
        <v>0</v>
      </c>
      <c r="AO186" t="n">
        <v>2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HYPERLINK("http://catalog.hathitrust.org/Record/002875626","HathiTrust Record")</f>
        <v/>
      </c>
      <c r="AU186">
        <f>HYPERLINK("https://creighton-primo.hosted.exlibrisgroup.com/primo-explore/search?tab=default_tab&amp;search_scope=EVERYTHING&amp;vid=01CRU&amp;lang=en_US&amp;offset=0&amp;query=any,contains,991000684219702656","Catalog Record")</f>
        <v/>
      </c>
      <c r="AV186">
        <f>HYPERLINK("http://www.worldcat.org/oclc/30964072","WorldCat Record")</f>
        <v/>
      </c>
      <c r="AW186" t="inlineStr">
        <is>
          <t>766715:eng</t>
        </is>
      </c>
      <c r="AX186" t="inlineStr">
        <is>
          <t>30964072</t>
        </is>
      </c>
      <c r="AY186" t="inlineStr">
        <is>
          <t>991000684219702656</t>
        </is>
      </c>
      <c r="AZ186" t="inlineStr">
        <is>
          <t>991000684219702656</t>
        </is>
      </c>
      <c r="BA186" t="inlineStr">
        <is>
          <t>2268100090002656</t>
        </is>
      </c>
      <c r="BB186" t="inlineStr">
        <is>
          <t>BOOK</t>
        </is>
      </c>
      <c r="BD186" t="inlineStr">
        <is>
          <t>9780915486229</t>
        </is>
      </c>
      <c r="BE186" t="inlineStr">
        <is>
          <t>30001002698530</t>
        </is>
      </c>
      <c r="BF186" t="inlineStr">
        <is>
          <t>893267144</t>
        </is>
      </c>
    </row>
    <row r="187">
      <c r="B187" t="inlineStr">
        <is>
          <t>CUHSL</t>
        </is>
      </c>
      <c r="C187" t="inlineStr">
        <is>
          <t>SHELVES</t>
        </is>
      </c>
      <c r="D187" t="inlineStr">
        <is>
          <t>QV 38.3 C752c 1979</t>
        </is>
      </c>
      <c r="E187" t="inlineStr">
        <is>
          <t>0                      QV 0038300C  752c        1979</t>
        </is>
      </c>
      <c r="F187" t="inlineStr">
        <is>
          <t>Chemical stability of pharmaceuticals : a handbook for pharmacists / Kenneth A. Connors, Gordon L. Amidon, Lloyd Kennon.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Connors, Kenneth A. (Kenneth Antonio), 1932-</t>
        </is>
      </c>
      <c r="N187" t="inlineStr">
        <is>
          <t>-- New York : Wiley, c1979.</t>
        </is>
      </c>
      <c r="O187" t="inlineStr">
        <is>
          <t>1978</t>
        </is>
      </c>
      <c r="Q187" t="inlineStr">
        <is>
          <t>eng</t>
        </is>
      </c>
      <c r="R187" t="inlineStr">
        <is>
          <t>nyu</t>
        </is>
      </c>
      <c r="S187" t="inlineStr">
        <is>
          <t>Wiley-Interscience publication</t>
        </is>
      </c>
      <c r="T187" t="inlineStr">
        <is>
          <t xml:space="preserve">QV </t>
        </is>
      </c>
      <c r="U187" t="n">
        <v>6</v>
      </c>
      <c r="V187" t="n">
        <v>6</v>
      </c>
      <c r="W187" t="inlineStr">
        <is>
          <t>1994-07-05</t>
        </is>
      </c>
      <c r="X187" t="inlineStr">
        <is>
          <t>1994-07-05</t>
        </is>
      </c>
      <c r="Y187" t="inlineStr">
        <is>
          <t>1988-03-23</t>
        </is>
      </c>
      <c r="Z187" t="inlineStr">
        <is>
          <t>1988-03-23</t>
        </is>
      </c>
      <c r="AA187" t="n">
        <v>205</v>
      </c>
      <c r="AB187" t="n">
        <v>136</v>
      </c>
      <c r="AC187" t="n">
        <v>197</v>
      </c>
      <c r="AD187" t="n">
        <v>2</v>
      </c>
      <c r="AE187" t="n">
        <v>3</v>
      </c>
      <c r="AF187" t="n">
        <v>4</v>
      </c>
      <c r="AG187" t="n">
        <v>8</v>
      </c>
      <c r="AH187" t="n">
        <v>1</v>
      </c>
      <c r="AI187" t="n">
        <v>3</v>
      </c>
      <c r="AJ187" t="n">
        <v>1</v>
      </c>
      <c r="AK187" t="n">
        <v>2</v>
      </c>
      <c r="AL187" t="n">
        <v>1</v>
      </c>
      <c r="AM187" t="n">
        <v>2</v>
      </c>
      <c r="AN187" t="n">
        <v>1</v>
      </c>
      <c r="AO187" t="n">
        <v>2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HYPERLINK("http://catalog.hathitrust.org/Record/000092840","HathiTrust Record")</f>
        <v/>
      </c>
      <c r="AU187">
        <f>HYPERLINK("https://creighton-primo.hosted.exlibrisgroup.com/primo-explore/search?tab=default_tab&amp;search_scope=EVERYTHING&amp;vid=01CRU&amp;lang=en_US&amp;offset=0&amp;query=any,contains,991001483269702656","Catalog Record")</f>
        <v/>
      </c>
      <c r="AV187">
        <f>HYPERLINK("http://www.worldcat.org/oclc/3649703","WorldCat Record")</f>
        <v/>
      </c>
      <c r="AW187" t="inlineStr">
        <is>
          <t>5469100:eng</t>
        </is>
      </c>
      <c r="AX187" t="inlineStr">
        <is>
          <t>3649703</t>
        </is>
      </c>
      <c r="AY187" t="inlineStr">
        <is>
          <t>991001483269702656</t>
        </is>
      </c>
      <c r="AZ187" t="inlineStr">
        <is>
          <t>991001483269702656</t>
        </is>
      </c>
      <c r="BA187" t="inlineStr">
        <is>
          <t>2255870160002656</t>
        </is>
      </c>
      <c r="BB187" t="inlineStr">
        <is>
          <t>BOOK</t>
        </is>
      </c>
      <c r="BD187" t="inlineStr">
        <is>
          <t>9780471026532</t>
        </is>
      </c>
      <c r="BE187" t="inlineStr">
        <is>
          <t>30001000572737</t>
        </is>
      </c>
      <c r="BF187" t="inlineStr">
        <is>
          <t>893741184</t>
        </is>
      </c>
    </row>
    <row r="188">
      <c r="B188" t="inlineStr">
        <is>
          <t>CUHSL</t>
        </is>
      </c>
      <c r="C188" t="inlineStr">
        <is>
          <t>SHELVES</t>
        </is>
      </c>
      <c r="D188" t="inlineStr">
        <is>
          <t>QV 39 A798a 2009</t>
        </is>
      </c>
      <c r="E188" t="inlineStr">
        <is>
          <t>0                      QV 0039000A  798a        2009</t>
        </is>
      </c>
      <c r="F188" t="inlineStr">
        <is>
          <t>Antiepileptic drugs : a clinician's manual / Ali A. Asadi-Pooya, Michael R. Sperling.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1</t>
        </is>
      </c>
      <c r="M188" t="inlineStr">
        <is>
          <t>Asadi-Pooya, Ali A., 1973-</t>
        </is>
      </c>
      <c r="N188" t="inlineStr">
        <is>
          <t>Oxford ; New York : Oxford University Press, c2009.</t>
        </is>
      </c>
      <c r="O188" t="inlineStr">
        <is>
          <t>2009</t>
        </is>
      </c>
      <c r="Q188" t="inlineStr">
        <is>
          <t>eng</t>
        </is>
      </c>
      <c r="R188" t="inlineStr">
        <is>
          <t>enk</t>
        </is>
      </c>
      <c r="S188" t="inlineStr">
        <is>
          <t>Oxford American neurology library</t>
        </is>
      </c>
      <c r="T188" t="inlineStr">
        <is>
          <t xml:space="preserve">QV </t>
        </is>
      </c>
      <c r="U188" t="n">
        <v>0</v>
      </c>
      <c r="V188" t="n">
        <v>0</v>
      </c>
      <c r="W188" t="inlineStr">
        <is>
          <t>2009-06-30</t>
        </is>
      </c>
      <c r="X188" t="inlineStr">
        <is>
          <t>2009-06-30</t>
        </is>
      </c>
      <c r="Y188" t="inlineStr">
        <is>
          <t>2009-06-29</t>
        </is>
      </c>
      <c r="Z188" t="inlineStr">
        <is>
          <t>2009-06-29</t>
        </is>
      </c>
      <c r="AA188" t="n">
        <v>41</v>
      </c>
      <c r="AB188" t="n">
        <v>20</v>
      </c>
      <c r="AC188" t="n">
        <v>747</v>
      </c>
      <c r="AD188" t="n">
        <v>1</v>
      </c>
      <c r="AE188" t="n">
        <v>12</v>
      </c>
      <c r="AF188" t="n">
        <v>1</v>
      </c>
      <c r="AG188" t="n">
        <v>35</v>
      </c>
      <c r="AH188" t="n">
        <v>0</v>
      </c>
      <c r="AI188" t="n">
        <v>10</v>
      </c>
      <c r="AJ188" t="n">
        <v>0</v>
      </c>
      <c r="AK188" t="n">
        <v>9</v>
      </c>
      <c r="AL188" t="n">
        <v>1</v>
      </c>
      <c r="AM188" t="n">
        <v>10</v>
      </c>
      <c r="AN188" t="n">
        <v>0</v>
      </c>
      <c r="AO188" t="n">
        <v>10</v>
      </c>
      <c r="AP188" t="n">
        <v>0</v>
      </c>
      <c r="AQ188" t="n">
        <v>1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HYPERLINK("https://creighton-primo.hosted.exlibrisgroup.com/primo-explore/search?tab=default_tab&amp;search_scope=EVERYTHING&amp;vid=01CRU&amp;lang=en_US&amp;offset=0&amp;query=any,contains,991001474979702656","Catalog Record")</f>
        <v/>
      </c>
      <c r="AV188">
        <f>HYPERLINK("http://www.worldcat.org/oclc/180195560","WorldCat Record")</f>
        <v/>
      </c>
      <c r="AW188" t="inlineStr">
        <is>
          <t>908541659:eng</t>
        </is>
      </c>
      <c r="AX188" t="inlineStr">
        <is>
          <t>180195560</t>
        </is>
      </c>
      <c r="AY188" t="inlineStr">
        <is>
          <t>991001474979702656</t>
        </is>
      </c>
      <c r="AZ188" t="inlineStr">
        <is>
          <t>991001474979702656</t>
        </is>
      </c>
      <c r="BA188" t="inlineStr">
        <is>
          <t>2254900380002656</t>
        </is>
      </c>
      <c r="BB188" t="inlineStr">
        <is>
          <t>BOOK</t>
        </is>
      </c>
      <c r="BD188" t="inlineStr">
        <is>
          <t>9780195343403</t>
        </is>
      </c>
      <c r="BE188" t="inlineStr">
        <is>
          <t>30001004918076</t>
        </is>
      </c>
      <c r="BF188" t="inlineStr">
        <is>
          <t>893121527</t>
        </is>
      </c>
    </row>
    <row r="189">
      <c r="B189" t="inlineStr">
        <is>
          <t>CUHSL</t>
        </is>
      </c>
      <c r="C189" t="inlineStr">
        <is>
          <t>SHELVES</t>
        </is>
      </c>
      <c r="D189" t="inlineStr">
        <is>
          <t>QV 39 B477m 1985</t>
        </is>
      </c>
      <c r="E189" t="inlineStr">
        <is>
          <t>0                      QV 0039000B  477m        1985</t>
        </is>
      </c>
      <c r="F189" t="inlineStr">
        <is>
          <t>Medical pharmacology / Peter J. Bentley.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Yes</t>
        </is>
      </c>
      <c r="L189" t="inlineStr">
        <is>
          <t>0</t>
        </is>
      </c>
      <c r="M189" t="inlineStr">
        <is>
          <t>Bentley, P. J.</t>
        </is>
      </c>
      <c r="N189" t="inlineStr">
        <is>
          <t>[New Hyde Park, N.Y.] : Medical Examination Pub. Co., c1985.</t>
        </is>
      </c>
      <c r="O189" t="inlineStr">
        <is>
          <t>1985</t>
        </is>
      </c>
      <c r="P189" t="inlineStr">
        <is>
          <t>2nd ed.</t>
        </is>
      </c>
      <c r="Q189" t="inlineStr">
        <is>
          <t>eng</t>
        </is>
      </c>
      <c r="R189" t="inlineStr">
        <is>
          <t>xxu</t>
        </is>
      </c>
      <c r="S189" t="inlineStr">
        <is>
          <t>Medical outline series</t>
        </is>
      </c>
      <c r="T189" t="inlineStr">
        <is>
          <t xml:space="preserve">QV </t>
        </is>
      </c>
      <c r="U189" t="n">
        <v>11</v>
      </c>
      <c r="V189" t="n">
        <v>11</v>
      </c>
      <c r="W189" t="inlineStr">
        <is>
          <t>1991-01-18</t>
        </is>
      </c>
      <c r="X189" t="inlineStr">
        <is>
          <t>1991-01-18</t>
        </is>
      </c>
      <c r="Y189" t="inlineStr">
        <is>
          <t>1988-01-11</t>
        </is>
      </c>
      <c r="Z189" t="inlineStr">
        <is>
          <t>1988-01-11</t>
        </is>
      </c>
      <c r="AA189" t="n">
        <v>64</v>
      </c>
      <c r="AB189" t="n">
        <v>58</v>
      </c>
      <c r="AC189" t="n">
        <v>77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Yes</t>
        </is>
      </c>
      <c r="AT189">
        <f>HYPERLINK("http://catalog.hathitrust.org/Record/000482251","HathiTrust Record")</f>
        <v/>
      </c>
      <c r="AU189">
        <f>HYPERLINK("https://creighton-primo.hosted.exlibrisgroup.com/primo-explore/search?tab=default_tab&amp;search_scope=EVERYTHING&amp;vid=01CRU&amp;lang=en_US&amp;offset=0&amp;query=any,contains,991000914749702656","Catalog Record")</f>
        <v/>
      </c>
      <c r="AV189">
        <f>HYPERLINK("http://www.worldcat.org/oclc/12082491","WorldCat Record")</f>
        <v/>
      </c>
      <c r="AW189" t="inlineStr">
        <is>
          <t>4724448:eng</t>
        </is>
      </c>
      <c r="AX189" t="inlineStr">
        <is>
          <t>12082491</t>
        </is>
      </c>
      <c r="AY189" t="inlineStr">
        <is>
          <t>991000914749702656</t>
        </is>
      </c>
      <c r="AZ189" t="inlineStr">
        <is>
          <t>991000914749702656</t>
        </is>
      </c>
      <c r="BA189" t="inlineStr">
        <is>
          <t>2262488400002656</t>
        </is>
      </c>
      <c r="BB189" t="inlineStr">
        <is>
          <t>BOOK</t>
        </is>
      </c>
      <c r="BD189" t="inlineStr">
        <is>
          <t>9780874887631</t>
        </is>
      </c>
      <c r="BE189" t="inlineStr">
        <is>
          <t>30001000179111</t>
        </is>
      </c>
      <c r="BF189" t="inlineStr">
        <is>
          <t>893374090</t>
        </is>
      </c>
    </row>
    <row r="190">
      <c r="B190" t="inlineStr">
        <is>
          <t>CUHSL</t>
        </is>
      </c>
      <c r="C190" t="inlineStr">
        <is>
          <t>SHELVES</t>
        </is>
      </c>
      <c r="D190" t="inlineStr">
        <is>
          <t>QV 39 C594h 1999</t>
        </is>
      </c>
      <c r="E190" t="inlineStr">
        <is>
          <t>0                      QV 0039000C  594h        1999</t>
        </is>
      </c>
      <c r="F190" t="inlineStr">
        <is>
          <t>Handbook of nitrous oxide and oxygen sedation / Morris S. Clark, Ann L. Brunick.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Yes</t>
        </is>
      </c>
      <c r="L190" t="inlineStr">
        <is>
          <t>0</t>
        </is>
      </c>
      <c r="M190" t="inlineStr">
        <is>
          <t>Clark, Morris S.</t>
        </is>
      </c>
      <c r="N190" t="inlineStr">
        <is>
          <t>St. Louis, Mo. : Mosby, c1999.</t>
        </is>
      </c>
      <c r="O190" t="inlineStr">
        <is>
          <t>1999</t>
        </is>
      </c>
      <c r="Q190" t="inlineStr">
        <is>
          <t>eng</t>
        </is>
      </c>
      <c r="R190" t="inlineStr">
        <is>
          <t>mou</t>
        </is>
      </c>
      <c r="T190" t="inlineStr">
        <is>
          <t xml:space="preserve">QV </t>
        </is>
      </c>
      <c r="U190" t="n">
        <v>10</v>
      </c>
      <c r="V190" t="n">
        <v>10</v>
      </c>
      <c r="W190" t="inlineStr">
        <is>
          <t>2006-03-29</t>
        </is>
      </c>
      <c r="X190" t="inlineStr">
        <is>
          <t>2006-03-29</t>
        </is>
      </c>
      <c r="Y190" t="inlineStr">
        <is>
          <t>1999-09-03</t>
        </is>
      </c>
      <c r="Z190" t="inlineStr">
        <is>
          <t>1999-09-03</t>
        </is>
      </c>
      <c r="AA190" t="n">
        <v>110</v>
      </c>
      <c r="AB190" t="n">
        <v>75</v>
      </c>
      <c r="AC190" t="n">
        <v>316</v>
      </c>
      <c r="AD190" t="n">
        <v>2</v>
      </c>
      <c r="AE190" t="n">
        <v>4</v>
      </c>
      <c r="AF190" t="n">
        <v>4</v>
      </c>
      <c r="AG190" t="n">
        <v>7</v>
      </c>
      <c r="AH190" t="n">
        <v>0</v>
      </c>
      <c r="AI190" t="n">
        <v>0</v>
      </c>
      <c r="AJ190" t="n">
        <v>2</v>
      </c>
      <c r="AK190" t="n">
        <v>3</v>
      </c>
      <c r="AL190" t="n">
        <v>2</v>
      </c>
      <c r="AM190" t="n">
        <v>2</v>
      </c>
      <c r="AN190" t="n">
        <v>1</v>
      </c>
      <c r="AO190" t="n">
        <v>3</v>
      </c>
      <c r="AP190" t="n">
        <v>0</v>
      </c>
      <c r="AQ190" t="n">
        <v>0</v>
      </c>
      <c r="AR190" t="inlineStr">
        <is>
          <t>No</t>
        </is>
      </c>
      <c r="AS190" t="inlineStr">
        <is>
          <t>Yes</t>
        </is>
      </c>
      <c r="AT190">
        <f>HYPERLINK("http://catalog.hathitrust.org/Record/003314902","HathiTrust Record")</f>
        <v/>
      </c>
      <c r="AU190">
        <f>HYPERLINK("https://creighton-primo.hosted.exlibrisgroup.com/primo-explore/search?tab=default_tab&amp;search_scope=EVERYTHING&amp;vid=01CRU&amp;lang=en_US&amp;offset=0&amp;query=any,contains,991001564959702656","Catalog Record")</f>
        <v/>
      </c>
      <c r="AV190">
        <f>HYPERLINK("http://www.worldcat.org/oclc/39282366","WorldCat Record")</f>
        <v/>
      </c>
      <c r="AW190" t="inlineStr">
        <is>
          <t>679578:eng</t>
        </is>
      </c>
      <c r="AX190" t="inlineStr">
        <is>
          <t>39282366</t>
        </is>
      </c>
      <c r="AY190" t="inlineStr">
        <is>
          <t>991001564959702656</t>
        </is>
      </c>
      <c r="AZ190" t="inlineStr">
        <is>
          <t>991001564959702656</t>
        </is>
      </c>
      <c r="BA190" t="inlineStr">
        <is>
          <t>2264774700002656</t>
        </is>
      </c>
      <c r="BB190" t="inlineStr">
        <is>
          <t>BOOK</t>
        </is>
      </c>
      <c r="BD190" t="inlineStr">
        <is>
          <t>9780815183938</t>
        </is>
      </c>
      <c r="BE190" t="inlineStr">
        <is>
          <t>30001004012656</t>
        </is>
      </c>
      <c r="BF190" t="inlineStr">
        <is>
          <t>893468024</t>
        </is>
      </c>
    </row>
    <row r="191">
      <c r="B191" t="inlineStr">
        <is>
          <t>CUHSL</t>
        </is>
      </c>
      <c r="C191" t="inlineStr">
        <is>
          <t>SHELVES</t>
        </is>
      </c>
      <c r="D191" t="inlineStr">
        <is>
          <t>QV39 C594h 2003</t>
        </is>
      </c>
      <c r="E191" t="inlineStr">
        <is>
          <t>0                      QV 0039000C  594h        2003</t>
        </is>
      </c>
      <c r="F191" t="inlineStr">
        <is>
          <t>Handbook of nitrous oxide and oxygen sedation / Morris Clark, Ann Brunick.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Yes</t>
        </is>
      </c>
      <c r="L191" t="inlineStr">
        <is>
          <t>0</t>
        </is>
      </c>
      <c r="M191" t="inlineStr">
        <is>
          <t>Clark, Morris S.</t>
        </is>
      </c>
      <c r="N191" t="inlineStr">
        <is>
          <t>St. Louis, Mo. : Mosby, c2003.</t>
        </is>
      </c>
      <c r="O191" t="inlineStr">
        <is>
          <t>2003</t>
        </is>
      </c>
      <c r="P191" t="inlineStr">
        <is>
          <t>2nd ed.</t>
        </is>
      </c>
      <c r="Q191" t="inlineStr">
        <is>
          <t>eng</t>
        </is>
      </c>
      <c r="R191" t="inlineStr">
        <is>
          <t>mou</t>
        </is>
      </c>
      <c r="T191" t="inlineStr">
        <is>
          <t xml:space="preserve">QV </t>
        </is>
      </c>
      <c r="U191" t="n">
        <v>5</v>
      </c>
      <c r="V191" t="n">
        <v>5</v>
      </c>
      <c r="W191" t="inlineStr">
        <is>
          <t>2010-07-14</t>
        </is>
      </c>
      <c r="X191" t="inlineStr">
        <is>
          <t>2010-07-14</t>
        </is>
      </c>
      <c r="Y191" t="inlineStr">
        <is>
          <t>2004-08-24</t>
        </is>
      </c>
      <c r="Z191" t="inlineStr">
        <is>
          <t>2004-08-24</t>
        </is>
      </c>
      <c r="AA191" t="n">
        <v>121</v>
      </c>
      <c r="AB191" t="n">
        <v>89</v>
      </c>
      <c r="AC191" t="n">
        <v>316</v>
      </c>
      <c r="AD191" t="n">
        <v>2</v>
      </c>
      <c r="AE191" t="n">
        <v>4</v>
      </c>
      <c r="AF191" t="n">
        <v>3</v>
      </c>
      <c r="AG191" t="n">
        <v>7</v>
      </c>
      <c r="AH191" t="n">
        <v>0</v>
      </c>
      <c r="AI191" t="n">
        <v>0</v>
      </c>
      <c r="AJ191" t="n">
        <v>1</v>
      </c>
      <c r="AK191" t="n">
        <v>3</v>
      </c>
      <c r="AL191" t="n">
        <v>2</v>
      </c>
      <c r="AM191" t="n">
        <v>2</v>
      </c>
      <c r="AN191" t="n">
        <v>1</v>
      </c>
      <c r="AO191" t="n">
        <v>3</v>
      </c>
      <c r="AP191" t="n">
        <v>0</v>
      </c>
      <c r="AQ191" t="n">
        <v>0</v>
      </c>
      <c r="AR191" t="inlineStr">
        <is>
          <t>No</t>
        </is>
      </c>
      <c r="AS191" t="inlineStr">
        <is>
          <t>Yes</t>
        </is>
      </c>
      <c r="AT191">
        <f>HYPERLINK("http://catalog.hathitrust.org/Record/004338276","HathiTrust Record")</f>
        <v/>
      </c>
      <c r="AU191">
        <f>HYPERLINK("https://creighton-primo.hosted.exlibrisgroup.com/primo-explore/search?tab=default_tab&amp;search_scope=EVERYTHING&amp;vid=01CRU&amp;lang=en_US&amp;offset=0&amp;query=any,contains,991000377319702656","Catalog Record")</f>
        <v/>
      </c>
      <c r="AV191">
        <f>HYPERLINK("http://www.worldcat.org/oclc/51811294","WorldCat Record")</f>
        <v/>
      </c>
      <c r="AW191" t="inlineStr">
        <is>
          <t>679578:eng</t>
        </is>
      </c>
      <c r="AX191" t="inlineStr">
        <is>
          <t>51811294</t>
        </is>
      </c>
      <c r="AY191" t="inlineStr">
        <is>
          <t>991000377319702656</t>
        </is>
      </c>
      <c r="AZ191" t="inlineStr">
        <is>
          <t>991000377319702656</t>
        </is>
      </c>
      <c r="BA191" t="inlineStr">
        <is>
          <t>2255054910002656</t>
        </is>
      </c>
      <c r="BB191" t="inlineStr">
        <is>
          <t>BOOK</t>
        </is>
      </c>
      <c r="BD191" t="inlineStr">
        <is>
          <t>9780323019774</t>
        </is>
      </c>
      <c r="BE191" t="inlineStr">
        <is>
          <t>30001004922078</t>
        </is>
      </c>
      <c r="BF191" t="inlineStr">
        <is>
          <t>893827435</t>
        </is>
      </c>
    </row>
    <row r="192">
      <c r="B192" t="inlineStr">
        <is>
          <t>CUHSL</t>
        </is>
      </c>
      <c r="C192" t="inlineStr">
        <is>
          <t>SHELVES</t>
        </is>
      </c>
      <c r="D192" t="inlineStr">
        <is>
          <t>QV 39 C6415 1988</t>
        </is>
      </c>
      <c r="E192" t="inlineStr">
        <is>
          <t>0                      QV 0039000C  6415        1988</t>
        </is>
      </c>
      <c r="F192" t="inlineStr">
        <is>
          <t>Clinical pharmacology, '88/'89 / edited by Bertram G. Katzung.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N192" t="inlineStr">
        <is>
          <t>Norwalk, Conn. : Appleton &amp; Lange, c1988.</t>
        </is>
      </c>
      <c r="O192" t="inlineStr">
        <is>
          <t>1988</t>
        </is>
      </c>
      <c r="Q192" t="inlineStr">
        <is>
          <t>eng</t>
        </is>
      </c>
      <c r="R192" t="inlineStr">
        <is>
          <t>ctu</t>
        </is>
      </c>
      <c r="S192" t="inlineStr">
        <is>
          <t>Lange clinical manual</t>
        </is>
      </c>
      <c r="T192" t="inlineStr">
        <is>
          <t xml:space="preserve">QV </t>
        </is>
      </c>
      <c r="U192" t="n">
        <v>1</v>
      </c>
      <c r="V192" t="n">
        <v>1</v>
      </c>
      <c r="W192" t="inlineStr">
        <is>
          <t>1993-01-24</t>
        </is>
      </c>
      <c r="X192" t="inlineStr">
        <is>
          <t>1993-01-24</t>
        </is>
      </c>
      <c r="Y192" t="inlineStr">
        <is>
          <t>1989-02-04</t>
        </is>
      </c>
      <c r="Z192" t="inlineStr">
        <is>
          <t>1989-02-04</t>
        </is>
      </c>
      <c r="AA192" t="n">
        <v>53</v>
      </c>
      <c r="AB192" t="n">
        <v>42</v>
      </c>
      <c r="AC192" t="n">
        <v>43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HYPERLINK("https://creighton-primo.hosted.exlibrisgroup.com/primo-explore/search?tab=default_tab&amp;search_scope=EVERYTHING&amp;vid=01CRU&amp;lang=en_US&amp;offset=0&amp;query=any,contains,991001117079702656","Catalog Record")</f>
        <v/>
      </c>
      <c r="AV192">
        <f>HYPERLINK("http://www.worldcat.org/oclc/17727920","WorldCat Record")</f>
        <v/>
      </c>
      <c r="AW192" t="inlineStr">
        <is>
          <t>55083709:eng</t>
        </is>
      </c>
      <c r="AX192" t="inlineStr">
        <is>
          <t>17727920</t>
        </is>
      </c>
      <c r="AY192" t="inlineStr">
        <is>
          <t>991001117079702656</t>
        </is>
      </c>
      <c r="AZ192" t="inlineStr">
        <is>
          <t>991001117079702656</t>
        </is>
      </c>
      <c r="BA192" t="inlineStr">
        <is>
          <t>2264018860002656</t>
        </is>
      </c>
      <c r="BB192" t="inlineStr">
        <is>
          <t>BOOK</t>
        </is>
      </c>
      <c r="BE192" t="inlineStr">
        <is>
          <t>30001001613555</t>
        </is>
      </c>
      <c r="BF192" t="inlineStr">
        <is>
          <t>893736220</t>
        </is>
      </c>
    </row>
    <row r="193">
      <c r="B193" t="inlineStr">
        <is>
          <t>CUHSL</t>
        </is>
      </c>
      <c r="C193" t="inlineStr">
        <is>
          <t>SHELVES</t>
        </is>
      </c>
      <c r="D193" t="inlineStr">
        <is>
          <t>QV 39 C761m 1992</t>
        </is>
      </c>
      <c r="E193" t="inlineStr">
        <is>
          <t>0                      QV 0039000C  761m        1992</t>
        </is>
      </c>
      <c r="F193" t="inlineStr">
        <is>
          <t>Manual of antibiotics and infectious diseases / John E. Conte, Jr., Steven L. Barriere.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Conte, John E.</t>
        </is>
      </c>
      <c r="N193" t="inlineStr">
        <is>
          <t>Philadelphia : Lea &amp; Febiger, c1992.</t>
        </is>
      </c>
      <c r="O193" t="inlineStr">
        <is>
          <t>1992</t>
        </is>
      </c>
      <c r="P193" t="inlineStr">
        <is>
          <t>7th ed.</t>
        </is>
      </c>
      <c r="Q193" t="inlineStr">
        <is>
          <t>eng</t>
        </is>
      </c>
      <c r="R193" t="inlineStr">
        <is>
          <t>xxu</t>
        </is>
      </c>
      <c r="T193" t="inlineStr">
        <is>
          <t xml:space="preserve">QV </t>
        </is>
      </c>
      <c r="U193" t="n">
        <v>7</v>
      </c>
      <c r="V193" t="n">
        <v>7</v>
      </c>
      <c r="W193" t="inlineStr">
        <is>
          <t>1999-11-04</t>
        </is>
      </c>
      <c r="X193" t="inlineStr">
        <is>
          <t>1999-11-04</t>
        </is>
      </c>
      <c r="Y193" t="inlineStr">
        <is>
          <t>1992-04-07</t>
        </is>
      </c>
      <c r="Z193" t="inlineStr">
        <is>
          <t>1992-04-07</t>
        </is>
      </c>
      <c r="AA193" t="n">
        <v>208</v>
      </c>
      <c r="AB193" t="n">
        <v>169</v>
      </c>
      <c r="AC193" t="n">
        <v>504</v>
      </c>
      <c r="AD193" t="n">
        <v>1</v>
      </c>
      <c r="AE193" t="n">
        <v>1</v>
      </c>
      <c r="AF193" t="n">
        <v>2</v>
      </c>
      <c r="AG193" t="n">
        <v>9</v>
      </c>
      <c r="AH193" t="n">
        <v>1</v>
      </c>
      <c r="AI193" t="n">
        <v>6</v>
      </c>
      <c r="AJ193" t="n">
        <v>1</v>
      </c>
      <c r="AK193" t="n">
        <v>3</v>
      </c>
      <c r="AL193" t="n">
        <v>0</v>
      </c>
      <c r="AM193" t="n">
        <v>3</v>
      </c>
      <c r="AN193" t="n">
        <v>0</v>
      </c>
      <c r="AO193" t="n">
        <v>0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HYPERLINK("http://catalog.hathitrust.org/Record/002525429","HathiTrust Record")</f>
        <v/>
      </c>
      <c r="AU193">
        <f>HYPERLINK("https://creighton-primo.hosted.exlibrisgroup.com/primo-explore/search?tab=default_tab&amp;search_scope=EVERYTHING&amp;vid=01CRU&amp;lang=en_US&amp;offset=0&amp;query=any,contains,991001301279702656","Catalog Record")</f>
        <v/>
      </c>
      <c r="AV193">
        <f>HYPERLINK("http://www.worldcat.org/oclc/24068929","WorldCat Record")</f>
        <v/>
      </c>
      <c r="AW193" t="inlineStr">
        <is>
          <t>1068850:eng</t>
        </is>
      </c>
      <c r="AX193" t="inlineStr">
        <is>
          <t>24068929</t>
        </is>
      </c>
      <c r="AY193" t="inlineStr">
        <is>
          <t>991001301279702656</t>
        </is>
      </c>
      <c r="AZ193" t="inlineStr">
        <is>
          <t>991001301279702656</t>
        </is>
      </c>
      <c r="BA193" t="inlineStr">
        <is>
          <t>2261664110002656</t>
        </is>
      </c>
      <c r="BB193" t="inlineStr">
        <is>
          <t>BOOK</t>
        </is>
      </c>
      <c r="BD193" t="inlineStr">
        <is>
          <t>9780812114737</t>
        </is>
      </c>
      <c r="BE193" t="inlineStr">
        <is>
          <t>30001002411876</t>
        </is>
      </c>
      <c r="BF193" t="inlineStr">
        <is>
          <t>893834633</t>
        </is>
      </c>
    </row>
    <row r="194">
      <c r="B194" t="inlineStr">
        <is>
          <t>CUHSL</t>
        </is>
      </c>
      <c r="C194" t="inlineStr">
        <is>
          <t>SHELVES</t>
        </is>
      </c>
      <c r="D194" t="inlineStr">
        <is>
          <t>QV 39 D575h 1996</t>
        </is>
      </c>
      <c r="E194" t="inlineStr">
        <is>
          <t>0                      QV 0039000D  575h        1996</t>
        </is>
      </c>
      <c r="F194" t="inlineStr">
        <is>
          <t>Handbook of commonly prescribed drugs / G. John DiGregorio, Edward J. Barbieri.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Yes</t>
        </is>
      </c>
      <c r="L194" t="inlineStr">
        <is>
          <t>0</t>
        </is>
      </c>
      <c r="M194" t="inlineStr">
        <is>
          <t>DiGregorio, G. John.</t>
        </is>
      </c>
      <c r="N194" t="inlineStr">
        <is>
          <t>West Chester, PA : Medical Surveillance Inc., 1996.</t>
        </is>
      </c>
      <c r="O194" t="inlineStr">
        <is>
          <t>1996</t>
        </is>
      </c>
      <c r="P194" t="inlineStr">
        <is>
          <t>11th ed.</t>
        </is>
      </c>
      <c r="Q194" t="inlineStr">
        <is>
          <t>eng</t>
        </is>
      </c>
      <c r="R194" t="inlineStr">
        <is>
          <t>pau</t>
        </is>
      </c>
      <c r="T194" t="inlineStr">
        <is>
          <t xml:space="preserve">QV </t>
        </is>
      </c>
      <c r="U194" t="n">
        <v>3</v>
      </c>
      <c r="V194" t="n">
        <v>3</v>
      </c>
      <c r="W194" t="inlineStr">
        <is>
          <t>2005-12-01</t>
        </is>
      </c>
      <c r="X194" t="inlineStr">
        <is>
          <t>2005-12-01</t>
        </is>
      </c>
      <c r="Y194" t="inlineStr">
        <is>
          <t>1998-08-04</t>
        </is>
      </c>
      <c r="Z194" t="inlineStr">
        <is>
          <t>1998-08-04</t>
        </is>
      </c>
      <c r="AA194" t="n">
        <v>27</v>
      </c>
      <c r="AB194" t="n">
        <v>25</v>
      </c>
      <c r="AC194" t="n">
        <v>158</v>
      </c>
      <c r="AD194" t="n">
        <v>1</v>
      </c>
      <c r="AE194" t="n">
        <v>1</v>
      </c>
      <c r="AF194" t="n">
        <v>0</v>
      </c>
      <c r="AG194" t="n">
        <v>2</v>
      </c>
      <c r="AH194" t="n">
        <v>0</v>
      </c>
      <c r="AI194" t="n">
        <v>2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HYPERLINK("http://catalog.hathitrust.org/Record/003082615","HathiTrust Record")</f>
        <v/>
      </c>
      <c r="AU194">
        <f>HYPERLINK("https://creighton-primo.hosted.exlibrisgroup.com/primo-explore/search?tab=default_tab&amp;search_scope=EVERYTHING&amp;vid=01CRU&amp;lang=en_US&amp;offset=0&amp;query=any,contains,991001047479702656","Catalog Record")</f>
        <v/>
      </c>
      <c r="AV194">
        <f>HYPERLINK("http://www.worldcat.org/oclc/35112777","WorldCat Record")</f>
        <v/>
      </c>
      <c r="AW194" t="inlineStr">
        <is>
          <t>659199:eng</t>
        </is>
      </c>
      <c r="AX194" t="inlineStr">
        <is>
          <t>35112777</t>
        </is>
      </c>
      <c r="AY194" t="inlineStr">
        <is>
          <t>991001047479702656</t>
        </is>
      </c>
      <c r="AZ194" t="inlineStr">
        <is>
          <t>991001047479702656</t>
        </is>
      </c>
      <c r="BA194" t="inlineStr">
        <is>
          <t>2270996800002656</t>
        </is>
      </c>
      <c r="BB194" t="inlineStr">
        <is>
          <t>BOOK</t>
        </is>
      </c>
      <c r="BD194" t="inlineStr">
        <is>
          <t>9780942447217</t>
        </is>
      </c>
      <c r="BE194" t="inlineStr">
        <is>
          <t>30001003585041</t>
        </is>
      </c>
      <c r="BF194" t="inlineStr">
        <is>
          <t>893168013</t>
        </is>
      </c>
    </row>
    <row r="195">
      <c r="B195" t="inlineStr">
        <is>
          <t>CUHSL</t>
        </is>
      </c>
      <c r="C195" t="inlineStr">
        <is>
          <t>SHELVES</t>
        </is>
      </c>
      <c r="D195" t="inlineStr">
        <is>
          <t>QV 39 D771h 1987</t>
        </is>
      </c>
      <c r="E195" t="inlineStr">
        <is>
          <t>0                      QV 0039000D  771h        1987</t>
        </is>
      </c>
      <c r="F195" t="inlineStr">
        <is>
          <t>Handbook of poisoning : prevention, diagnosis &amp; treatment / Robert H. Dreisbach, William O. Robertson.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Yes</t>
        </is>
      </c>
      <c r="L195" t="inlineStr">
        <is>
          <t>0</t>
        </is>
      </c>
      <c r="M195" t="inlineStr">
        <is>
          <t>Dreisbach, Robert H. (Robert Hastings), 1916-</t>
        </is>
      </c>
      <c r="N195" t="inlineStr">
        <is>
          <t>Norwalk, Conn. : Appleton &amp; Lange, c1987.</t>
        </is>
      </c>
      <c r="O195" t="inlineStr">
        <is>
          <t>1987</t>
        </is>
      </c>
      <c r="P195" t="inlineStr">
        <is>
          <t>12th ed.</t>
        </is>
      </c>
      <c r="Q195" t="inlineStr">
        <is>
          <t>eng</t>
        </is>
      </c>
      <c r="R195" t="inlineStr">
        <is>
          <t>ctu</t>
        </is>
      </c>
      <c r="S195" t="inlineStr">
        <is>
          <t>A Concise medical library for practitioner and student.</t>
        </is>
      </c>
      <c r="T195" t="inlineStr">
        <is>
          <t xml:space="preserve">QV </t>
        </is>
      </c>
      <c r="U195" t="n">
        <v>32</v>
      </c>
      <c r="V195" t="n">
        <v>32</v>
      </c>
      <c r="W195" t="inlineStr">
        <is>
          <t>1996-10-20</t>
        </is>
      </c>
      <c r="X195" t="inlineStr">
        <is>
          <t>1996-10-20</t>
        </is>
      </c>
      <c r="Y195" t="inlineStr">
        <is>
          <t>1987-08-21</t>
        </is>
      </c>
      <c r="Z195" t="inlineStr">
        <is>
          <t>1987-08-21</t>
        </is>
      </c>
      <c r="AA195" t="n">
        <v>667</v>
      </c>
      <c r="AB195" t="n">
        <v>538</v>
      </c>
      <c r="AC195" t="n">
        <v>1136</v>
      </c>
      <c r="AD195" t="n">
        <v>2</v>
      </c>
      <c r="AE195" t="n">
        <v>7</v>
      </c>
      <c r="AF195" t="n">
        <v>3</v>
      </c>
      <c r="AG195" t="n">
        <v>15</v>
      </c>
      <c r="AH195" t="n">
        <v>1</v>
      </c>
      <c r="AI195" t="n">
        <v>5</v>
      </c>
      <c r="AJ195" t="n">
        <v>1</v>
      </c>
      <c r="AK195" t="n">
        <v>4</v>
      </c>
      <c r="AL195" t="n">
        <v>2</v>
      </c>
      <c r="AM195" t="n">
        <v>7</v>
      </c>
      <c r="AN195" t="n">
        <v>0</v>
      </c>
      <c r="AO195" t="n">
        <v>3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HYPERLINK("http://catalog.hathitrust.org/Record/000825676","HathiTrust Record")</f>
        <v/>
      </c>
      <c r="AU195">
        <f>HYPERLINK("https://creighton-primo.hosted.exlibrisgroup.com/primo-explore/search?tab=default_tab&amp;search_scope=EVERYTHING&amp;vid=01CRU&amp;lang=en_US&amp;offset=0&amp;query=any,contains,991000587099702656","Catalog Record")</f>
        <v/>
      </c>
      <c r="AV195">
        <f>HYPERLINK("http://www.worldcat.org/oclc/16709934","WorldCat Record")</f>
        <v/>
      </c>
      <c r="AW195" t="inlineStr">
        <is>
          <t>515285:eng</t>
        </is>
      </c>
      <c r="AX195" t="inlineStr">
        <is>
          <t>16709934</t>
        </is>
      </c>
      <c r="AY195" t="inlineStr">
        <is>
          <t>991000587099702656</t>
        </is>
      </c>
      <c r="AZ195" t="inlineStr">
        <is>
          <t>991000587099702656</t>
        </is>
      </c>
      <c r="BA195" t="inlineStr">
        <is>
          <t>2271629260002656</t>
        </is>
      </c>
      <c r="BB195" t="inlineStr">
        <is>
          <t>BOOK</t>
        </is>
      </c>
      <c r="BD195" t="inlineStr">
        <is>
          <t>9780838536438</t>
        </is>
      </c>
      <c r="BE195" t="inlineStr">
        <is>
          <t>30001000353823</t>
        </is>
      </c>
      <c r="BF195" t="inlineStr">
        <is>
          <t>893550498</t>
        </is>
      </c>
    </row>
    <row r="196">
      <c r="B196" t="inlineStr">
        <is>
          <t>CUHSL</t>
        </is>
      </c>
      <c r="C196" t="inlineStr">
        <is>
          <t>SHELVES</t>
        </is>
      </c>
      <c r="D196" t="inlineStr">
        <is>
          <t>QV39 D781 2003</t>
        </is>
      </c>
      <c r="E196" t="inlineStr">
        <is>
          <t>0                      QV 0039000D  781         2003</t>
        </is>
      </c>
      <c r="F196" t="inlineStr">
        <is>
          <t>Drug information handbook for the allied health professional with indication/therapeutic category index / Leonard L. Lance, senior editor ; Charles F. Lacy, editor.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N196" t="inlineStr">
        <is>
          <t>Hudson, OH : Lexi-Comp, Inc. ; [Washington, D.C.] : American Pharmaceutical Association, c2003.</t>
        </is>
      </c>
      <c r="O196" t="inlineStr">
        <is>
          <t>2003</t>
        </is>
      </c>
      <c r="P196" t="inlineStr">
        <is>
          <t>10th ed.</t>
        </is>
      </c>
      <c r="Q196" t="inlineStr">
        <is>
          <t>eng</t>
        </is>
      </c>
      <c r="R196" t="inlineStr">
        <is>
          <t>ohu</t>
        </is>
      </c>
      <c r="S196" t="inlineStr">
        <is>
          <t>Drug information series (Lexi-Comp, Inc.)</t>
        </is>
      </c>
      <c r="T196" t="inlineStr">
        <is>
          <t xml:space="preserve">QV </t>
        </is>
      </c>
      <c r="U196" t="n">
        <v>1</v>
      </c>
      <c r="V196" t="n">
        <v>1</v>
      </c>
      <c r="W196" t="inlineStr">
        <is>
          <t>2007-12-04</t>
        </is>
      </c>
      <c r="X196" t="inlineStr">
        <is>
          <t>2007-12-04</t>
        </is>
      </c>
      <c r="Y196" t="inlineStr">
        <is>
          <t>2004-04-02</t>
        </is>
      </c>
      <c r="Z196" t="inlineStr">
        <is>
          <t>2004-04-02</t>
        </is>
      </c>
      <c r="AA196" t="n">
        <v>15</v>
      </c>
      <c r="AB196" t="n">
        <v>13</v>
      </c>
      <c r="AC196" t="n">
        <v>56</v>
      </c>
      <c r="AD196" t="n">
        <v>1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HYPERLINK("http://catalog.hathitrust.org/Record/004321156","HathiTrust Record")</f>
        <v/>
      </c>
      <c r="AU196">
        <f>HYPERLINK("https://creighton-primo.hosted.exlibrisgroup.com/primo-explore/search?tab=default_tab&amp;search_scope=EVERYTHING&amp;vid=01CRU&amp;lang=en_US&amp;offset=0&amp;query=any,contains,991000369619702656","Catalog Record")</f>
        <v/>
      </c>
      <c r="AV196">
        <f>HYPERLINK("http://www.worldcat.org/oclc/52256509","WorldCat Record")</f>
        <v/>
      </c>
      <c r="AW196" t="inlineStr">
        <is>
          <t>3858172551:eng</t>
        </is>
      </c>
      <c r="AX196" t="inlineStr">
        <is>
          <t>52256509</t>
        </is>
      </c>
      <c r="AY196" t="inlineStr">
        <is>
          <t>991000369619702656</t>
        </is>
      </c>
      <c r="AZ196" t="inlineStr">
        <is>
          <t>991000369619702656</t>
        </is>
      </c>
      <c r="BA196" t="inlineStr">
        <is>
          <t>2262306620002656</t>
        </is>
      </c>
      <c r="BB196" t="inlineStr">
        <is>
          <t>BOOK</t>
        </is>
      </c>
      <c r="BD196" t="inlineStr">
        <is>
          <t>9781591950516</t>
        </is>
      </c>
      <c r="BE196" t="inlineStr">
        <is>
          <t>30001004507069</t>
        </is>
      </c>
      <c r="BF196" t="inlineStr">
        <is>
          <t>893461436</t>
        </is>
      </c>
    </row>
    <row r="197">
      <c r="B197" t="inlineStr">
        <is>
          <t>CUHSL</t>
        </is>
      </c>
      <c r="C197" t="inlineStr">
        <is>
          <t>SHELVES</t>
        </is>
      </c>
      <c r="D197" t="inlineStr">
        <is>
          <t>QV 39 D79365 1992</t>
        </is>
      </c>
      <c r="E197" t="inlineStr">
        <is>
          <t>0                      QV 0039000D  79365       1992</t>
        </is>
      </c>
      <c r="F197" t="inlineStr">
        <is>
          <t>Drug handbook : a nursing process approach / R. Alfaro-LeFevre ... [et al.].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N197" t="inlineStr">
        <is>
          <t>Redwood City, Calif. : Addison-Wesley Nursing, c1992.</t>
        </is>
      </c>
      <c r="O197" t="inlineStr">
        <is>
          <t>1992</t>
        </is>
      </c>
      <c r="Q197" t="inlineStr">
        <is>
          <t>eng</t>
        </is>
      </c>
      <c r="R197" t="inlineStr">
        <is>
          <t>xxu</t>
        </is>
      </c>
      <c r="T197" t="inlineStr">
        <is>
          <t xml:space="preserve">QV </t>
        </is>
      </c>
      <c r="U197" t="n">
        <v>20</v>
      </c>
      <c r="V197" t="n">
        <v>20</v>
      </c>
      <c r="W197" t="inlineStr">
        <is>
          <t>2005-12-01</t>
        </is>
      </c>
      <c r="X197" t="inlineStr">
        <is>
          <t>2005-12-01</t>
        </is>
      </c>
      <c r="Y197" t="inlineStr">
        <is>
          <t>1992-04-23</t>
        </is>
      </c>
      <c r="Z197" t="inlineStr">
        <is>
          <t>1992-04-23</t>
        </is>
      </c>
      <c r="AA197" t="n">
        <v>129</v>
      </c>
      <c r="AB197" t="n">
        <v>93</v>
      </c>
      <c r="AC197" t="n">
        <v>96</v>
      </c>
      <c r="AD197" t="n">
        <v>2</v>
      </c>
      <c r="AE197" t="n">
        <v>2</v>
      </c>
      <c r="AF197" t="n">
        <v>1</v>
      </c>
      <c r="AG197" t="n">
        <v>1</v>
      </c>
      <c r="AH197" t="n">
        <v>0</v>
      </c>
      <c r="AI197" t="n">
        <v>0</v>
      </c>
      <c r="AJ197" t="n">
        <v>1</v>
      </c>
      <c r="AK197" t="n">
        <v>1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HYPERLINK("http://catalog.hathitrust.org/Record/002536480","HathiTrust Record")</f>
        <v/>
      </c>
      <c r="AU197">
        <f>HYPERLINK("https://creighton-primo.hosted.exlibrisgroup.com/primo-explore/search?tab=default_tab&amp;search_scope=EVERYTHING&amp;vid=01CRU&amp;lang=en_US&amp;offset=0&amp;query=any,contains,991001302849702656","Catalog Record")</f>
        <v/>
      </c>
      <c r="AV197">
        <f>HYPERLINK("http://www.worldcat.org/oclc/24504209","WorldCat Record")</f>
        <v/>
      </c>
      <c r="AW197" t="inlineStr">
        <is>
          <t>26086756:eng</t>
        </is>
      </c>
      <c r="AX197" t="inlineStr">
        <is>
          <t>24504209</t>
        </is>
      </c>
      <c r="AY197" t="inlineStr">
        <is>
          <t>991001302849702656</t>
        </is>
      </c>
      <c r="AZ197" t="inlineStr">
        <is>
          <t>991001302849702656</t>
        </is>
      </c>
      <c r="BA197" t="inlineStr">
        <is>
          <t>2265449560002656</t>
        </is>
      </c>
      <c r="BB197" t="inlineStr">
        <is>
          <t>BOOK</t>
        </is>
      </c>
      <c r="BD197" t="inlineStr">
        <is>
          <t>9780201092783</t>
        </is>
      </c>
      <c r="BE197" t="inlineStr">
        <is>
          <t>30001002412510</t>
        </is>
      </c>
      <c r="BF197" t="inlineStr">
        <is>
          <t>893451064</t>
        </is>
      </c>
    </row>
    <row r="198">
      <c r="B198" t="inlineStr">
        <is>
          <t>CUHSL</t>
        </is>
      </c>
      <c r="C198" t="inlineStr">
        <is>
          <t>SHELVES</t>
        </is>
      </c>
      <c r="D198" t="inlineStr">
        <is>
          <t>QV 39 D7942 1996</t>
        </is>
      </c>
      <c r="E198" t="inlineStr">
        <is>
          <t>0                      QV 0039000D  7942        1996</t>
        </is>
      </c>
      <c r="F198" t="inlineStr">
        <is>
          <t>Drug information : a guide for pharmacists / Patrick M. Malone ... [et al.] ; with a foreword by William G. Troutman.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Yes</t>
        </is>
      </c>
      <c r="L198" t="inlineStr">
        <is>
          <t>3</t>
        </is>
      </c>
      <c r="N198" t="inlineStr">
        <is>
          <t>Stamford, CT : Appleton &amp; Lange, c1996.</t>
        </is>
      </c>
      <c r="O198" t="inlineStr">
        <is>
          <t>1996</t>
        </is>
      </c>
      <c r="Q198" t="inlineStr">
        <is>
          <t>eng</t>
        </is>
      </c>
      <c r="R198" t="inlineStr">
        <is>
          <t>ctu</t>
        </is>
      </c>
      <c r="T198" t="inlineStr">
        <is>
          <t xml:space="preserve">QV </t>
        </is>
      </c>
      <c r="U198" t="n">
        <v>95</v>
      </c>
      <c r="V198" t="n">
        <v>95</v>
      </c>
      <c r="W198" t="inlineStr">
        <is>
          <t>2003-01-29</t>
        </is>
      </c>
      <c r="X198" t="inlineStr">
        <is>
          <t>2003-01-29</t>
        </is>
      </c>
      <c r="Y198" t="inlineStr">
        <is>
          <t>1996-08-30</t>
        </is>
      </c>
      <c r="Z198" t="inlineStr">
        <is>
          <t>1996-08-30</t>
        </is>
      </c>
      <c r="AA198" t="n">
        <v>80</v>
      </c>
      <c r="AB198" t="n">
        <v>56</v>
      </c>
      <c r="AC198" t="n">
        <v>248</v>
      </c>
      <c r="AD198" t="n">
        <v>1</v>
      </c>
      <c r="AE198" t="n">
        <v>4</v>
      </c>
      <c r="AF198" t="n">
        <v>3</v>
      </c>
      <c r="AG198" t="n">
        <v>11</v>
      </c>
      <c r="AH198" t="n">
        <v>1</v>
      </c>
      <c r="AI198" t="n">
        <v>6</v>
      </c>
      <c r="AJ198" t="n">
        <v>2</v>
      </c>
      <c r="AK198" t="n">
        <v>3</v>
      </c>
      <c r="AL198" t="n">
        <v>0</v>
      </c>
      <c r="AM198" t="n">
        <v>2</v>
      </c>
      <c r="AN198" t="n">
        <v>0</v>
      </c>
      <c r="AO198" t="n">
        <v>2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HYPERLINK("http://catalog.hathitrust.org/Record/003066062","HathiTrust Record")</f>
        <v/>
      </c>
      <c r="AU198">
        <f>HYPERLINK("https://creighton-primo.hosted.exlibrisgroup.com/primo-explore/search?tab=default_tab&amp;search_scope=EVERYTHING&amp;vid=01CRU&amp;lang=en_US&amp;offset=0&amp;query=any,contains,991000835219702656","Catalog Record")</f>
        <v/>
      </c>
      <c r="AV198">
        <f>HYPERLINK("http://www.worldcat.org/oclc/34903263","WorldCat Record")</f>
        <v/>
      </c>
      <c r="AW198" t="inlineStr">
        <is>
          <t>4927343165:eng</t>
        </is>
      </c>
      <c r="AX198" t="inlineStr">
        <is>
          <t>34903263</t>
        </is>
      </c>
      <c r="AY198" t="inlineStr">
        <is>
          <t>991000835219702656</t>
        </is>
      </c>
      <c r="AZ198" t="inlineStr">
        <is>
          <t>991000835219702656</t>
        </is>
      </c>
      <c r="BA198" t="inlineStr">
        <is>
          <t>2259864490002656</t>
        </is>
      </c>
      <c r="BB198" t="inlineStr">
        <is>
          <t>BOOK</t>
        </is>
      </c>
      <c r="BD198" t="inlineStr">
        <is>
          <t>9780838580653</t>
        </is>
      </c>
      <c r="BE198" t="inlineStr">
        <is>
          <t>30001003441526</t>
        </is>
      </c>
      <c r="BF198" t="inlineStr">
        <is>
          <t>893161313</t>
        </is>
      </c>
    </row>
    <row r="199">
      <c r="B199" t="inlineStr">
        <is>
          <t>CUHSL</t>
        </is>
      </c>
      <c r="C199" t="inlineStr">
        <is>
          <t>SHELVES</t>
        </is>
      </c>
      <c r="D199" t="inlineStr">
        <is>
          <t>QV 39 E53 1998</t>
        </is>
      </c>
      <c r="E199" t="inlineStr">
        <is>
          <t>0                      QV 0039000E  53          1998</t>
        </is>
      </c>
      <c r="F199" t="inlineStr">
        <is>
          <t>Emergency toxicology / edited by Peter Viccellio ; [section editors], Tod Bania ... [et al.].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N199" t="inlineStr">
        <is>
          <t>Philadelphia : Lippincott-Raven, c1998.</t>
        </is>
      </c>
      <c r="O199" t="inlineStr">
        <is>
          <t>1998</t>
        </is>
      </c>
      <c r="P199" t="inlineStr">
        <is>
          <t>2nd ed.</t>
        </is>
      </c>
      <c r="Q199" t="inlineStr">
        <is>
          <t>eng</t>
        </is>
      </c>
      <c r="R199" t="inlineStr">
        <is>
          <t>pau</t>
        </is>
      </c>
      <c r="T199" t="inlineStr">
        <is>
          <t xml:space="preserve">QV </t>
        </is>
      </c>
      <c r="U199" t="n">
        <v>16</v>
      </c>
      <c r="V199" t="n">
        <v>16</v>
      </c>
      <c r="W199" t="inlineStr">
        <is>
          <t>2001-07-31</t>
        </is>
      </c>
      <c r="X199" t="inlineStr">
        <is>
          <t>2001-07-31</t>
        </is>
      </c>
      <c r="Y199" t="inlineStr">
        <is>
          <t>1998-12-18</t>
        </is>
      </c>
      <c r="Z199" t="inlineStr">
        <is>
          <t>1998-12-18</t>
        </is>
      </c>
      <c r="AA199" t="n">
        <v>229</v>
      </c>
      <c r="AB199" t="n">
        <v>177</v>
      </c>
      <c r="AC199" t="n">
        <v>184</v>
      </c>
      <c r="AD199" t="n">
        <v>2</v>
      </c>
      <c r="AE199" t="n">
        <v>2</v>
      </c>
      <c r="AF199" t="n">
        <v>4</v>
      </c>
      <c r="AG199" t="n">
        <v>4</v>
      </c>
      <c r="AH199" t="n">
        <v>1</v>
      </c>
      <c r="AI199" t="n">
        <v>1</v>
      </c>
      <c r="AJ199" t="n">
        <v>1</v>
      </c>
      <c r="AK199" t="n">
        <v>1</v>
      </c>
      <c r="AL199" t="n">
        <v>1</v>
      </c>
      <c r="AM199" t="n">
        <v>1</v>
      </c>
      <c r="AN199" t="n">
        <v>1</v>
      </c>
      <c r="AO199" t="n">
        <v>1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HYPERLINK("http://catalog.hathitrust.org/Record/003984876","HathiTrust Record")</f>
        <v/>
      </c>
      <c r="AU199">
        <f>HYPERLINK("https://creighton-primo.hosted.exlibrisgroup.com/primo-explore/search?tab=default_tab&amp;search_scope=EVERYTHING&amp;vid=01CRU&amp;lang=en_US&amp;offset=0&amp;query=any,contains,991001562689702656","Catalog Record")</f>
        <v/>
      </c>
      <c r="AV199">
        <f>HYPERLINK("http://www.worldcat.org/oclc/38562329","WorldCat Record")</f>
        <v/>
      </c>
      <c r="AW199" t="inlineStr">
        <is>
          <t>56263384:eng</t>
        </is>
      </c>
      <c r="AX199" t="inlineStr">
        <is>
          <t>38562329</t>
        </is>
      </c>
      <c r="AY199" t="inlineStr">
        <is>
          <t>991001562689702656</t>
        </is>
      </c>
      <c r="AZ199" t="inlineStr">
        <is>
          <t>991001562689702656</t>
        </is>
      </c>
      <c r="BA199" t="inlineStr">
        <is>
          <t>2265760860002656</t>
        </is>
      </c>
      <c r="BB199" t="inlineStr">
        <is>
          <t>BOOK</t>
        </is>
      </c>
      <c r="BD199" t="inlineStr">
        <is>
          <t>9780316902373</t>
        </is>
      </c>
      <c r="BE199" t="inlineStr">
        <is>
          <t>30001004037638</t>
        </is>
      </c>
      <c r="BF199" t="inlineStr">
        <is>
          <t>893541513</t>
        </is>
      </c>
    </row>
    <row r="200">
      <c r="B200" t="inlineStr">
        <is>
          <t>CUHSL</t>
        </is>
      </c>
      <c r="C200" t="inlineStr">
        <is>
          <t>SHELVES</t>
        </is>
      </c>
      <c r="D200" t="inlineStr">
        <is>
          <t>QV 39 F198 1991</t>
        </is>
      </c>
      <c r="E200" t="inlineStr">
        <is>
          <t>0                      QV 0039000F  198         1991</t>
        </is>
      </c>
      <c r="F200" t="inlineStr">
        <is>
          <t>The Family practice drug handbook / Allan J. Ellsworth ... [et al.].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N200" t="inlineStr">
        <is>
          <t>St. Louis : Mosby-Year Book, c1991.</t>
        </is>
      </c>
      <c r="O200" t="inlineStr">
        <is>
          <t>1991</t>
        </is>
      </c>
      <c r="Q200" t="inlineStr">
        <is>
          <t>eng</t>
        </is>
      </c>
      <c r="R200" t="inlineStr">
        <is>
          <t>xxu</t>
        </is>
      </c>
      <c r="T200" t="inlineStr">
        <is>
          <t xml:space="preserve">QV </t>
        </is>
      </c>
      <c r="U200" t="n">
        <v>4</v>
      </c>
      <c r="V200" t="n">
        <v>4</v>
      </c>
      <c r="W200" t="inlineStr">
        <is>
          <t>1998-01-06</t>
        </is>
      </c>
      <c r="X200" t="inlineStr">
        <is>
          <t>1998-01-06</t>
        </is>
      </c>
      <c r="Y200" t="inlineStr">
        <is>
          <t>1992-04-29</t>
        </is>
      </c>
      <c r="Z200" t="inlineStr">
        <is>
          <t>1992-04-29</t>
        </is>
      </c>
      <c r="AA200" t="n">
        <v>40</v>
      </c>
      <c r="AB200" t="n">
        <v>32</v>
      </c>
      <c r="AC200" t="n">
        <v>32</v>
      </c>
      <c r="AD200" t="n">
        <v>1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t="n">
        <v>0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HYPERLINK("https://creighton-primo.hosted.exlibrisgroup.com/primo-explore/search?tab=default_tab&amp;search_scope=EVERYTHING&amp;vid=01CRU&amp;lang=en_US&amp;offset=0&amp;query=any,contains,991001303949702656","Catalog Record")</f>
        <v/>
      </c>
      <c r="AV200">
        <f>HYPERLINK("http://www.worldcat.org/oclc/22381554","WorldCat Record")</f>
        <v/>
      </c>
      <c r="AW200" t="inlineStr">
        <is>
          <t>20954259:eng</t>
        </is>
      </c>
      <c r="AX200" t="inlineStr">
        <is>
          <t>22381554</t>
        </is>
      </c>
      <c r="AY200" t="inlineStr">
        <is>
          <t>991001303949702656</t>
        </is>
      </c>
      <c r="AZ200" t="inlineStr">
        <is>
          <t>991001303949702656</t>
        </is>
      </c>
      <c r="BA200" t="inlineStr">
        <is>
          <t>2258474500002656</t>
        </is>
      </c>
      <c r="BB200" t="inlineStr">
        <is>
          <t>BOOK</t>
        </is>
      </c>
      <c r="BD200" t="inlineStr">
        <is>
          <t>9780815131540</t>
        </is>
      </c>
      <c r="BE200" t="inlineStr">
        <is>
          <t>30001002412908</t>
        </is>
      </c>
      <c r="BF200" t="inlineStr">
        <is>
          <t>893546562</t>
        </is>
      </c>
    </row>
    <row r="201">
      <c r="B201" t="inlineStr">
        <is>
          <t>CUHSL</t>
        </is>
      </c>
      <c r="C201" t="inlineStr">
        <is>
          <t>SHELVES</t>
        </is>
      </c>
      <c r="D201" t="inlineStr">
        <is>
          <t>QV 39 H2358 1988</t>
        </is>
      </c>
      <c r="E201" t="inlineStr">
        <is>
          <t>0                      QV 0039000H  2358        1988</t>
        </is>
      </c>
      <c r="F201" t="inlineStr">
        <is>
          <t>Handbook of clinical drug data.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Yes</t>
        </is>
      </c>
      <c r="L201" t="inlineStr">
        <is>
          <t>0</t>
        </is>
      </c>
      <c r="N201" t="inlineStr">
        <is>
          <t>Hamilton, Ill. : Drug Intelligence Publications, c1988.</t>
        </is>
      </c>
      <c r="O201" t="inlineStr">
        <is>
          <t>1988</t>
        </is>
      </c>
      <c r="P201" t="inlineStr">
        <is>
          <t>6th ed. / editors, James E. Knoben, Philip O. Anderson ; assistant editors, Larry J. Davis, William G. Troutman.</t>
        </is>
      </c>
      <c r="Q201" t="inlineStr">
        <is>
          <t>eng</t>
        </is>
      </c>
      <c r="R201" t="inlineStr">
        <is>
          <t>xxu</t>
        </is>
      </c>
      <c r="T201" t="inlineStr">
        <is>
          <t xml:space="preserve">QV </t>
        </is>
      </c>
      <c r="U201" t="n">
        <v>64</v>
      </c>
      <c r="V201" t="n">
        <v>64</v>
      </c>
      <c r="W201" t="inlineStr">
        <is>
          <t>1992-09-17</t>
        </is>
      </c>
      <c r="X201" t="inlineStr">
        <is>
          <t>1992-09-17</t>
        </is>
      </c>
      <c r="Y201" t="inlineStr">
        <is>
          <t>1988-07-06</t>
        </is>
      </c>
      <c r="Z201" t="inlineStr">
        <is>
          <t>1988-07-06</t>
        </is>
      </c>
      <c r="AA201" t="n">
        <v>106</v>
      </c>
      <c r="AB201" t="n">
        <v>78</v>
      </c>
      <c r="AC201" t="n">
        <v>314</v>
      </c>
      <c r="AD201" t="n">
        <v>1</v>
      </c>
      <c r="AE201" t="n">
        <v>2</v>
      </c>
      <c r="AF201" t="n">
        <v>0</v>
      </c>
      <c r="AG201" t="n">
        <v>6</v>
      </c>
      <c r="AH201" t="n">
        <v>0</v>
      </c>
      <c r="AI201" t="n">
        <v>4</v>
      </c>
      <c r="AJ201" t="n">
        <v>0</v>
      </c>
      <c r="AK201" t="n">
        <v>1</v>
      </c>
      <c r="AL201" t="n">
        <v>0</v>
      </c>
      <c r="AM201" t="n">
        <v>2</v>
      </c>
      <c r="AN201" t="n">
        <v>0</v>
      </c>
      <c r="AO201" t="n">
        <v>1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HYPERLINK("http://catalog.hathitrust.org/Record/000925102","HathiTrust Record")</f>
        <v/>
      </c>
      <c r="AU201">
        <f>HYPERLINK("https://creighton-primo.hosted.exlibrisgroup.com/primo-explore/search?tab=default_tab&amp;search_scope=EVERYTHING&amp;vid=01CRU&amp;lang=en_US&amp;offset=0&amp;query=any,contains,991001416529702656","Catalog Record")</f>
        <v/>
      </c>
      <c r="AV201">
        <f>HYPERLINK("http://www.worldcat.org/oclc/17805418","WorldCat Record")</f>
        <v/>
      </c>
      <c r="AW201" t="inlineStr">
        <is>
          <t>864076723:eng</t>
        </is>
      </c>
      <c r="AX201" t="inlineStr">
        <is>
          <t>17805418</t>
        </is>
      </c>
      <c r="AY201" t="inlineStr">
        <is>
          <t>991001416529702656</t>
        </is>
      </c>
      <c r="AZ201" t="inlineStr">
        <is>
          <t>991001416529702656</t>
        </is>
      </c>
      <c r="BA201" t="inlineStr">
        <is>
          <t>2263041020002656</t>
        </is>
      </c>
      <c r="BB201" t="inlineStr">
        <is>
          <t>BOOK</t>
        </is>
      </c>
      <c r="BD201" t="inlineStr">
        <is>
          <t>9780914768463</t>
        </is>
      </c>
      <c r="BE201" t="inlineStr">
        <is>
          <t>30001001180811</t>
        </is>
      </c>
      <c r="BF201" t="inlineStr">
        <is>
          <t>893731987</t>
        </is>
      </c>
    </row>
    <row r="202">
      <c r="B202" t="inlineStr">
        <is>
          <t>CUHSL</t>
        </is>
      </c>
      <c r="C202" t="inlineStr">
        <is>
          <t>SHELVES</t>
        </is>
      </c>
      <c r="D202" t="inlineStr">
        <is>
          <t>QV 39 H2358 1993</t>
        </is>
      </c>
      <c r="E202" t="inlineStr">
        <is>
          <t>0                      QV 0039000H  2358        1993</t>
        </is>
      </c>
      <c r="F202" t="inlineStr">
        <is>
          <t>Handbook of clinical drug data / editors, James E. Knoben, Philip O. Anderson ; associate editor, William G. Troutman : assistant editor, Larry J. Davis.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Yes</t>
        </is>
      </c>
      <c r="L202" t="inlineStr">
        <is>
          <t>0</t>
        </is>
      </c>
      <c r="N202" t="inlineStr">
        <is>
          <t>Hamilton, Ill. : Drug Intelligence Publications, c1993..</t>
        </is>
      </c>
      <c r="O202" t="inlineStr">
        <is>
          <t>1993</t>
        </is>
      </c>
      <c r="P202" t="inlineStr">
        <is>
          <t>7th ed.</t>
        </is>
      </c>
      <c r="Q202" t="inlineStr">
        <is>
          <t>eng</t>
        </is>
      </c>
      <c r="R202" t="inlineStr">
        <is>
          <t>ilu</t>
        </is>
      </c>
      <c r="T202" t="inlineStr">
        <is>
          <t xml:space="preserve">QV </t>
        </is>
      </c>
      <c r="U202" t="n">
        <v>21</v>
      </c>
      <c r="V202" t="n">
        <v>21</v>
      </c>
      <c r="W202" t="inlineStr">
        <is>
          <t>1998-10-15</t>
        </is>
      </c>
      <c r="X202" t="inlineStr">
        <is>
          <t>1998-10-15</t>
        </is>
      </c>
      <c r="Y202" t="inlineStr">
        <is>
          <t>1993-01-21</t>
        </is>
      </c>
      <c r="Z202" t="inlineStr">
        <is>
          <t>1993-01-21</t>
        </is>
      </c>
      <c r="AA202" t="n">
        <v>79</v>
      </c>
      <c r="AB202" t="n">
        <v>64</v>
      </c>
      <c r="AC202" t="n">
        <v>314</v>
      </c>
      <c r="AD202" t="n">
        <v>1</v>
      </c>
      <c r="AE202" t="n">
        <v>2</v>
      </c>
      <c r="AF202" t="n">
        <v>1</v>
      </c>
      <c r="AG202" t="n">
        <v>6</v>
      </c>
      <c r="AH202" t="n">
        <v>1</v>
      </c>
      <c r="AI202" t="n">
        <v>4</v>
      </c>
      <c r="AJ202" t="n">
        <v>0</v>
      </c>
      <c r="AK202" t="n">
        <v>1</v>
      </c>
      <c r="AL202" t="n">
        <v>0</v>
      </c>
      <c r="AM202" t="n">
        <v>2</v>
      </c>
      <c r="AN202" t="n">
        <v>0</v>
      </c>
      <c r="AO202" t="n">
        <v>1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HYPERLINK("http://catalog.hathitrust.org/Record/002593537","HathiTrust Record")</f>
        <v/>
      </c>
      <c r="AU202">
        <f>HYPERLINK("https://creighton-primo.hosted.exlibrisgroup.com/primo-explore/search?tab=default_tab&amp;search_scope=EVERYTHING&amp;vid=01CRU&amp;lang=en_US&amp;offset=0&amp;query=any,contains,991001434779702656","Catalog Record")</f>
        <v/>
      </c>
      <c r="AV202">
        <f>HYPERLINK("http://www.worldcat.org/oclc/26396582","WorldCat Record")</f>
        <v/>
      </c>
      <c r="AW202" t="inlineStr">
        <is>
          <t>864076723:eng</t>
        </is>
      </c>
      <c r="AX202" t="inlineStr">
        <is>
          <t>26396582</t>
        </is>
      </c>
      <c r="AY202" t="inlineStr">
        <is>
          <t>991001434779702656</t>
        </is>
      </c>
      <c r="AZ202" t="inlineStr">
        <is>
          <t>991001434779702656</t>
        </is>
      </c>
      <c r="BA202" t="inlineStr">
        <is>
          <t>2256930550002656</t>
        </is>
      </c>
      <c r="BB202" t="inlineStr">
        <is>
          <t>BOOK</t>
        </is>
      </c>
      <c r="BD202" t="inlineStr">
        <is>
          <t>9780914768517</t>
        </is>
      </c>
      <c r="BE202" t="inlineStr">
        <is>
          <t>30001002530667</t>
        </is>
      </c>
      <c r="BF202" t="inlineStr">
        <is>
          <t>893149205</t>
        </is>
      </c>
    </row>
    <row r="203">
      <c r="B203" t="inlineStr">
        <is>
          <t>CUHSL</t>
        </is>
      </c>
      <c r="C203" t="inlineStr">
        <is>
          <t>SHELVES</t>
        </is>
      </c>
      <c r="D203" t="inlineStr">
        <is>
          <t>QV39 H23636 2004</t>
        </is>
      </c>
      <c r="E203" t="inlineStr">
        <is>
          <t>0                      QV 0039000H  23636       2004</t>
        </is>
      </c>
      <c r="F203" t="inlineStr">
        <is>
          <t>Handbook of drug-nutrient interactions / edited by Joseph I. Boullata, and Vincent T. Armenti ; foreword by Margaret Malone.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1</t>
        </is>
      </c>
      <c r="N203" t="inlineStr">
        <is>
          <t>Totowa, N.J. : Humana Press, c2004.</t>
        </is>
      </c>
      <c r="O203" t="inlineStr">
        <is>
          <t>2004</t>
        </is>
      </c>
      <c r="Q203" t="inlineStr">
        <is>
          <t>eng</t>
        </is>
      </c>
      <c r="R203" t="inlineStr">
        <is>
          <t>nju</t>
        </is>
      </c>
      <c r="S203" t="inlineStr">
        <is>
          <t>Nutrition and health</t>
        </is>
      </c>
      <c r="T203" t="inlineStr">
        <is>
          <t xml:space="preserve">QV </t>
        </is>
      </c>
      <c r="U203" t="n">
        <v>1</v>
      </c>
      <c r="V203" t="n">
        <v>1</v>
      </c>
      <c r="W203" t="inlineStr">
        <is>
          <t>2005-10-28</t>
        </is>
      </c>
      <c r="X203" t="inlineStr">
        <is>
          <t>2005-10-28</t>
        </is>
      </c>
      <c r="Y203" t="inlineStr">
        <is>
          <t>2005-10-28</t>
        </is>
      </c>
      <c r="Z203" t="inlineStr">
        <is>
          <t>2005-10-28</t>
        </is>
      </c>
      <c r="AA203" t="n">
        <v>222</v>
      </c>
      <c r="AB203" t="n">
        <v>153</v>
      </c>
      <c r="AC203" t="n">
        <v>518</v>
      </c>
      <c r="AD203" t="n">
        <v>2</v>
      </c>
      <c r="AE203" t="n">
        <v>3</v>
      </c>
      <c r="AF203" t="n">
        <v>6</v>
      </c>
      <c r="AG203" t="n">
        <v>17</v>
      </c>
      <c r="AH203" t="n">
        <v>2</v>
      </c>
      <c r="AI203" t="n">
        <v>9</v>
      </c>
      <c r="AJ203" t="n">
        <v>3</v>
      </c>
      <c r="AK203" t="n">
        <v>5</v>
      </c>
      <c r="AL203" t="n">
        <v>0</v>
      </c>
      <c r="AM203" t="n">
        <v>6</v>
      </c>
      <c r="AN203" t="n">
        <v>1</v>
      </c>
      <c r="AO203" t="n">
        <v>1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HYPERLINK("http://catalog.hathitrust.org/Record/004731892","HathiTrust Record")</f>
        <v/>
      </c>
      <c r="AU203">
        <f>HYPERLINK("https://creighton-primo.hosted.exlibrisgroup.com/primo-explore/search?tab=default_tab&amp;search_scope=EVERYTHING&amp;vid=01CRU&amp;lang=en_US&amp;offset=0&amp;query=any,contains,991000446459702656","Catalog Record")</f>
        <v/>
      </c>
      <c r="AV203">
        <f>HYPERLINK("http://www.worldcat.org/oclc/53091284","WorldCat Record")</f>
        <v/>
      </c>
      <c r="AW203" t="inlineStr">
        <is>
          <t>905820183:eng</t>
        </is>
      </c>
      <c r="AX203" t="inlineStr">
        <is>
          <t>53091284</t>
        </is>
      </c>
      <c r="AY203" t="inlineStr">
        <is>
          <t>991000446459702656</t>
        </is>
      </c>
      <c r="AZ203" t="inlineStr">
        <is>
          <t>991000446459702656</t>
        </is>
      </c>
      <c r="BA203" t="inlineStr">
        <is>
          <t>2257019770002656</t>
        </is>
      </c>
      <c r="BB203" t="inlineStr">
        <is>
          <t>BOOK</t>
        </is>
      </c>
      <c r="BD203" t="inlineStr">
        <is>
          <t>9781588292490</t>
        </is>
      </c>
      <c r="BE203" t="inlineStr">
        <is>
          <t>30001004913838</t>
        </is>
      </c>
      <c r="BF203" t="inlineStr">
        <is>
          <t>893354368</t>
        </is>
      </c>
    </row>
    <row r="204">
      <c r="B204" t="inlineStr">
        <is>
          <t>CUHSL</t>
        </is>
      </c>
      <c r="C204" t="inlineStr">
        <is>
          <t>SHELVES</t>
        </is>
      </c>
      <c r="D204" t="inlineStr">
        <is>
          <t>QV 39 H23642 1992</t>
        </is>
      </c>
      <c r="E204" t="inlineStr">
        <is>
          <t>0                      QV 0039000H  23642       1992</t>
        </is>
      </c>
      <c r="F204" t="inlineStr">
        <is>
          <t>Handbook of psychotropic drugs.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N204" t="inlineStr">
        <is>
          <t>Springhouse, Pa. : Springhouse Corporation, c1992.</t>
        </is>
      </c>
      <c r="O204" t="inlineStr">
        <is>
          <t>1992</t>
        </is>
      </c>
      <c r="Q204" t="inlineStr">
        <is>
          <t>eng</t>
        </is>
      </c>
      <c r="R204" t="inlineStr">
        <is>
          <t>pau</t>
        </is>
      </c>
      <c r="T204" t="inlineStr">
        <is>
          <t xml:space="preserve">QV </t>
        </is>
      </c>
      <c r="U204" t="n">
        <v>8</v>
      </c>
      <c r="V204" t="n">
        <v>8</v>
      </c>
      <c r="W204" t="inlineStr">
        <is>
          <t>1992-12-23</t>
        </is>
      </c>
      <c r="X204" t="inlineStr">
        <is>
          <t>1992-12-23</t>
        </is>
      </c>
      <c r="Y204" t="inlineStr">
        <is>
          <t>1992-12-23</t>
        </is>
      </c>
      <c r="Z204" t="inlineStr">
        <is>
          <t>1992-12-23</t>
        </is>
      </c>
      <c r="AA204" t="n">
        <v>82</v>
      </c>
      <c r="AB204" t="n">
        <v>71</v>
      </c>
      <c r="AC204" t="n">
        <v>73</v>
      </c>
      <c r="AD204" t="n">
        <v>1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HYPERLINK("http://catalog.hathitrust.org/Record/002604096","HathiTrust Record")</f>
        <v/>
      </c>
      <c r="AU204">
        <f>HYPERLINK("https://creighton-primo.hosted.exlibrisgroup.com/primo-explore/search?tab=default_tab&amp;search_scope=EVERYTHING&amp;vid=01CRU&amp;lang=en_US&amp;offset=0&amp;query=any,contains,991001352309702656","Catalog Record")</f>
        <v/>
      </c>
      <c r="AV204">
        <f>HYPERLINK("http://www.worldcat.org/oclc/24792441","WorldCat Record")</f>
        <v/>
      </c>
      <c r="AW204" t="inlineStr">
        <is>
          <t>3856882491:eng</t>
        </is>
      </c>
      <c r="AX204" t="inlineStr">
        <is>
          <t>24792441</t>
        </is>
      </c>
      <c r="AY204" t="inlineStr">
        <is>
          <t>991001352309702656</t>
        </is>
      </c>
      <c r="AZ204" t="inlineStr">
        <is>
          <t>991001352309702656</t>
        </is>
      </c>
      <c r="BA204" t="inlineStr">
        <is>
          <t>2261442840002656</t>
        </is>
      </c>
      <c r="BB204" t="inlineStr">
        <is>
          <t>BOOK</t>
        </is>
      </c>
      <c r="BD204" t="inlineStr">
        <is>
          <t>9780874343915</t>
        </is>
      </c>
      <c r="BE204" t="inlineStr">
        <is>
          <t>30001002459859</t>
        </is>
      </c>
      <c r="BF204" t="inlineStr">
        <is>
          <t>893643517</t>
        </is>
      </c>
    </row>
    <row r="205">
      <c r="B205" t="inlineStr">
        <is>
          <t>CUHSL</t>
        </is>
      </c>
      <c r="C205" t="inlineStr">
        <is>
          <t>SHELVES</t>
        </is>
      </c>
      <c r="D205" t="inlineStr">
        <is>
          <t>QV 39 H262h 1992</t>
        </is>
      </c>
      <c r="E205" t="inlineStr">
        <is>
          <t>0                      QV 0039000H  262h        1992</t>
        </is>
      </c>
      <c r="F205" t="inlineStr">
        <is>
          <t>Handbook of drug therapy in rheumatic disease : pharmacology and clinical aspects / Joe G. Hardin, Jr., Gesina L. Longenecker.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Hardin, Joe G., 1937-</t>
        </is>
      </c>
      <c r="N205" t="inlineStr">
        <is>
          <t>Boston : Little, Brown, c1992.</t>
        </is>
      </c>
      <c r="O205" t="inlineStr">
        <is>
          <t>1992</t>
        </is>
      </c>
      <c r="P205" t="inlineStr">
        <is>
          <t>1st ed.</t>
        </is>
      </c>
      <c r="Q205" t="inlineStr">
        <is>
          <t>eng</t>
        </is>
      </c>
      <c r="R205" t="inlineStr">
        <is>
          <t>mau</t>
        </is>
      </c>
      <c r="T205" t="inlineStr">
        <is>
          <t xml:space="preserve">QV </t>
        </is>
      </c>
      <c r="U205" t="n">
        <v>2</v>
      </c>
      <c r="V205" t="n">
        <v>2</v>
      </c>
      <c r="W205" t="inlineStr">
        <is>
          <t>1992-02-18</t>
        </is>
      </c>
      <c r="X205" t="inlineStr">
        <is>
          <t>1992-02-18</t>
        </is>
      </c>
      <c r="Y205" t="inlineStr">
        <is>
          <t>1992-02-18</t>
        </is>
      </c>
      <c r="Z205" t="inlineStr">
        <is>
          <t>1992-02-18</t>
        </is>
      </c>
      <c r="AA205" t="n">
        <v>74</v>
      </c>
      <c r="AB205" t="n">
        <v>40</v>
      </c>
      <c r="AC205" t="n">
        <v>45</v>
      </c>
      <c r="AD205" t="n">
        <v>1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inlineStr">
        <is>
          <t>No</t>
        </is>
      </c>
      <c r="AS205" t="inlineStr">
        <is>
          <t>No</t>
        </is>
      </c>
      <c r="AU205">
        <f>HYPERLINK("https://creighton-primo.hosted.exlibrisgroup.com/primo-explore/search?tab=default_tab&amp;search_scope=EVERYTHING&amp;vid=01CRU&amp;lang=en_US&amp;offset=0&amp;query=any,contains,991001036039702656","Catalog Record")</f>
        <v/>
      </c>
      <c r="AV205">
        <f>HYPERLINK("http://www.worldcat.org/oclc/24373246","WorldCat Record")</f>
        <v/>
      </c>
      <c r="AW205" t="inlineStr">
        <is>
          <t>26593064:eng</t>
        </is>
      </c>
      <c r="AX205" t="inlineStr">
        <is>
          <t>24373246</t>
        </is>
      </c>
      <c r="AY205" t="inlineStr">
        <is>
          <t>991001036039702656</t>
        </is>
      </c>
      <c r="AZ205" t="inlineStr">
        <is>
          <t>991001036039702656</t>
        </is>
      </c>
      <c r="BA205" t="inlineStr">
        <is>
          <t>2268687570002656</t>
        </is>
      </c>
      <c r="BB205" t="inlineStr">
        <is>
          <t>BOOK</t>
        </is>
      </c>
      <c r="BD205" t="inlineStr">
        <is>
          <t>9780316346047</t>
        </is>
      </c>
      <c r="BE205" t="inlineStr">
        <is>
          <t>30001002244756</t>
        </is>
      </c>
      <c r="BF205" t="inlineStr">
        <is>
          <t>893820873</t>
        </is>
      </c>
    </row>
    <row r="206">
      <c r="B206" t="inlineStr">
        <is>
          <t>CUHSL</t>
        </is>
      </c>
      <c r="C206" t="inlineStr">
        <is>
          <t>SHELVES</t>
        </is>
      </c>
      <c r="D206" t="inlineStr">
        <is>
          <t>QV 39 K185z 2009</t>
        </is>
      </c>
      <c r="E206" t="inlineStr">
        <is>
          <t>0                      QV 0039000K  185z        2009</t>
        </is>
      </c>
      <c r="F206" t="inlineStr">
        <is>
          <t>2009 Lippincott's nursing drug guide / Amy M. Karch.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Karch, Amy Morrison, 1949-</t>
        </is>
      </c>
      <c r="N206" t="inlineStr">
        <is>
          <t>Philadelphia : Lippincott Williams &amp; Wilkens, c2009.</t>
        </is>
      </c>
      <c r="O206" t="inlineStr">
        <is>
          <t>2009</t>
        </is>
      </c>
      <c r="Q206" t="inlineStr">
        <is>
          <t>eng</t>
        </is>
      </c>
      <c r="R206" t="inlineStr">
        <is>
          <t>pau</t>
        </is>
      </c>
      <c r="T206" t="inlineStr">
        <is>
          <t xml:space="preserve">QV </t>
        </is>
      </c>
      <c r="U206" t="n">
        <v>3</v>
      </c>
      <c r="V206" t="n">
        <v>3</v>
      </c>
      <c r="W206" t="inlineStr">
        <is>
          <t>2010-10-20</t>
        </is>
      </c>
      <c r="X206" t="inlineStr">
        <is>
          <t>2010-10-20</t>
        </is>
      </c>
      <c r="Y206" t="inlineStr">
        <is>
          <t>2009-04-28</t>
        </is>
      </c>
      <c r="Z206" t="inlineStr">
        <is>
          <t>2009-04-28</t>
        </is>
      </c>
      <c r="AA206" t="n">
        <v>93</v>
      </c>
      <c r="AB206" t="n">
        <v>70</v>
      </c>
      <c r="AC206" t="n">
        <v>96</v>
      </c>
      <c r="AD206" t="n">
        <v>1</v>
      </c>
      <c r="AE206" t="n">
        <v>1</v>
      </c>
      <c r="AF206" t="n">
        <v>0</v>
      </c>
      <c r="AG206" t="n">
        <v>1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1</v>
      </c>
      <c r="AN206" t="n">
        <v>0</v>
      </c>
      <c r="AO206" t="n">
        <v>0</v>
      </c>
      <c r="AP206" t="n">
        <v>0</v>
      </c>
      <c r="AQ206" t="n">
        <v>0</v>
      </c>
      <c r="AR206" t="inlineStr">
        <is>
          <t>No</t>
        </is>
      </c>
      <c r="AS206" t="inlineStr">
        <is>
          <t>No</t>
        </is>
      </c>
      <c r="AU206">
        <f>HYPERLINK("https://creighton-primo.hosted.exlibrisgroup.com/primo-explore/search?tab=default_tab&amp;search_scope=EVERYTHING&amp;vid=01CRU&amp;lang=en_US&amp;offset=0&amp;query=any,contains,991001457459702656","Catalog Record")</f>
        <v/>
      </c>
      <c r="AV206">
        <f>HYPERLINK("http://www.worldcat.org/oclc/181600919","WorldCat Record")</f>
        <v/>
      </c>
      <c r="AW206" t="inlineStr">
        <is>
          <t>9323128061:eng</t>
        </is>
      </c>
      <c r="AX206" t="inlineStr">
        <is>
          <t>181600919</t>
        </is>
      </c>
      <c r="AY206" t="inlineStr">
        <is>
          <t>991001457459702656</t>
        </is>
      </c>
      <c r="AZ206" t="inlineStr">
        <is>
          <t>991001457459702656</t>
        </is>
      </c>
      <c r="BA206" t="inlineStr">
        <is>
          <t>2260682680002656</t>
        </is>
      </c>
      <c r="BB206" t="inlineStr">
        <is>
          <t>BOOK</t>
        </is>
      </c>
      <c r="BD206" t="inlineStr">
        <is>
          <t>9780781792882</t>
        </is>
      </c>
      <c r="BE206" t="inlineStr">
        <is>
          <t>30001004915874</t>
        </is>
      </c>
      <c r="BF206" t="inlineStr">
        <is>
          <t>893649218</t>
        </is>
      </c>
    </row>
    <row r="207">
      <c r="B207" t="inlineStr">
        <is>
          <t>CUHSL</t>
        </is>
      </c>
      <c r="C207" t="inlineStr">
        <is>
          <t>SHELVES</t>
        </is>
      </c>
      <c r="D207" t="inlineStr">
        <is>
          <t>QV 39 L675h 1991</t>
        </is>
      </c>
      <c r="E207" t="inlineStr">
        <is>
          <t>0                      QV 0039000L  675h        1991</t>
        </is>
      </c>
      <c r="F207" t="inlineStr">
        <is>
          <t>Hazardous chemicals desk reference / Richard J. Lewis, Sr.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M207" t="inlineStr">
        <is>
          <t>Lewis, Richard J., Sr., 1939-2018.</t>
        </is>
      </c>
      <c r="N207" t="inlineStr">
        <is>
          <t>New York : Van Nostrand Reinhold, c1991.</t>
        </is>
      </c>
      <c r="O207" t="inlineStr">
        <is>
          <t>1991</t>
        </is>
      </c>
      <c r="P207" t="inlineStr">
        <is>
          <t>2nd ed.</t>
        </is>
      </c>
      <c r="Q207" t="inlineStr">
        <is>
          <t>eng</t>
        </is>
      </c>
      <c r="R207" t="inlineStr">
        <is>
          <t>nyu</t>
        </is>
      </c>
      <c r="T207" t="inlineStr">
        <is>
          <t xml:space="preserve">QV </t>
        </is>
      </c>
      <c r="U207" t="n">
        <v>4</v>
      </c>
      <c r="V207" t="n">
        <v>4</v>
      </c>
      <c r="W207" t="inlineStr">
        <is>
          <t>2006-11-02</t>
        </is>
      </c>
      <c r="X207" t="inlineStr">
        <is>
          <t>2006-11-02</t>
        </is>
      </c>
      <c r="Y207" t="inlineStr">
        <is>
          <t>1992-11-20</t>
        </is>
      </c>
      <c r="Z207" t="inlineStr">
        <is>
          <t>1992-11-20</t>
        </is>
      </c>
      <c r="AA207" t="n">
        <v>355</v>
      </c>
      <c r="AB207" t="n">
        <v>284</v>
      </c>
      <c r="AC207" t="n">
        <v>1519</v>
      </c>
      <c r="AD207" t="n">
        <v>1</v>
      </c>
      <c r="AE207" t="n">
        <v>5</v>
      </c>
      <c r="AF207" t="n">
        <v>1</v>
      </c>
      <c r="AG207" t="n">
        <v>27</v>
      </c>
      <c r="AH207" t="n">
        <v>0</v>
      </c>
      <c r="AI207" t="n">
        <v>10</v>
      </c>
      <c r="AJ207" t="n">
        <v>0</v>
      </c>
      <c r="AK207" t="n">
        <v>5</v>
      </c>
      <c r="AL207" t="n">
        <v>1</v>
      </c>
      <c r="AM207" t="n">
        <v>14</v>
      </c>
      <c r="AN207" t="n">
        <v>0</v>
      </c>
      <c r="AO207" t="n">
        <v>3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HYPERLINK("http://catalog.hathitrust.org/Record/002238722","HathiTrust Record")</f>
        <v/>
      </c>
      <c r="AU207">
        <f>HYPERLINK("https://creighton-primo.hosted.exlibrisgroup.com/primo-explore/search?tab=default_tab&amp;search_scope=EVERYTHING&amp;vid=01CRU&amp;lang=en_US&amp;offset=0&amp;query=any,contains,991001347459702656","Catalog Record")</f>
        <v/>
      </c>
      <c r="AV207">
        <f>HYPERLINK("http://www.worldcat.org/oclc/22451060","WorldCat Record")</f>
        <v/>
      </c>
      <c r="AW207" t="inlineStr">
        <is>
          <t>135912:eng</t>
        </is>
      </c>
      <c r="AX207" t="inlineStr">
        <is>
          <t>22451060</t>
        </is>
      </c>
      <c r="AY207" t="inlineStr">
        <is>
          <t>991001347459702656</t>
        </is>
      </c>
      <c r="AZ207" t="inlineStr">
        <is>
          <t>991001347459702656</t>
        </is>
      </c>
      <c r="BA207" t="inlineStr">
        <is>
          <t>2259871040002656</t>
        </is>
      </c>
      <c r="BB207" t="inlineStr">
        <is>
          <t>BOOK</t>
        </is>
      </c>
      <c r="BD207" t="inlineStr">
        <is>
          <t>9780442004972</t>
        </is>
      </c>
      <c r="BE207" t="inlineStr">
        <is>
          <t>30001002457838</t>
        </is>
      </c>
      <c r="BF207" t="inlineStr">
        <is>
          <t>893727491</t>
        </is>
      </c>
    </row>
    <row r="208">
      <c r="B208" t="inlineStr">
        <is>
          <t>CUHSL</t>
        </is>
      </c>
      <c r="C208" t="inlineStr">
        <is>
          <t>SHELVES</t>
        </is>
      </c>
      <c r="D208" t="inlineStr">
        <is>
          <t>QV 39 L848e 1987</t>
        </is>
      </c>
      <c r="E208" t="inlineStr">
        <is>
          <t>0                      QV 0039000L  848e        1987</t>
        </is>
      </c>
      <c r="F208" t="inlineStr">
        <is>
          <t>The essential guide to prescription drugs / James W. Long.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M208" t="inlineStr">
        <is>
          <t>Long, James W.</t>
        </is>
      </c>
      <c r="N208" t="inlineStr">
        <is>
          <t>New York : Harper &amp; Row, c1987.</t>
        </is>
      </c>
      <c r="O208" t="inlineStr">
        <is>
          <t>1987</t>
        </is>
      </c>
      <c r="P208" t="inlineStr">
        <is>
          <t>5th ed.</t>
        </is>
      </c>
      <c r="Q208" t="inlineStr">
        <is>
          <t>eng</t>
        </is>
      </c>
      <c r="R208" t="inlineStr">
        <is>
          <t>xxu</t>
        </is>
      </c>
      <c r="T208" t="inlineStr">
        <is>
          <t xml:space="preserve">QV </t>
        </is>
      </c>
      <c r="U208" t="n">
        <v>6</v>
      </c>
      <c r="V208" t="n">
        <v>6</v>
      </c>
      <c r="W208" t="inlineStr">
        <is>
          <t>2000-04-06</t>
        </is>
      </c>
      <c r="X208" t="inlineStr">
        <is>
          <t>2000-04-06</t>
        </is>
      </c>
      <c r="Y208" t="inlineStr">
        <is>
          <t>1987-11-20</t>
        </is>
      </c>
      <c r="Z208" t="inlineStr">
        <is>
          <t>1987-11-20</t>
        </is>
      </c>
      <c r="AA208" t="n">
        <v>135</v>
      </c>
      <c r="AB208" t="n">
        <v>130</v>
      </c>
      <c r="AC208" t="n">
        <v>1391</v>
      </c>
      <c r="AD208" t="n">
        <v>3</v>
      </c>
      <c r="AE208" t="n">
        <v>18</v>
      </c>
      <c r="AF208" t="n">
        <v>0</v>
      </c>
      <c r="AG208" t="n">
        <v>12</v>
      </c>
      <c r="AH208" t="n">
        <v>0</v>
      </c>
      <c r="AI208" t="n">
        <v>2</v>
      </c>
      <c r="AJ208" t="n">
        <v>0</v>
      </c>
      <c r="AK208" t="n">
        <v>1</v>
      </c>
      <c r="AL208" t="n">
        <v>0</v>
      </c>
      <c r="AM208" t="n">
        <v>3</v>
      </c>
      <c r="AN208" t="n">
        <v>0</v>
      </c>
      <c r="AO208" t="n">
        <v>5</v>
      </c>
      <c r="AP208" t="n">
        <v>0</v>
      </c>
      <c r="AQ208" t="n">
        <v>1</v>
      </c>
      <c r="AR208" t="inlineStr">
        <is>
          <t>No</t>
        </is>
      </c>
      <c r="AS208" t="inlineStr">
        <is>
          <t>No</t>
        </is>
      </c>
      <c r="AU208">
        <f>HYPERLINK("https://creighton-primo.hosted.exlibrisgroup.com/primo-explore/search?tab=default_tab&amp;search_scope=EVERYTHING&amp;vid=01CRU&amp;lang=en_US&amp;offset=0&amp;query=any,contains,991000586609702656","Catalog Record")</f>
        <v/>
      </c>
      <c r="AV208">
        <f>HYPERLINK("http://www.worldcat.org/oclc/15055055","WorldCat Record")</f>
        <v/>
      </c>
      <c r="AW208" t="inlineStr">
        <is>
          <t>4917389460:eng</t>
        </is>
      </c>
      <c r="AX208" t="inlineStr">
        <is>
          <t>15055055</t>
        </is>
      </c>
      <c r="AY208" t="inlineStr">
        <is>
          <t>991000586609702656</t>
        </is>
      </c>
      <c r="AZ208" t="inlineStr">
        <is>
          <t>991000586609702656</t>
        </is>
      </c>
      <c r="BA208" t="inlineStr">
        <is>
          <t>2260843840002656</t>
        </is>
      </c>
      <c r="BB208" t="inlineStr">
        <is>
          <t>BOOK</t>
        </is>
      </c>
      <c r="BD208" t="inlineStr">
        <is>
          <t>9780060960377</t>
        </is>
      </c>
      <c r="BE208" t="inlineStr">
        <is>
          <t>30001000005019</t>
        </is>
      </c>
      <c r="BF208" t="inlineStr">
        <is>
          <t>893458929</t>
        </is>
      </c>
    </row>
    <row r="209">
      <c r="B209" t="inlineStr">
        <is>
          <t>CUHSL</t>
        </is>
      </c>
      <c r="C209" t="inlineStr">
        <is>
          <t>SHELVES</t>
        </is>
      </c>
      <c r="D209" t="inlineStr">
        <is>
          <t>QV 39 M744a 1996</t>
        </is>
      </c>
      <c r="E209" t="inlineStr">
        <is>
          <t>0                      QV 0039000M  744a        1996</t>
        </is>
      </c>
      <c r="F209" t="inlineStr">
        <is>
          <t>Antibiotic selection in obstetrics and gynecology / Gilles R.G. Monif.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M209" t="inlineStr">
        <is>
          <t>Monif, Gilles R. G.</t>
        </is>
      </c>
      <c r="N209" t="inlineStr">
        <is>
          <t>Omaha : IDI Publications, [New York?] : Distributed by Parthenon Pub., c1996.</t>
        </is>
      </c>
      <c r="O209" t="inlineStr">
        <is>
          <t>1996</t>
        </is>
      </c>
      <c r="Q209" t="inlineStr">
        <is>
          <t>eng</t>
        </is>
      </c>
      <c r="R209" t="inlineStr">
        <is>
          <t xml:space="preserve">xx </t>
        </is>
      </c>
      <c r="T209" t="inlineStr">
        <is>
          <t xml:space="preserve">QV </t>
        </is>
      </c>
      <c r="U209" t="n">
        <v>5</v>
      </c>
      <c r="V209" t="n">
        <v>5</v>
      </c>
      <c r="W209" t="inlineStr">
        <is>
          <t>2004-02-01</t>
        </is>
      </c>
      <c r="X209" t="inlineStr">
        <is>
          <t>2004-02-01</t>
        </is>
      </c>
      <c r="Y209" t="inlineStr">
        <is>
          <t>1997-02-18</t>
        </is>
      </c>
      <c r="Z209" t="inlineStr">
        <is>
          <t>1997-02-18</t>
        </is>
      </c>
      <c r="AA209" t="n">
        <v>25</v>
      </c>
      <c r="AB209" t="n">
        <v>20</v>
      </c>
      <c r="AC209" t="n">
        <v>20</v>
      </c>
      <c r="AD209" t="n">
        <v>1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inlineStr">
        <is>
          <t>No</t>
        </is>
      </c>
      <c r="AS209" t="inlineStr">
        <is>
          <t>No</t>
        </is>
      </c>
      <c r="AU209">
        <f>HYPERLINK("https://creighton-primo.hosted.exlibrisgroup.com/primo-explore/search?tab=default_tab&amp;search_scope=EVERYTHING&amp;vid=01CRU&amp;lang=en_US&amp;offset=0&amp;query=any,contains,991000964339702656","Catalog Record")</f>
        <v/>
      </c>
      <c r="AV209">
        <f>HYPERLINK("http://www.worldcat.org/oclc/35562195","WorldCat Record")</f>
        <v/>
      </c>
      <c r="AW209" t="inlineStr">
        <is>
          <t>35016491:eng</t>
        </is>
      </c>
      <c r="AX209" t="inlineStr">
        <is>
          <t>35562195</t>
        </is>
      </c>
      <c r="AY209" t="inlineStr">
        <is>
          <t>991000964339702656</t>
        </is>
      </c>
      <c r="AZ209" t="inlineStr">
        <is>
          <t>991000964339702656</t>
        </is>
      </c>
      <c r="BA209" t="inlineStr">
        <is>
          <t>2259962510002656</t>
        </is>
      </c>
      <c r="BB209" t="inlineStr">
        <is>
          <t>BOOK</t>
        </is>
      </c>
      <c r="BE209" t="inlineStr">
        <is>
          <t>30001003539204</t>
        </is>
      </c>
      <c r="BF209" t="inlineStr">
        <is>
          <t>893815957</t>
        </is>
      </c>
    </row>
    <row r="210">
      <c r="B210" t="inlineStr">
        <is>
          <t>CUHSL</t>
        </is>
      </c>
      <c r="C210" t="inlineStr">
        <is>
          <t>SHELVES</t>
        </is>
      </c>
      <c r="D210" t="inlineStr">
        <is>
          <t>QV39 M8941 2008</t>
        </is>
      </c>
      <c r="E210" t="inlineStr">
        <is>
          <t>0                      QV 0039000M  8941        2008</t>
        </is>
      </c>
      <c r="F210" t="inlineStr">
        <is>
          <t>Mosby's 2008 nursing drug reference / Linda Skidmore-Roth.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M210" t="inlineStr">
        <is>
          <t>Skidmore-Roth, Linda.</t>
        </is>
      </c>
      <c r="N210" t="inlineStr">
        <is>
          <t>St. Louis, Mo. ; London : Elsevier Mosby, 2007.</t>
        </is>
      </c>
      <c r="O210" t="inlineStr">
        <is>
          <t>2007</t>
        </is>
      </c>
      <c r="Q210" t="inlineStr">
        <is>
          <t>eng</t>
        </is>
      </c>
      <c r="R210" t="inlineStr">
        <is>
          <t>mou</t>
        </is>
      </c>
      <c r="T210" t="inlineStr">
        <is>
          <t xml:space="preserve">QV </t>
        </is>
      </c>
      <c r="U210" t="n">
        <v>3</v>
      </c>
      <c r="V210" t="n">
        <v>3</v>
      </c>
      <c r="W210" t="inlineStr">
        <is>
          <t>2010-10-20</t>
        </is>
      </c>
      <c r="X210" t="inlineStr">
        <is>
          <t>2010-10-20</t>
        </is>
      </c>
      <c r="Y210" t="inlineStr">
        <is>
          <t>2007-11-19</t>
        </is>
      </c>
      <c r="Z210" t="inlineStr">
        <is>
          <t>2007-11-19</t>
        </is>
      </c>
      <c r="AA210" t="n">
        <v>78</v>
      </c>
      <c r="AB210" t="n">
        <v>63</v>
      </c>
      <c r="AC210" t="n">
        <v>64</v>
      </c>
      <c r="AD210" t="n">
        <v>0</v>
      </c>
      <c r="AE210" t="n">
        <v>0</v>
      </c>
      <c r="AF210" t="n">
        <v>3</v>
      </c>
      <c r="AG210" t="n">
        <v>3</v>
      </c>
      <c r="AH210" t="n">
        <v>2</v>
      </c>
      <c r="AI210" t="n">
        <v>2</v>
      </c>
      <c r="AJ210" t="n">
        <v>0</v>
      </c>
      <c r="AK210" t="n">
        <v>0</v>
      </c>
      <c r="AL210" t="n">
        <v>1</v>
      </c>
      <c r="AM210" t="n">
        <v>1</v>
      </c>
      <c r="AN210" t="n">
        <v>0</v>
      </c>
      <c r="AO210" t="n">
        <v>0</v>
      </c>
      <c r="AP210" t="n">
        <v>0</v>
      </c>
      <c r="AQ210" t="n">
        <v>0</v>
      </c>
      <c r="AR210" t="inlineStr">
        <is>
          <t>No</t>
        </is>
      </c>
      <c r="AS210" t="inlineStr">
        <is>
          <t>No</t>
        </is>
      </c>
      <c r="AU210">
        <f>HYPERLINK("https://creighton-primo.hosted.exlibrisgroup.com/primo-explore/search?tab=default_tab&amp;search_scope=EVERYTHING&amp;vid=01CRU&amp;lang=en_US&amp;offset=0&amp;query=any,contains,991001753319702656","Catalog Record")</f>
        <v/>
      </c>
      <c r="AV210">
        <f>HYPERLINK("http://www.worldcat.org/oclc/495870776","WorldCat Record")</f>
        <v/>
      </c>
      <c r="AW210" t="inlineStr">
        <is>
          <t>3859117901:eng</t>
        </is>
      </c>
      <c r="AX210" t="inlineStr">
        <is>
          <t>495870776</t>
        </is>
      </c>
      <c r="AY210" t="inlineStr">
        <is>
          <t>991001753319702656</t>
        </is>
      </c>
      <c r="AZ210" t="inlineStr">
        <is>
          <t>991001753319702656</t>
        </is>
      </c>
      <c r="BA210" t="inlineStr">
        <is>
          <t>2271513560002656</t>
        </is>
      </c>
      <c r="BB210" t="inlineStr">
        <is>
          <t>BOOK</t>
        </is>
      </c>
      <c r="BD210" t="inlineStr">
        <is>
          <t>9780323047005</t>
        </is>
      </c>
      <c r="BE210" t="inlineStr">
        <is>
          <t>30001005270774</t>
        </is>
      </c>
      <c r="BF210" t="inlineStr">
        <is>
          <t>893285176</t>
        </is>
      </c>
    </row>
    <row r="211">
      <c r="B211" t="inlineStr">
        <is>
          <t>CUHSL</t>
        </is>
      </c>
      <c r="C211" t="inlineStr">
        <is>
          <t>SHELVES</t>
        </is>
      </c>
      <c r="D211" t="inlineStr">
        <is>
          <t>QV39 N854c 2004</t>
        </is>
      </c>
      <c r="E211" t="inlineStr">
        <is>
          <t>0                      QV 0039000N  854c        2004</t>
        </is>
      </c>
      <c r="F211" t="inlineStr">
        <is>
          <t>Clinical research coordinator handbook / Deborrah Norris.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Norris, Deborrah.</t>
        </is>
      </c>
      <c r="N211" t="inlineStr">
        <is>
          <t>Medford, N.J. : Plexus Pub., c2004.</t>
        </is>
      </c>
      <c r="O211" t="inlineStr">
        <is>
          <t>2004</t>
        </is>
      </c>
      <c r="P211" t="inlineStr">
        <is>
          <t>3rd ed.</t>
        </is>
      </c>
      <c r="Q211" t="inlineStr">
        <is>
          <t>eng</t>
        </is>
      </c>
      <c r="R211" t="inlineStr">
        <is>
          <t>nju</t>
        </is>
      </c>
      <c r="T211" t="inlineStr">
        <is>
          <t xml:space="preserve">QV </t>
        </is>
      </c>
      <c r="U211" t="n">
        <v>0</v>
      </c>
      <c r="V211" t="n">
        <v>0</v>
      </c>
      <c r="W211" t="inlineStr">
        <is>
          <t>2005-02-08</t>
        </is>
      </c>
      <c r="X211" t="inlineStr">
        <is>
          <t>2005-02-08</t>
        </is>
      </c>
      <c r="Y211" t="inlineStr">
        <is>
          <t>2005-02-04</t>
        </is>
      </c>
      <c r="Z211" t="inlineStr">
        <is>
          <t>2005-02-04</t>
        </is>
      </c>
      <c r="AA211" t="n">
        <v>46</v>
      </c>
      <c r="AB211" t="n">
        <v>40</v>
      </c>
      <c r="AC211" t="n">
        <v>71</v>
      </c>
      <c r="AD211" t="n">
        <v>1</v>
      </c>
      <c r="AE211" t="n">
        <v>1</v>
      </c>
      <c r="AF211" t="n">
        <v>3</v>
      </c>
      <c r="AG211" t="n">
        <v>3</v>
      </c>
      <c r="AH211" t="n">
        <v>2</v>
      </c>
      <c r="AI211" t="n">
        <v>2</v>
      </c>
      <c r="AJ211" t="n">
        <v>1</v>
      </c>
      <c r="AK211" t="n">
        <v>1</v>
      </c>
      <c r="AL211" t="n">
        <v>2</v>
      </c>
      <c r="AM211" t="n">
        <v>2</v>
      </c>
      <c r="AN211" t="n">
        <v>0</v>
      </c>
      <c r="AO211" t="n">
        <v>0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HYPERLINK("http://catalog.hathitrust.org/Record/005240416","HathiTrust Record")</f>
        <v/>
      </c>
      <c r="AU211">
        <f>HYPERLINK("https://creighton-primo.hosted.exlibrisgroup.com/primo-explore/search?tab=default_tab&amp;search_scope=EVERYTHING&amp;vid=01CRU&amp;lang=en_US&amp;offset=0&amp;query=any,contains,991000426569702656","Catalog Record")</f>
        <v/>
      </c>
      <c r="AV211">
        <f>HYPERLINK("http://www.worldcat.org/oclc/53038749","WorldCat Record")</f>
        <v/>
      </c>
      <c r="AW211" t="inlineStr">
        <is>
          <t>743172:eng</t>
        </is>
      </c>
      <c r="AX211" t="inlineStr">
        <is>
          <t>53038749</t>
        </is>
      </c>
      <c r="AY211" t="inlineStr">
        <is>
          <t>991000426569702656</t>
        </is>
      </c>
      <c r="AZ211" t="inlineStr">
        <is>
          <t>991000426569702656</t>
        </is>
      </c>
      <c r="BA211" t="inlineStr">
        <is>
          <t>2271236800002656</t>
        </is>
      </c>
      <c r="BB211" t="inlineStr">
        <is>
          <t>BOOK</t>
        </is>
      </c>
      <c r="BD211" t="inlineStr">
        <is>
          <t>9780937548547</t>
        </is>
      </c>
      <c r="BE211" t="inlineStr">
        <is>
          <t>30001004927341</t>
        </is>
      </c>
      <c r="BF211" t="inlineStr">
        <is>
          <t>893558808</t>
        </is>
      </c>
    </row>
    <row r="212">
      <c r="B212" t="inlineStr">
        <is>
          <t>CUHSL</t>
        </is>
      </c>
      <c r="C212" t="inlineStr">
        <is>
          <t>SHELVES</t>
        </is>
      </c>
      <c r="D212" t="inlineStr">
        <is>
          <t>QV 39 N97478 2010</t>
        </is>
      </c>
      <c r="E212" t="inlineStr">
        <is>
          <t>0                      QV 0039000N  97478       2010</t>
        </is>
      </c>
      <c r="F212" t="inlineStr">
        <is>
          <t>2010 nursing spectrum drug handbook / Patricia Dwyer Schull.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N212" t="inlineStr">
        <is>
          <t>New York : McGraw-Hill Medical ; London : McGraw-Hill [distributor], 2009.</t>
        </is>
      </c>
      <c r="O212" t="inlineStr">
        <is>
          <t>2009</t>
        </is>
      </c>
      <c r="Q212" t="inlineStr">
        <is>
          <t>eng</t>
        </is>
      </c>
      <c r="R212" t="inlineStr">
        <is>
          <t>nyu</t>
        </is>
      </c>
      <c r="T212" t="inlineStr">
        <is>
          <t xml:space="preserve">QV </t>
        </is>
      </c>
      <c r="U212" t="n">
        <v>4</v>
      </c>
      <c r="V212" t="n">
        <v>4</v>
      </c>
      <c r="W212" t="inlineStr">
        <is>
          <t>2010-10-20</t>
        </is>
      </c>
      <c r="X212" t="inlineStr">
        <is>
          <t>2010-10-20</t>
        </is>
      </c>
      <c r="Y212" t="inlineStr">
        <is>
          <t>2009-08-10</t>
        </is>
      </c>
      <c r="Z212" t="inlineStr">
        <is>
          <t>2009-08-10</t>
        </is>
      </c>
      <c r="AA212" t="n">
        <v>38</v>
      </c>
      <c r="AB212" t="n">
        <v>23</v>
      </c>
      <c r="AC212" t="n">
        <v>415</v>
      </c>
      <c r="AD212" t="n">
        <v>1</v>
      </c>
      <c r="AE212" t="n">
        <v>15</v>
      </c>
      <c r="AF212" t="n">
        <v>0</v>
      </c>
      <c r="AG212" t="n">
        <v>13</v>
      </c>
      <c r="AH212" t="n">
        <v>0</v>
      </c>
      <c r="AI212" t="n">
        <v>4</v>
      </c>
      <c r="AJ212" t="n">
        <v>0</v>
      </c>
      <c r="AK212" t="n">
        <v>1</v>
      </c>
      <c r="AL212" t="n">
        <v>0</v>
      </c>
      <c r="AM212" t="n">
        <v>1</v>
      </c>
      <c r="AN212" t="n">
        <v>0</v>
      </c>
      <c r="AO212" t="n">
        <v>8</v>
      </c>
      <c r="AP212" t="n">
        <v>0</v>
      </c>
      <c r="AQ212" t="n">
        <v>0</v>
      </c>
      <c r="AR212" t="inlineStr">
        <is>
          <t>No</t>
        </is>
      </c>
      <c r="AS212" t="inlineStr">
        <is>
          <t>No</t>
        </is>
      </c>
      <c r="AU212">
        <f>HYPERLINK("https://creighton-primo.hosted.exlibrisgroup.com/primo-explore/search?tab=default_tab&amp;search_scope=EVERYTHING&amp;vid=01CRU&amp;lang=en_US&amp;offset=0&amp;query=any,contains,991001484809702656","Catalog Record")</f>
        <v/>
      </c>
      <c r="AV212">
        <f>HYPERLINK("http://www.worldcat.org/oclc/441176531","WorldCat Record")</f>
        <v/>
      </c>
      <c r="AW212" t="inlineStr">
        <is>
          <t>259913939:eng</t>
        </is>
      </c>
      <c r="AX212" t="inlineStr">
        <is>
          <t>441176531</t>
        </is>
      </c>
      <c r="AY212" t="inlineStr">
        <is>
          <t>991001484809702656</t>
        </is>
      </c>
      <c r="AZ212" t="inlineStr">
        <is>
          <t>991001484809702656</t>
        </is>
      </c>
      <c r="BA212" t="inlineStr">
        <is>
          <t>2271523980002656</t>
        </is>
      </c>
      <c r="BB212" t="inlineStr">
        <is>
          <t>BOOK</t>
        </is>
      </c>
      <c r="BD212" t="inlineStr">
        <is>
          <t>9780071622783</t>
        </is>
      </c>
      <c r="BE212" t="inlineStr">
        <is>
          <t>30001004918704</t>
        </is>
      </c>
      <c r="BF212" t="inlineStr">
        <is>
          <t>893134626</t>
        </is>
      </c>
    </row>
    <row r="213">
      <c r="B213" t="inlineStr">
        <is>
          <t>CUHSL</t>
        </is>
      </c>
      <c r="C213" t="inlineStr">
        <is>
          <t>SHELVES</t>
        </is>
      </c>
      <c r="D213" t="inlineStr">
        <is>
          <t>QV 39 O56p 1995</t>
        </is>
      </c>
      <c r="E213" t="inlineStr">
        <is>
          <t>0                      QV 0039000O  56p         1995</t>
        </is>
      </c>
      <c r="F213" t="inlineStr">
        <is>
          <t>The pain drugs handbook / Sota Omoigui.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Omoigui, Sota.</t>
        </is>
      </c>
      <c r="N213" t="inlineStr">
        <is>
          <t>St. Louis : Mosby, c1995.</t>
        </is>
      </c>
      <c r="O213" t="inlineStr">
        <is>
          <t>1995</t>
        </is>
      </c>
      <c r="Q213" t="inlineStr">
        <is>
          <t>eng</t>
        </is>
      </c>
      <c r="R213" t="inlineStr">
        <is>
          <t>mou</t>
        </is>
      </c>
      <c r="T213" t="inlineStr">
        <is>
          <t xml:space="preserve">QV </t>
        </is>
      </c>
      <c r="U213" t="n">
        <v>5</v>
      </c>
      <c r="V213" t="n">
        <v>5</v>
      </c>
      <c r="W213" t="inlineStr">
        <is>
          <t>2006-10-05</t>
        </is>
      </c>
      <c r="X213" t="inlineStr">
        <is>
          <t>2006-10-05</t>
        </is>
      </c>
      <c r="Y213" t="inlineStr">
        <is>
          <t>1996-09-10</t>
        </is>
      </c>
      <c r="Z213" t="inlineStr">
        <is>
          <t>1996-09-10</t>
        </is>
      </c>
      <c r="AA213" t="n">
        <v>67</v>
      </c>
      <c r="AB213" t="n">
        <v>46</v>
      </c>
      <c r="AC213" t="n">
        <v>48</v>
      </c>
      <c r="AD213" t="n">
        <v>1</v>
      </c>
      <c r="AE213" t="n">
        <v>1</v>
      </c>
      <c r="AF213" t="n">
        <v>2</v>
      </c>
      <c r="AG213" t="n">
        <v>2</v>
      </c>
      <c r="AH213" t="n">
        <v>1</v>
      </c>
      <c r="AI213" t="n">
        <v>1</v>
      </c>
      <c r="AJ213" t="n">
        <v>1</v>
      </c>
      <c r="AK213" t="n">
        <v>1</v>
      </c>
      <c r="AL213" t="n">
        <v>1</v>
      </c>
      <c r="AM213" t="n">
        <v>1</v>
      </c>
      <c r="AN213" t="n">
        <v>0</v>
      </c>
      <c r="AO213" t="n">
        <v>0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HYPERLINK("http://catalog.hathitrust.org/Record/005572230","HathiTrust Record")</f>
        <v/>
      </c>
      <c r="AU213">
        <f>HYPERLINK("https://creighton-primo.hosted.exlibrisgroup.com/primo-explore/search?tab=default_tab&amp;search_scope=EVERYTHING&amp;vid=01CRU&amp;lang=en_US&amp;offset=0&amp;query=any,contains,991000835849702656","Catalog Record")</f>
        <v/>
      </c>
      <c r="AV213">
        <f>HYPERLINK("http://www.worldcat.org/oclc/31075186","WorldCat Record")</f>
        <v/>
      </c>
      <c r="AW213" t="inlineStr">
        <is>
          <t>25422652:eng</t>
        </is>
      </c>
      <c r="AX213" t="inlineStr">
        <is>
          <t>31075186</t>
        </is>
      </c>
      <c r="AY213" t="inlineStr">
        <is>
          <t>991000835849702656</t>
        </is>
      </c>
      <c r="AZ213" t="inlineStr">
        <is>
          <t>991000835849702656</t>
        </is>
      </c>
      <c r="BA213" t="inlineStr">
        <is>
          <t>2269321350002656</t>
        </is>
      </c>
      <c r="BB213" t="inlineStr">
        <is>
          <t>BOOK</t>
        </is>
      </c>
      <c r="BD213" t="inlineStr">
        <is>
          <t>9780815165057</t>
        </is>
      </c>
      <c r="BE213" t="inlineStr">
        <is>
          <t>30001003441765</t>
        </is>
      </c>
      <c r="BF213" t="inlineStr">
        <is>
          <t>893283913</t>
        </is>
      </c>
    </row>
    <row r="214">
      <c r="B214" t="inlineStr">
        <is>
          <t>CUHSL</t>
        </is>
      </c>
      <c r="C214" t="inlineStr">
        <is>
          <t>SHELVES</t>
        </is>
      </c>
      <c r="D214" t="inlineStr">
        <is>
          <t>QV39 P464p 1997</t>
        </is>
      </c>
      <c r="E214" t="inlineStr">
        <is>
          <t>0                      QV 0039000P  464p        1997</t>
        </is>
      </c>
      <c r="F214" t="inlineStr">
        <is>
          <t>Psychotropic drug handbook / Paul J. Perry, Bruce Alexander, Barry I. Liskow.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Yes</t>
        </is>
      </c>
      <c r="L214" t="inlineStr">
        <is>
          <t>0</t>
        </is>
      </c>
      <c r="M214" t="inlineStr">
        <is>
          <t>Perry, Paul J.</t>
        </is>
      </c>
      <c r="N214" t="inlineStr">
        <is>
          <t>Washington, DC : American Psychiatric Press, c1997.</t>
        </is>
      </c>
      <c r="O214" t="inlineStr">
        <is>
          <t>1997</t>
        </is>
      </c>
      <c r="P214" t="inlineStr">
        <is>
          <t>7th ed.</t>
        </is>
      </c>
      <c r="Q214" t="inlineStr">
        <is>
          <t>eng</t>
        </is>
      </c>
      <c r="R214" t="inlineStr">
        <is>
          <t>dcu</t>
        </is>
      </c>
      <c r="T214" t="inlineStr">
        <is>
          <t xml:space="preserve">QV </t>
        </is>
      </c>
      <c r="U214" t="n">
        <v>12</v>
      </c>
      <c r="V214" t="n">
        <v>12</v>
      </c>
      <c r="W214" t="inlineStr">
        <is>
          <t>2005-12-01</t>
        </is>
      </c>
      <c r="X214" t="inlineStr">
        <is>
          <t>2005-12-01</t>
        </is>
      </c>
      <c r="Y214" t="inlineStr">
        <is>
          <t>1997-06-09</t>
        </is>
      </c>
      <c r="Z214" t="inlineStr">
        <is>
          <t>1997-06-09</t>
        </is>
      </c>
      <c r="AA214" t="n">
        <v>98</v>
      </c>
      <c r="AB214" t="n">
        <v>81</v>
      </c>
      <c r="AC214" t="n">
        <v>189</v>
      </c>
      <c r="AD214" t="n">
        <v>2</v>
      </c>
      <c r="AE214" t="n">
        <v>2</v>
      </c>
      <c r="AF214" t="n">
        <v>1</v>
      </c>
      <c r="AG214" t="n">
        <v>6</v>
      </c>
      <c r="AH214" t="n">
        <v>0</v>
      </c>
      <c r="AI214" t="n">
        <v>4</v>
      </c>
      <c r="AJ214" t="n">
        <v>0</v>
      </c>
      <c r="AK214" t="n">
        <v>1</v>
      </c>
      <c r="AL214" t="n">
        <v>0</v>
      </c>
      <c r="AM214" t="n">
        <v>1</v>
      </c>
      <c r="AN214" t="n">
        <v>1</v>
      </c>
      <c r="AO214" t="n">
        <v>1</v>
      </c>
      <c r="AP214" t="n">
        <v>0</v>
      </c>
      <c r="AQ214" t="n">
        <v>0</v>
      </c>
      <c r="AR214" t="inlineStr">
        <is>
          <t>No</t>
        </is>
      </c>
      <c r="AS214" t="inlineStr">
        <is>
          <t>No</t>
        </is>
      </c>
      <c r="AU214">
        <f>HYPERLINK("https://creighton-primo.hosted.exlibrisgroup.com/primo-explore/search?tab=default_tab&amp;search_scope=EVERYTHING&amp;vid=01CRU&amp;lang=en_US&amp;offset=0&amp;query=any,contains,991001250889702656","Catalog Record")</f>
        <v/>
      </c>
      <c r="AV214">
        <f>HYPERLINK("http://www.worldcat.org/oclc/34974268","WorldCat Record")</f>
        <v/>
      </c>
      <c r="AW214" t="inlineStr">
        <is>
          <t>5425039:eng</t>
        </is>
      </c>
      <c r="AX214" t="inlineStr">
        <is>
          <t>34974268</t>
        </is>
      </c>
      <c r="AY214" t="inlineStr">
        <is>
          <t>991001250889702656</t>
        </is>
      </c>
      <c r="AZ214" t="inlineStr">
        <is>
          <t>991001250889702656</t>
        </is>
      </c>
      <c r="BA214" t="inlineStr">
        <is>
          <t>2264719650002656</t>
        </is>
      </c>
      <c r="BB214" t="inlineStr">
        <is>
          <t>BOOK</t>
        </is>
      </c>
      <c r="BD214" t="inlineStr">
        <is>
          <t>9780880488518</t>
        </is>
      </c>
      <c r="BE214" t="inlineStr">
        <is>
          <t>30001003682848</t>
        </is>
      </c>
      <c r="BF214" t="inlineStr">
        <is>
          <t>893834615</t>
        </is>
      </c>
    </row>
    <row r="215">
      <c r="B215" t="inlineStr">
        <is>
          <t>CUHSL</t>
        </is>
      </c>
      <c r="C215" t="inlineStr">
        <is>
          <t>SHELVES</t>
        </is>
      </c>
      <c r="D215" t="inlineStr">
        <is>
          <t>QV 39 P5355 1992</t>
        </is>
      </c>
      <c r="E215" t="inlineStr">
        <is>
          <t>0                      QV 0039000P  5355        1992</t>
        </is>
      </c>
      <c r="F215" t="inlineStr">
        <is>
          <t>Pharmacology / edited by Theoharis C. Theoharides.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N215" t="inlineStr">
        <is>
          <t>Boston: Little, Brown, c1992.</t>
        </is>
      </c>
      <c r="O215" t="inlineStr">
        <is>
          <t>1992</t>
        </is>
      </c>
      <c r="P215" t="inlineStr">
        <is>
          <t>1st ed.</t>
        </is>
      </c>
      <c r="Q215" t="inlineStr">
        <is>
          <t>eng</t>
        </is>
      </c>
      <c r="R215" t="inlineStr">
        <is>
          <t>mau</t>
        </is>
      </c>
      <c r="T215" t="inlineStr">
        <is>
          <t xml:space="preserve">QV </t>
        </is>
      </c>
      <c r="U215" t="n">
        <v>24</v>
      </c>
      <c r="V215" t="n">
        <v>24</v>
      </c>
      <c r="W215" t="inlineStr">
        <is>
          <t>2002-11-26</t>
        </is>
      </c>
      <c r="X215" t="inlineStr">
        <is>
          <t>2002-11-26</t>
        </is>
      </c>
      <c r="Y215" t="inlineStr">
        <is>
          <t>1992-04-28</t>
        </is>
      </c>
      <c r="Z215" t="inlineStr">
        <is>
          <t>1992-04-28</t>
        </is>
      </c>
      <c r="AA215" t="n">
        <v>81</v>
      </c>
      <c r="AB215" t="n">
        <v>50</v>
      </c>
      <c r="AC215" t="n">
        <v>57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HYPERLINK("http://catalog.hathitrust.org/Record/002545340","HathiTrust Record")</f>
        <v/>
      </c>
      <c r="AU215">
        <f>HYPERLINK("https://creighton-primo.hosted.exlibrisgroup.com/primo-explore/search?tab=default_tab&amp;search_scope=EVERYTHING&amp;vid=01CRU&amp;lang=en_US&amp;offset=0&amp;query=any,contains,991001303189702656","Catalog Record")</f>
        <v/>
      </c>
      <c r="AV215">
        <f>HYPERLINK("http://www.worldcat.org/oclc/24793598","WorldCat Record")</f>
        <v/>
      </c>
      <c r="AW215" t="inlineStr">
        <is>
          <t>55525300:eng</t>
        </is>
      </c>
      <c r="AX215" t="inlineStr">
        <is>
          <t>24793598</t>
        </is>
      </c>
      <c r="AY215" t="inlineStr">
        <is>
          <t>991001303189702656</t>
        </is>
      </c>
      <c r="AZ215" t="inlineStr">
        <is>
          <t>991001303189702656</t>
        </is>
      </c>
      <c r="BA215" t="inlineStr">
        <is>
          <t>2258430690002656</t>
        </is>
      </c>
      <c r="BB215" t="inlineStr">
        <is>
          <t>BOOK</t>
        </is>
      </c>
      <c r="BD215" t="inlineStr">
        <is>
          <t>9780316839358</t>
        </is>
      </c>
      <c r="BE215" t="inlineStr">
        <is>
          <t>30001002412676</t>
        </is>
      </c>
      <c r="BF215" t="inlineStr">
        <is>
          <t>893546560</t>
        </is>
      </c>
    </row>
    <row r="216">
      <c r="B216" t="inlineStr">
        <is>
          <t>CUHSL</t>
        </is>
      </c>
      <c r="C216" t="inlineStr">
        <is>
          <t>SHELVES</t>
        </is>
      </c>
      <c r="D216" t="inlineStr">
        <is>
          <t>QV 39 P895 1999</t>
        </is>
      </c>
      <c r="E216" t="inlineStr">
        <is>
          <t>0                      QV 0039000P  895         1999</t>
        </is>
      </c>
      <c r="F216" t="inlineStr">
        <is>
          <t>Practitioner's guide to psychoactive drugs for children and adolescents / edited by John Scott Werry and Michael G. Aman.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N216" t="inlineStr">
        <is>
          <t>New York : Plenum Medical Book Co., c1999.</t>
        </is>
      </c>
      <c r="O216" t="inlineStr">
        <is>
          <t>1999</t>
        </is>
      </c>
      <c r="P216" t="inlineStr">
        <is>
          <t>2nd ed.</t>
        </is>
      </c>
      <c r="Q216" t="inlineStr">
        <is>
          <t>eng</t>
        </is>
      </c>
      <c r="R216" t="inlineStr">
        <is>
          <t>nyu</t>
        </is>
      </c>
      <c r="T216" t="inlineStr">
        <is>
          <t xml:space="preserve">QV </t>
        </is>
      </c>
      <c r="U216" t="n">
        <v>1</v>
      </c>
      <c r="V216" t="n">
        <v>1</v>
      </c>
      <c r="W216" t="inlineStr">
        <is>
          <t>1999-03-22</t>
        </is>
      </c>
      <c r="X216" t="inlineStr">
        <is>
          <t>1999-03-22</t>
        </is>
      </c>
      <c r="Y216" t="inlineStr">
        <is>
          <t>1999-03-19</t>
        </is>
      </c>
      <c r="Z216" t="inlineStr">
        <is>
          <t>1999-03-19</t>
        </is>
      </c>
      <c r="AA216" t="n">
        <v>155</v>
      </c>
      <c r="AB216" t="n">
        <v>126</v>
      </c>
      <c r="AC216" t="n">
        <v>236</v>
      </c>
      <c r="AD216" t="n">
        <v>1</v>
      </c>
      <c r="AE216" t="n">
        <v>1</v>
      </c>
      <c r="AF216" t="n">
        <v>6</v>
      </c>
      <c r="AG216" t="n">
        <v>9</v>
      </c>
      <c r="AH216" t="n">
        <v>3</v>
      </c>
      <c r="AI216" t="n">
        <v>6</v>
      </c>
      <c r="AJ216" t="n">
        <v>0</v>
      </c>
      <c r="AK216" t="n">
        <v>0</v>
      </c>
      <c r="AL216" t="n">
        <v>4</v>
      </c>
      <c r="AM216" t="n">
        <v>6</v>
      </c>
      <c r="AN216" t="n">
        <v>0</v>
      </c>
      <c r="AO216" t="n">
        <v>0</v>
      </c>
      <c r="AP216" t="n">
        <v>0</v>
      </c>
      <c r="AQ216" t="n">
        <v>0</v>
      </c>
      <c r="AR216" t="inlineStr">
        <is>
          <t>No</t>
        </is>
      </c>
      <c r="AS216" t="inlineStr">
        <is>
          <t>No</t>
        </is>
      </c>
      <c r="AU216">
        <f>HYPERLINK("https://creighton-primo.hosted.exlibrisgroup.com/primo-explore/search?tab=default_tab&amp;search_scope=EVERYTHING&amp;vid=01CRU&amp;lang=en_US&amp;offset=0&amp;query=any,contains,991001420489702656","Catalog Record")</f>
        <v/>
      </c>
      <c r="AV216">
        <f>HYPERLINK("http://www.worldcat.org/oclc/39465437","WorldCat Record")</f>
        <v/>
      </c>
      <c r="AW216" t="inlineStr">
        <is>
          <t>350339919:eng</t>
        </is>
      </c>
      <c r="AX216" t="inlineStr">
        <is>
          <t>39465437</t>
        </is>
      </c>
      <c r="AY216" t="inlineStr">
        <is>
          <t>991001420489702656</t>
        </is>
      </c>
      <c r="AZ216" t="inlineStr">
        <is>
          <t>991001420489702656</t>
        </is>
      </c>
      <c r="BA216" t="inlineStr">
        <is>
          <t>2267309750002656</t>
        </is>
      </c>
      <c r="BB216" t="inlineStr">
        <is>
          <t>BOOK</t>
        </is>
      </c>
      <c r="BD216" t="inlineStr">
        <is>
          <t>9780306458859</t>
        </is>
      </c>
      <c r="BE216" t="inlineStr">
        <is>
          <t>30001003854132</t>
        </is>
      </c>
      <c r="BF216" t="inlineStr">
        <is>
          <t>893736563</t>
        </is>
      </c>
    </row>
    <row r="217">
      <c r="B217" t="inlineStr">
        <is>
          <t>CUHSL</t>
        </is>
      </c>
      <c r="C217" t="inlineStr">
        <is>
          <t>SHELVES</t>
        </is>
      </c>
      <c r="D217" t="inlineStr">
        <is>
          <t>QV39 R612h 2004</t>
        </is>
      </c>
      <c r="E217" t="inlineStr">
        <is>
          <t>0                      QV 0039000R  612h        2004</t>
        </is>
      </c>
      <c r="F217" t="inlineStr">
        <is>
          <t>Handbook of basic pharmacokinetics-- including clinical applications / Wolfgang A. Ritschel, Gregory L. Kearns.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Yes</t>
        </is>
      </c>
      <c r="L217" t="inlineStr">
        <is>
          <t>0</t>
        </is>
      </c>
      <c r="M217" t="inlineStr">
        <is>
          <t>Ritschel, W. A. (Wolfgang A.)</t>
        </is>
      </c>
      <c r="N217" t="inlineStr">
        <is>
          <t>Washington, D.C. : American Pharmacists Association, c2004.</t>
        </is>
      </c>
      <c r="O217" t="inlineStr">
        <is>
          <t>2004</t>
        </is>
      </c>
      <c r="P217" t="inlineStr">
        <is>
          <t>6th ed.</t>
        </is>
      </c>
      <c r="Q217" t="inlineStr">
        <is>
          <t>eng</t>
        </is>
      </c>
      <c r="R217" t="inlineStr">
        <is>
          <t>dcu</t>
        </is>
      </c>
      <c r="T217" t="inlineStr">
        <is>
          <t xml:space="preserve">QV </t>
        </is>
      </c>
      <c r="U217" t="n">
        <v>4</v>
      </c>
      <c r="V217" t="n">
        <v>4</v>
      </c>
      <c r="W217" t="inlineStr">
        <is>
          <t>2004-11-02</t>
        </is>
      </c>
      <c r="X217" t="inlineStr">
        <is>
          <t>2004-11-02</t>
        </is>
      </c>
      <c r="Y217" t="inlineStr">
        <is>
          <t>2004-11-01</t>
        </is>
      </c>
      <c r="Z217" t="inlineStr">
        <is>
          <t>2004-11-01</t>
        </is>
      </c>
      <c r="AA217" t="n">
        <v>177</v>
      </c>
      <c r="AB217" t="n">
        <v>117</v>
      </c>
      <c r="AC217" t="n">
        <v>264</v>
      </c>
      <c r="AD217" t="n">
        <v>2</v>
      </c>
      <c r="AE217" t="n">
        <v>2</v>
      </c>
      <c r="AF217" t="n">
        <v>6</v>
      </c>
      <c r="AG217" t="n">
        <v>12</v>
      </c>
      <c r="AH217" t="n">
        <v>3</v>
      </c>
      <c r="AI217" t="n">
        <v>8</v>
      </c>
      <c r="AJ217" t="n">
        <v>2</v>
      </c>
      <c r="AK217" t="n">
        <v>3</v>
      </c>
      <c r="AL217" t="n">
        <v>1</v>
      </c>
      <c r="AM217" t="n">
        <v>3</v>
      </c>
      <c r="AN217" t="n">
        <v>1</v>
      </c>
      <c r="AO217" t="n">
        <v>1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HYPERLINK("http://catalog.hathitrust.org/Record/004734769","HathiTrust Record")</f>
        <v/>
      </c>
      <c r="AU217">
        <f>HYPERLINK("https://creighton-primo.hosted.exlibrisgroup.com/primo-explore/search?tab=default_tab&amp;search_scope=EVERYTHING&amp;vid=01CRU&amp;lang=en_US&amp;offset=0&amp;query=any,contains,991000405709702656","Catalog Record")</f>
        <v/>
      </c>
      <c r="AV217">
        <f>HYPERLINK("http://www.worldcat.org/oclc/53896589","WorldCat Record")</f>
        <v/>
      </c>
      <c r="AW217" t="inlineStr">
        <is>
          <t>945350:eng</t>
        </is>
      </c>
      <c r="AX217" t="inlineStr">
        <is>
          <t>53896589</t>
        </is>
      </c>
      <c r="AY217" t="inlineStr">
        <is>
          <t>991000405709702656</t>
        </is>
      </c>
      <c r="AZ217" t="inlineStr">
        <is>
          <t>991000405709702656</t>
        </is>
      </c>
      <c r="BA217" t="inlineStr">
        <is>
          <t>2272759880002656</t>
        </is>
      </c>
      <c r="BB217" t="inlineStr">
        <is>
          <t>BOOK</t>
        </is>
      </c>
      <c r="BD217" t="inlineStr">
        <is>
          <t>9781582120546</t>
        </is>
      </c>
      <c r="BE217" t="inlineStr">
        <is>
          <t>30001004924355</t>
        </is>
      </c>
      <c r="BF217" t="inlineStr">
        <is>
          <t>893811463</t>
        </is>
      </c>
    </row>
    <row r="218">
      <c r="B218" t="inlineStr">
        <is>
          <t>CUHSL</t>
        </is>
      </c>
      <c r="C218" t="inlineStr">
        <is>
          <t>SHELVES</t>
        </is>
      </c>
      <c r="D218" t="inlineStr">
        <is>
          <t>QV 39 S528g 1992</t>
        </is>
      </c>
      <c r="E218" t="inlineStr">
        <is>
          <t>0                      QV 0039000S  528g        1992</t>
        </is>
      </c>
      <c r="F218" t="inlineStr">
        <is>
          <t>Govoni &amp; Hayes drugs and nursing implications / Margaret T. Shannon, Billie Ann Wilson, with Carolyn L. Stang.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M218" t="inlineStr">
        <is>
          <t>Shannon, Margaret T.</t>
        </is>
      </c>
      <c r="N218" t="inlineStr">
        <is>
          <t>Norwalk, CT : Appleton &amp; Lange, c1992.</t>
        </is>
      </c>
      <c r="O218" t="inlineStr">
        <is>
          <t>1992</t>
        </is>
      </c>
      <c r="P218" t="inlineStr">
        <is>
          <t>7th ed.</t>
        </is>
      </c>
      <c r="Q218" t="inlineStr">
        <is>
          <t>eng</t>
        </is>
      </c>
      <c r="R218" t="inlineStr">
        <is>
          <t>ctu</t>
        </is>
      </c>
      <c r="T218" t="inlineStr">
        <is>
          <t xml:space="preserve">QV </t>
        </is>
      </c>
      <c r="U218" t="n">
        <v>12</v>
      </c>
      <c r="V218" t="n">
        <v>12</v>
      </c>
      <c r="W218" t="inlineStr">
        <is>
          <t>2001-02-26</t>
        </is>
      </c>
      <c r="X218" t="inlineStr">
        <is>
          <t>2001-02-26</t>
        </is>
      </c>
      <c r="Y218" t="inlineStr">
        <is>
          <t>1992-05-29</t>
        </is>
      </c>
      <c r="Z218" t="inlineStr">
        <is>
          <t>1992-05-29</t>
        </is>
      </c>
      <c r="AA218" t="n">
        <v>270</v>
      </c>
      <c r="AB218" t="n">
        <v>229</v>
      </c>
      <c r="AC218" t="n">
        <v>380</v>
      </c>
      <c r="AD218" t="n">
        <v>2</v>
      </c>
      <c r="AE218" t="n">
        <v>3</v>
      </c>
      <c r="AF218" t="n">
        <v>3</v>
      </c>
      <c r="AG218" t="n">
        <v>6</v>
      </c>
      <c r="AH218" t="n">
        <v>1</v>
      </c>
      <c r="AI218" t="n">
        <v>1</v>
      </c>
      <c r="AJ218" t="n">
        <v>1</v>
      </c>
      <c r="AK218" t="n">
        <v>2</v>
      </c>
      <c r="AL218" t="n">
        <v>2</v>
      </c>
      <c r="AM218" t="n">
        <v>4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HYPERLINK("http://catalog.hathitrust.org/Record/002557735","HathiTrust Record")</f>
        <v/>
      </c>
      <c r="AU218">
        <f>HYPERLINK("https://creighton-primo.hosted.exlibrisgroup.com/primo-explore/search?tab=default_tab&amp;search_scope=EVERYTHING&amp;vid=01CRU&amp;lang=en_US&amp;offset=0&amp;query=any,contains,991001304939702656","Catalog Record")</f>
        <v/>
      </c>
      <c r="AV218">
        <f>HYPERLINK("http://www.worldcat.org/oclc/25594272","WorldCat Record")</f>
        <v/>
      </c>
      <c r="AW218" t="inlineStr">
        <is>
          <t>28374030:eng</t>
        </is>
      </c>
      <c r="AX218" t="inlineStr">
        <is>
          <t>25594272</t>
        </is>
      </c>
      <c r="AY218" t="inlineStr">
        <is>
          <t>991001304939702656</t>
        </is>
      </c>
      <c r="AZ218" t="inlineStr">
        <is>
          <t>991001304939702656</t>
        </is>
      </c>
      <c r="BA218" t="inlineStr">
        <is>
          <t>2259844620002656</t>
        </is>
      </c>
      <c r="BB218" t="inlineStr">
        <is>
          <t>BOOK</t>
        </is>
      </c>
      <c r="BE218" t="inlineStr">
        <is>
          <t>30001002413393</t>
        </is>
      </c>
      <c r="BF218" t="inlineStr">
        <is>
          <t>893740980</t>
        </is>
      </c>
    </row>
    <row r="219">
      <c r="B219" t="inlineStr">
        <is>
          <t>CUHSL</t>
        </is>
      </c>
      <c r="C219" t="inlineStr">
        <is>
          <t>SHELVES</t>
        </is>
      </c>
      <c r="D219" t="inlineStr">
        <is>
          <t>QV39 S872h 2006</t>
        </is>
      </c>
      <c r="E219" t="inlineStr">
        <is>
          <t>0                      QV 0039000S  872h        2006</t>
        </is>
      </c>
      <c r="F219" t="inlineStr">
        <is>
          <t>Handbook of pharmacology &amp; physiology in anesthetic practice / by Robert K. Stoelting, Simon C. Hillier.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M219" t="inlineStr">
        <is>
          <t>Stoelting, Robert K.</t>
        </is>
      </c>
      <c r="N219" t="inlineStr">
        <is>
          <t>Philadelphia : Lippincott Williams &amp; Wilkins, c2006.</t>
        </is>
      </c>
      <c r="O219" t="inlineStr">
        <is>
          <t>2006</t>
        </is>
      </c>
      <c r="P219" t="inlineStr">
        <is>
          <t>2nd ed.</t>
        </is>
      </c>
      <c r="Q219" t="inlineStr">
        <is>
          <t>eng</t>
        </is>
      </c>
      <c r="R219" t="inlineStr">
        <is>
          <t>pau</t>
        </is>
      </c>
      <c r="T219" t="inlineStr">
        <is>
          <t xml:space="preserve">QV </t>
        </is>
      </c>
      <c r="U219" t="n">
        <v>0</v>
      </c>
      <c r="V219" t="n">
        <v>0</v>
      </c>
      <c r="W219" t="inlineStr">
        <is>
          <t>2006-11-01</t>
        </is>
      </c>
      <c r="X219" t="inlineStr">
        <is>
          <t>2006-11-01</t>
        </is>
      </c>
      <c r="Y219" t="inlineStr">
        <is>
          <t>2006-10-27</t>
        </is>
      </c>
      <c r="Z219" t="inlineStr">
        <is>
          <t>2006-10-27</t>
        </is>
      </c>
      <c r="AA219" t="n">
        <v>92</v>
      </c>
      <c r="AB219" t="n">
        <v>51</v>
      </c>
      <c r="AC219" t="n">
        <v>477</v>
      </c>
      <c r="AD219" t="n">
        <v>1</v>
      </c>
      <c r="AE219" t="n">
        <v>5</v>
      </c>
      <c r="AF219" t="n">
        <v>2</v>
      </c>
      <c r="AG219" t="n">
        <v>24</v>
      </c>
      <c r="AH219" t="n">
        <v>1</v>
      </c>
      <c r="AI219" t="n">
        <v>8</v>
      </c>
      <c r="AJ219" t="n">
        <v>0</v>
      </c>
      <c r="AK219" t="n">
        <v>7</v>
      </c>
      <c r="AL219" t="n">
        <v>1</v>
      </c>
      <c r="AM219" t="n">
        <v>7</v>
      </c>
      <c r="AN219" t="n">
        <v>0</v>
      </c>
      <c r="AO219" t="n">
        <v>4</v>
      </c>
      <c r="AP219" t="n">
        <v>0</v>
      </c>
      <c r="AQ219" t="n">
        <v>1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HYPERLINK("https://creighton-primo.hosted.exlibrisgroup.com/primo-explore/search?tab=default_tab&amp;search_scope=EVERYTHING&amp;vid=01CRU&amp;lang=en_US&amp;offset=0&amp;query=any,contains,991000561529702656","Catalog Record")</f>
        <v/>
      </c>
      <c r="AV219">
        <f>HYPERLINK("http://www.worldcat.org/oclc/60697124","WorldCat Record")</f>
        <v/>
      </c>
      <c r="AW219" t="inlineStr">
        <is>
          <t>3902102613:eng</t>
        </is>
      </c>
      <c r="AX219" t="inlineStr">
        <is>
          <t>60697124</t>
        </is>
      </c>
      <c r="AY219" t="inlineStr">
        <is>
          <t>991000561529702656</t>
        </is>
      </c>
      <c r="AZ219" t="inlineStr">
        <is>
          <t>991000561529702656</t>
        </is>
      </c>
      <c r="BA219" t="inlineStr">
        <is>
          <t>2269729530002656</t>
        </is>
      </c>
      <c r="BB219" t="inlineStr">
        <is>
          <t>BOOK</t>
        </is>
      </c>
      <c r="BD219" t="inlineStr">
        <is>
          <t>9780781757850</t>
        </is>
      </c>
      <c r="BE219" t="inlineStr">
        <is>
          <t>30001005176849</t>
        </is>
      </c>
      <c r="BF219" t="inlineStr">
        <is>
          <t>893550300</t>
        </is>
      </c>
    </row>
    <row r="220">
      <c r="B220" t="inlineStr">
        <is>
          <t>CUHSL</t>
        </is>
      </c>
      <c r="C220" t="inlineStr">
        <is>
          <t>SHELVES</t>
        </is>
      </c>
      <c r="D220" t="inlineStr">
        <is>
          <t>QV 39 T749d 1990</t>
        </is>
      </c>
      <c r="E220" t="inlineStr">
        <is>
          <t>0                      QV 0039000T  749d        1990</t>
        </is>
      </c>
      <c r="F220" t="inlineStr">
        <is>
          <t>Drug guide for psychiatric nursing / Mary C. Townsend, in consultation with Virginia Farley French.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M220" t="inlineStr">
        <is>
          <t>Townsend, Mary C., 1941-</t>
        </is>
      </c>
      <c r="N220" t="inlineStr">
        <is>
          <t>Philadelphia : F.A. Davis Co., c1990.</t>
        </is>
      </c>
      <c r="O220" t="inlineStr">
        <is>
          <t>1990</t>
        </is>
      </c>
      <c r="Q220" t="inlineStr">
        <is>
          <t>eng</t>
        </is>
      </c>
      <c r="R220" t="inlineStr">
        <is>
          <t>xxu</t>
        </is>
      </c>
      <c r="T220" t="inlineStr">
        <is>
          <t xml:space="preserve">QV </t>
        </is>
      </c>
      <c r="U220" t="n">
        <v>12</v>
      </c>
      <c r="V220" t="n">
        <v>12</v>
      </c>
      <c r="W220" t="inlineStr">
        <is>
          <t>2005-12-01</t>
        </is>
      </c>
      <c r="X220" t="inlineStr">
        <is>
          <t>2005-12-01</t>
        </is>
      </c>
      <c r="Y220" t="inlineStr">
        <is>
          <t>1990-08-07</t>
        </is>
      </c>
      <c r="Z220" t="inlineStr">
        <is>
          <t>1990-08-07</t>
        </is>
      </c>
      <c r="AA220" t="n">
        <v>175</v>
      </c>
      <c r="AB220" t="n">
        <v>144</v>
      </c>
      <c r="AC220" t="n">
        <v>201</v>
      </c>
      <c r="AD220" t="n">
        <v>2</v>
      </c>
      <c r="AE220" t="n">
        <v>2</v>
      </c>
      <c r="AF220" t="n">
        <v>4</v>
      </c>
      <c r="AG220" t="n">
        <v>6</v>
      </c>
      <c r="AH220" t="n">
        <v>2</v>
      </c>
      <c r="AI220" t="n">
        <v>3</v>
      </c>
      <c r="AJ220" t="n">
        <v>2</v>
      </c>
      <c r="AK220" t="n">
        <v>2</v>
      </c>
      <c r="AL220" t="n">
        <v>1</v>
      </c>
      <c r="AM220" t="n">
        <v>2</v>
      </c>
      <c r="AN220" t="n">
        <v>0</v>
      </c>
      <c r="AO220" t="n">
        <v>0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HYPERLINK("http://catalog.hathitrust.org/Record/002181034","HathiTrust Record")</f>
        <v/>
      </c>
      <c r="AU220">
        <f>HYPERLINK("https://creighton-primo.hosted.exlibrisgroup.com/primo-explore/search?tab=default_tab&amp;search_scope=EVERYTHING&amp;vid=01CRU&amp;lang=en_US&amp;offset=0&amp;query=any,contains,991001451809702656","Catalog Record")</f>
        <v/>
      </c>
      <c r="AV220">
        <f>HYPERLINK("http://www.worldcat.org/oclc/20823488","WorldCat Record")</f>
        <v/>
      </c>
      <c r="AW220" t="inlineStr">
        <is>
          <t>22382967:eng</t>
        </is>
      </c>
      <c r="AX220" t="inlineStr">
        <is>
          <t>20823488</t>
        </is>
      </c>
      <c r="AY220" t="inlineStr">
        <is>
          <t>991001451809702656</t>
        </is>
      </c>
      <c r="AZ220" t="inlineStr">
        <is>
          <t>991001451809702656</t>
        </is>
      </c>
      <c r="BA220" t="inlineStr">
        <is>
          <t>2263205750002656</t>
        </is>
      </c>
      <c r="BB220" t="inlineStr">
        <is>
          <t>BOOK</t>
        </is>
      </c>
      <c r="BD220" t="inlineStr">
        <is>
          <t>9780803685833</t>
        </is>
      </c>
      <c r="BE220" t="inlineStr">
        <is>
          <t>30001001883307</t>
        </is>
      </c>
      <c r="BF220" t="inlineStr">
        <is>
          <t>893816427</t>
        </is>
      </c>
    </row>
    <row r="221">
      <c r="B221" t="inlineStr">
        <is>
          <t>CUHSL</t>
        </is>
      </c>
      <c r="C221" t="inlineStr">
        <is>
          <t>SHELVES</t>
        </is>
      </c>
      <c r="D221" t="inlineStr">
        <is>
          <t>QV 39 V184d 1996</t>
        </is>
      </c>
      <c r="E221" t="inlineStr">
        <is>
          <t>0                      QV 0039000V  184d        1996</t>
        </is>
      </c>
      <c r="F221" t="inlineStr">
        <is>
          <t>Davis's guide to IV medications / April Hazard Vallerand, Judith Hopfer Deglin.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M221" t="inlineStr">
        <is>
          <t>Vallerand, April Hazard.</t>
        </is>
      </c>
      <c r="N221" t="inlineStr">
        <is>
          <t>Philadelphia : F.A. Davis, c1996.</t>
        </is>
      </c>
      <c r="O221" t="inlineStr">
        <is>
          <t>1996</t>
        </is>
      </c>
      <c r="P221" t="inlineStr">
        <is>
          <t>3rd ed.</t>
        </is>
      </c>
      <c r="Q221" t="inlineStr">
        <is>
          <t>eng</t>
        </is>
      </c>
      <c r="R221" t="inlineStr">
        <is>
          <t>pau</t>
        </is>
      </c>
      <c r="T221" t="inlineStr">
        <is>
          <t xml:space="preserve">QV </t>
        </is>
      </c>
      <c r="U221" t="n">
        <v>6</v>
      </c>
      <c r="V221" t="n">
        <v>6</v>
      </c>
      <c r="W221" t="inlineStr">
        <is>
          <t>2006-09-15</t>
        </is>
      </c>
      <c r="X221" t="inlineStr">
        <is>
          <t>2006-09-15</t>
        </is>
      </c>
      <c r="Y221" t="inlineStr">
        <is>
          <t>1996-06-24</t>
        </is>
      </c>
      <c r="Z221" t="inlineStr">
        <is>
          <t>1996-06-24</t>
        </is>
      </c>
      <c r="AA221" t="n">
        <v>181</v>
      </c>
      <c r="AB221" t="n">
        <v>159</v>
      </c>
      <c r="AC221" t="n">
        <v>242</v>
      </c>
      <c r="AD221" t="n">
        <v>1</v>
      </c>
      <c r="AE221" t="n">
        <v>1</v>
      </c>
      <c r="AF221" t="n">
        <v>3</v>
      </c>
      <c r="AG221" t="n">
        <v>5</v>
      </c>
      <c r="AH221" t="n">
        <v>1</v>
      </c>
      <c r="AI221" t="n">
        <v>1</v>
      </c>
      <c r="AJ221" t="n">
        <v>0</v>
      </c>
      <c r="AK221" t="n">
        <v>0</v>
      </c>
      <c r="AL221" t="n">
        <v>2</v>
      </c>
      <c r="AM221" t="n">
        <v>4</v>
      </c>
      <c r="AN221" t="n">
        <v>0</v>
      </c>
      <c r="AO221" t="n">
        <v>0</v>
      </c>
      <c r="AP221" t="n">
        <v>0</v>
      </c>
      <c r="AQ221" t="n">
        <v>0</v>
      </c>
      <c r="AR221" t="inlineStr">
        <is>
          <t>No</t>
        </is>
      </c>
      <c r="AS221" t="inlineStr">
        <is>
          <t>No</t>
        </is>
      </c>
      <c r="AU221">
        <f>HYPERLINK("https://creighton-primo.hosted.exlibrisgroup.com/primo-explore/search?tab=default_tab&amp;search_scope=EVERYTHING&amp;vid=01CRU&amp;lang=en_US&amp;offset=0&amp;query=any,contains,991000833139702656","Catalog Record")</f>
        <v/>
      </c>
      <c r="AV221">
        <f>HYPERLINK("http://www.worldcat.org/oclc/32970360","WorldCat Record")</f>
        <v/>
      </c>
      <c r="AW221" t="inlineStr">
        <is>
          <t>30313324:eng</t>
        </is>
      </c>
      <c r="AX221" t="inlineStr">
        <is>
          <t>32970360</t>
        </is>
      </c>
      <c r="AY221" t="inlineStr">
        <is>
          <t>991000833139702656</t>
        </is>
      </c>
      <c r="AZ221" t="inlineStr">
        <is>
          <t>991000833139702656</t>
        </is>
      </c>
      <c r="BA221" t="inlineStr">
        <is>
          <t>2269291660002656</t>
        </is>
      </c>
      <c r="BB221" t="inlineStr">
        <is>
          <t>BOOK</t>
        </is>
      </c>
      <c r="BD221" t="inlineStr">
        <is>
          <t>9780803600928</t>
        </is>
      </c>
      <c r="BE221" t="inlineStr">
        <is>
          <t>30001003440148</t>
        </is>
      </c>
      <c r="BF221" t="inlineStr">
        <is>
          <t>893551804</t>
        </is>
      </c>
    </row>
    <row r="222">
      <c r="B222" t="inlineStr">
        <is>
          <t>CUHSL</t>
        </is>
      </c>
      <c r="C222" t="inlineStr">
        <is>
          <t>SHELVES</t>
        </is>
      </c>
      <c r="D222" t="inlineStr">
        <is>
          <t>QV 39 W746n 2003</t>
        </is>
      </c>
      <c r="E222" t="inlineStr">
        <is>
          <t>0                      QV 0039000W  746n        2003</t>
        </is>
      </c>
      <c r="F222" t="inlineStr">
        <is>
          <t>Nurses drug guide 2003 / Billie Ann Wilson, Margaret T. Shannon, Carolyn L. Stang.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M222" t="inlineStr">
        <is>
          <t>Wilson, Billie Ann.</t>
        </is>
      </c>
      <c r="N222" t="inlineStr">
        <is>
          <t>Upper Saddle River, N.J. : Prentice Hall, c2003.</t>
        </is>
      </c>
      <c r="O222" t="inlineStr">
        <is>
          <t>2003</t>
        </is>
      </c>
      <c r="Q222" t="inlineStr">
        <is>
          <t>eng</t>
        </is>
      </c>
      <c r="R222" t="inlineStr">
        <is>
          <t>nyu</t>
        </is>
      </c>
      <c r="T222" t="inlineStr">
        <is>
          <t xml:space="preserve">QV </t>
        </is>
      </c>
      <c r="U222" t="n">
        <v>0</v>
      </c>
      <c r="V222" t="n">
        <v>0</v>
      </c>
      <c r="W222" t="inlineStr">
        <is>
          <t>2006-09-03</t>
        </is>
      </c>
      <c r="X222" t="inlineStr">
        <is>
          <t>2006-09-03</t>
        </is>
      </c>
      <c r="Y222" t="inlineStr">
        <is>
          <t>2006-08-28</t>
        </is>
      </c>
      <c r="Z222" t="inlineStr">
        <is>
          <t>2006-08-28</t>
        </is>
      </c>
      <c r="AA222" t="n">
        <v>27</v>
      </c>
      <c r="AB222" t="n">
        <v>27</v>
      </c>
      <c r="AC222" t="n">
        <v>27</v>
      </c>
      <c r="AD222" t="n">
        <v>1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inlineStr">
        <is>
          <t>No</t>
        </is>
      </c>
      <c r="AS222" t="inlineStr">
        <is>
          <t>No</t>
        </is>
      </c>
      <c r="AU222">
        <f>HYPERLINK("https://creighton-primo.hosted.exlibrisgroup.com/primo-explore/search?tab=default_tab&amp;search_scope=EVERYTHING&amp;vid=01CRU&amp;lang=en_US&amp;offset=0&amp;query=any,contains,991000531949702656","Catalog Record")</f>
        <v/>
      </c>
      <c r="AV222">
        <f>HYPERLINK("http://www.worldcat.org/oclc/50573710","WorldCat Record")</f>
        <v/>
      </c>
      <c r="AW222" t="inlineStr">
        <is>
          <t>657531:eng</t>
        </is>
      </c>
      <c r="AX222" t="inlineStr">
        <is>
          <t>50573710</t>
        </is>
      </c>
      <c r="AY222" t="inlineStr">
        <is>
          <t>991000531949702656</t>
        </is>
      </c>
      <c r="AZ222" t="inlineStr">
        <is>
          <t>991000531949702656</t>
        </is>
      </c>
      <c r="BA222" t="inlineStr">
        <is>
          <t>2267703700002656</t>
        </is>
      </c>
      <c r="BB222" t="inlineStr">
        <is>
          <t>BOOK</t>
        </is>
      </c>
      <c r="BD222" t="inlineStr">
        <is>
          <t>9780130978721</t>
        </is>
      </c>
      <c r="BE222" t="inlineStr">
        <is>
          <t>30001005120292</t>
        </is>
      </c>
      <c r="BF222" t="inlineStr">
        <is>
          <t>893281814</t>
        </is>
      </c>
    </row>
    <row r="223">
      <c r="B223" t="inlineStr">
        <is>
          <t>CUHSL</t>
        </is>
      </c>
      <c r="C223" t="inlineStr">
        <is>
          <t>SHELVES</t>
        </is>
      </c>
      <c r="D223" t="inlineStr">
        <is>
          <t>QV39 W746n 2007</t>
        </is>
      </c>
      <c r="E223" t="inlineStr">
        <is>
          <t>0                      QV 0039000W  746n        2007</t>
        </is>
      </c>
      <c r="F223" t="inlineStr">
        <is>
          <t>Springhouse nurse's drug guide 2007.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N223" t="inlineStr">
        <is>
          <t>Philadelphia ; London : Lippincott Williams &amp; Wilkins, 2006.</t>
        </is>
      </c>
      <c r="O223" t="inlineStr">
        <is>
          <t>2007</t>
        </is>
      </c>
      <c r="Q223" t="inlineStr">
        <is>
          <t>eng</t>
        </is>
      </c>
      <c r="R223" t="inlineStr">
        <is>
          <t>pau</t>
        </is>
      </c>
      <c r="T223" t="inlineStr">
        <is>
          <t xml:space="preserve">QV </t>
        </is>
      </c>
      <c r="U223" t="n">
        <v>2</v>
      </c>
      <c r="V223" t="n">
        <v>2</v>
      </c>
      <c r="W223" t="inlineStr">
        <is>
          <t>2010-10-20</t>
        </is>
      </c>
      <c r="X223" t="inlineStr">
        <is>
          <t>2010-10-20</t>
        </is>
      </c>
      <c r="Y223" t="inlineStr">
        <is>
          <t>2008-01-24</t>
        </is>
      </c>
      <c r="Z223" t="inlineStr">
        <is>
          <t>2008-01-24</t>
        </is>
      </c>
      <c r="AA223" t="n">
        <v>35</v>
      </c>
      <c r="AB223" t="n">
        <v>28</v>
      </c>
      <c r="AC223" t="n">
        <v>33</v>
      </c>
      <c r="AD223" t="n">
        <v>1</v>
      </c>
      <c r="AE223" t="n">
        <v>1</v>
      </c>
      <c r="AF223" t="n">
        <v>1</v>
      </c>
      <c r="AG223" t="n">
        <v>1</v>
      </c>
      <c r="AH223" t="n">
        <v>0</v>
      </c>
      <c r="AI223" t="n">
        <v>0</v>
      </c>
      <c r="AJ223" t="n">
        <v>0</v>
      </c>
      <c r="AK223" t="n">
        <v>0</v>
      </c>
      <c r="AL223" t="n">
        <v>1</v>
      </c>
      <c r="AM223" t="n">
        <v>1</v>
      </c>
      <c r="AN223" t="n">
        <v>0</v>
      </c>
      <c r="AO223" t="n">
        <v>0</v>
      </c>
      <c r="AP223" t="n">
        <v>0</v>
      </c>
      <c r="AQ223" t="n">
        <v>0</v>
      </c>
      <c r="AR223" t="inlineStr">
        <is>
          <t>No</t>
        </is>
      </c>
      <c r="AS223" t="inlineStr">
        <is>
          <t>No</t>
        </is>
      </c>
      <c r="AU223">
        <f>HYPERLINK("https://creighton-primo.hosted.exlibrisgroup.com/primo-explore/search?tab=default_tab&amp;search_scope=EVERYTHING&amp;vid=01CRU&amp;lang=en_US&amp;offset=0&amp;query=any,contains,991000674239702656","Catalog Record")</f>
        <v/>
      </c>
      <c r="AV223">
        <f>HYPERLINK("http://www.worldcat.org/oclc/67872770","WorldCat Record")</f>
        <v/>
      </c>
      <c r="AW223" t="inlineStr">
        <is>
          <t>3813924649:eng</t>
        </is>
      </c>
      <c r="AX223" t="inlineStr">
        <is>
          <t>67872770</t>
        </is>
      </c>
      <c r="AY223" t="inlineStr">
        <is>
          <t>991000674239702656</t>
        </is>
      </c>
      <c r="AZ223" t="inlineStr">
        <is>
          <t>991000674239702656</t>
        </is>
      </c>
      <c r="BA223" t="inlineStr">
        <is>
          <t>2267060050002656</t>
        </is>
      </c>
      <c r="BB223" t="inlineStr">
        <is>
          <t>BOOK</t>
        </is>
      </c>
      <c r="BD223" t="inlineStr">
        <is>
          <t>9781582559322</t>
        </is>
      </c>
      <c r="BE223" t="inlineStr">
        <is>
          <t>30001005169901</t>
        </is>
      </c>
      <c r="BF223" t="inlineStr">
        <is>
          <t>893730935</t>
        </is>
      </c>
    </row>
    <row r="224">
      <c r="B224" t="inlineStr">
        <is>
          <t>CUHSL</t>
        </is>
      </c>
      <c r="C224" t="inlineStr">
        <is>
          <t>SHELVES</t>
        </is>
      </c>
      <c r="D224" t="inlineStr">
        <is>
          <t>QV50 A191 2000</t>
        </is>
      </c>
      <c r="E224" t="inlineStr">
        <is>
          <t>0                      QV 0050000A  191         2000</t>
        </is>
      </c>
      <c r="F224" t="inlineStr">
        <is>
          <t>ADA guide to dental therapeutics.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N224" t="inlineStr">
        <is>
          <t>Chicago, Ill. : ADA Pub., c2000.</t>
        </is>
      </c>
      <c r="O224" t="inlineStr">
        <is>
          <t>2000</t>
        </is>
      </c>
      <c r="P224" t="inlineStr">
        <is>
          <t>2nd ed.</t>
        </is>
      </c>
      <c r="Q224" t="inlineStr">
        <is>
          <t>eng</t>
        </is>
      </c>
      <c r="R224" t="inlineStr">
        <is>
          <t>ilu</t>
        </is>
      </c>
      <c r="T224" t="inlineStr">
        <is>
          <t xml:space="preserve">QV </t>
        </is>
      </c>
      <c r="U224" t="n">
        <v>7</v>
      </c>
      <c r="V224" t="n">
        <v>7</v>
      </c>
      <c r="W224" t="inlineStr">
        <is>
          <t>2005-04-06</t>
        </is>
      </c>
      <c r="X224" t="inlineStr">
        <is>
          <t>2005-04-06</t>
        </is>
      </c>
      <c r="Y224" t="inlineStr">
        <is>
          <t>2002-04-15</t>
        </is>
      </c>
      <c r="Z224" t="inlineStr">
        <is>
          <t>2002-04-15</t>
        </is>
      </c>
      <c r="AA224" t="n">
        <v>45</v>
      </c>
      <c r="AB224" t="n">
        <v>39</v>
      </c>
      <c r="AC224" t="n">
        <v>93</v>
      </c>
      <c r="AD224" t="n">
        <v>2</v>
      </c>
      <c r="AE224" t="n">
        <v>2</v>
      </c>
      <c r="AF224" t="n">
        <v>3</v>
      </c>
      <c r="AG224" t="n">
        <v>4</v>
      </c>
      <c r="AH224" t="n">
        <v>0</v>
      </c>
      <c r="AI224" t="n">
        <v>0</v>
      </c>
      <c r="AJ224" t="n">
        <v>1</v>
      </c>
      <c r="AK224" t="n">
        <v>2</v>
      </c>
      <c r="AL224" t="n">
        <v>2</v>
      </c>
      <c r="AM224" t="n">
        <v>2</v>
      </c>
      <c r="AN224" t="n">
        <v>1</v>
      </c>
      <c r="AO224" t="n">
        <v>1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HYPERLINK("http://catalog.hathitrust.org/Record/004141319","HathiTrust Record")</f>
        <v/>
      </c>
      <c r="AU224">
        <f>HYPERLINK("https://creighton-primo.hosted.exlibrisgroup.com/primo-explore/search?tab=default_tab&amp;search_scope=EVERYTHING&amp;vid=01CRU&amp;lang=en_US&amp;offset=0&amp;query=any,contains,991000307669702656","Catalog Record")</f>
        <v/>
      </c>
      <c r="AV224">
        <f>HYPERLINK("http://www.worldcat.org/oclc/45076423","WorldCat Record")</f>
        <v/>
      </c>
      <c r="AW224" t="inlineStr">
        <is>
          <t>56282610:eng</t>
        </is>
      </c>
      <c r="AX224" t="inlineStr">
        <is>
          <t>45076423</t>
        </is>
      </c>
      <c r="AY224" t="inlineStr">
        <is>
          <t>991000307669702656</t>
        </is>
      </c>
      <c r="AZ224" t="inlineStr">
        <is>
          <t>991000307669702656</t>
        </is>
      </c>
      <c r="BA224" t="inlineStr">
        <is>
          <t>2272320860002656</t>
        </is>
      </c>
      <c r="BB224" t="inlineStr">
        <is>
          <t>BOOK</t>
        </is>
      </c>
      <c r="BD224" t="inlineStr">
        <is>
          <t>9781891748011</t>
        </is>
      </c>
      <c r="BE224" t="inlineStr">
        <is>
          <t>30001004237220</t>
        </is>
      </c>
      <c r="BF224" t="inlineStr">
        <is>
          <t>893732726</t>
        </is>
      </c>
    </row>
    <row r="225">
      <c r="B225" t="inlineStr">
        <is>
          <t>CUHSL</t>
        </is>
      </c>
      <c r="C225" t="inlineStr">
        <is>
          <t>SHELVES</t>
        </is>
      </c>
      <c r="D225" t="inlineStr">
        <is>
          <t>QV 50 B261d 1990</t>
        </is>
      </c>
      <c r="E225" t="inlineStr">
        <is>
          <t>0                      QV 0050000B  261d        1990</t>
        </is>
      </c>
      <c r="F225" t="inlineStr">
        <is>
          <t>Drug dosage in laboratory animals : a handbook / R.E. Borchard, C.D. Barnes, L.G. Eltherington.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Borchard, Ronald E.</t>
        </is>
      </c>
      <c r="N225" t="inlineStr">
        <is>
          <t>Caldwell, N.J. : Telford Press, 1991 printing, c1990.</t>
        </is>
      </c>
      <c r="O225" t="inlineStr">
        <is>
          <t>1990</t>
        </is>
      </c>
      <c r="P225" t="inlineStr">
        <is>
          <t>3rd ed. rev. and enl.</t>
        </is>
      </c>
      <c r="Q225" t="inlineStr">
        <is>
          <t>eng</t>
        </is>
      </c>
      <c r="R225" t="inlineStr">
        <is>
          <t>nju</t>
        </is>
      </c>
      <c r="T225" t="inlineStr">
        <is>
          <t xml:space="preserve">QV </t>
        </is>
      </c>
      <c r="U225" t="n">
        <v>6</v>
      </c>
      <c r="V225" t="n">
        <v>6</v>
      </c>
      <c r="W225" t="inlineStr">
        <is>
          <t>2004-08-10</t>
        </is>
      </c>
      <c r="X225" t="inlineStr">
        <is>
          <t>2004-08-10</t>
        </is>
      </c>
      <c r="Y225" t="inlineStr">
        <is>
          <t>1991-12-03</t>
        </is>
      </c>
      <c r="Z225" t="inlineStr">
        <is>
          <t>1991-12-03</t>
        </is>
      </c>
      <c r="AA225" t="n">
        <v>230</v>
      </c>
      <c r="AB225" t="n">
        <v>194</v>
      </c>
      <c r="AC225" t="n">
        <v>207</v>
      </c>
      <c r="AD225" t="n">
        <v>3</v>
      </c>
      <c r="AE225" t="n">
        <v>3</v>
      </c>
      <c r="AF225" t="n">
        <v>7</v>
      </c>
      <c r="AG225" t="n">
        <v>7</v>
      </c>
      <c r="AH225" t="n">
        <v>1</v>
      </c>
      <c r="AI225" t="n">
        <v>1</v>
      </c>
      <c r="AJ225" t="n">
        <v>3</v>
      </c>
      <c r="AK225" t="n">
        <v>3</v>
      </c>
      <c r="AL225" t="n">
        <v>3</v>
      </c>
      <c r="AM225" t="n">
        <v>3</v>
      </c>
      <c r="AN225" t="n">
        <v>2</v>
      </c>
      <c r="AO225" t="n">
        <v>2</v>
      </c>
      <c r="AP225" t="n">
        <v>0</v>
      </c>
      <c r="AQ225" t="n">
        <v>0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HYPERLINK("http://catalog.hathitrust.org/Record/001948493","HathiTrust Record")</f>
        <v/>
      </c>
      <c r="AU225">
        <f>HYPERLINK("https://creighton-primo.hosted.exlibrisgroup.com/primo-explore/search?tab=default_tab&amp;search_scope=EVERYTHING&amp;vid=01CRU&amp;lang=en_US&amp;offset=0&amp;query=any,contains,991001024329702656","Catalog Record")</f>
        <v/>
      </c>
      <c r="AV225">
        <f>HYPERLINK("http://www.worldcat.org/oclc/20490694","WorldCat Record")</f>
        <v/>
      </c>
      <c r="AW225" t="inlineStr">
        <is>
          <t>4918713073:eng</t>
        </is>
      </c>
      <c r="AX225" t="inlineStr">
        <is>
          <t>20490694</t>
        </is>
      </c>
      <c r="AY225" t="inlineStr">
        <is>
          <t>991001024329702656</t>
        </is>
      </c>
      <c r="AZ225" t="inlineStr">
        <is>
          <t>991001024329702656</t>
        </is>
      </c>
      <c r="BA225" t="inlineStr">
        <is>
          <t>2257483680002656</t>
        </is>
      </c>
      <c r="BB225" t="inlineStr">
        <is>
          <t>BOOK</t>
        </is>
      </c>
      <c r="BD225" t="inlineStr">
        <is>
          <t>9780936923192</t>
        </is>
      </c>
      <c r="BE225" t="inlineStr">
        <is>
          <t>30001002242396</t>
        </is>
      </c>
      <c r="BF225" t="inlineStr">
        <is>
          <t>893648838</t>
        </is>
      </c>
    </row>
    <row r="226">
      <c r="B226" t="inlineStr">
        <is>
          <t>CUHSL</t>
        </is>
      </c>
      <c r="C226" t="inlineStr">
        <is>
          <t>SHELVES</t>
        </is>
      </c>
      <c r="D226" t="inlineStr">
        <is>
          <t>QV 50 C383b 1995</t>
        </is>
      </c>
      <c r="E226" t="inlineStr">
        <is>
          <t>0                      QV 0050000C  383b        1995</t>
        </is>
      </c>
      <c r="F226" t="inlineStr">
        <is>
          <t>Basic pharmacology and clinical drug use in dentistry / R.A. Cawson, R.G. Spector, Ann M. Skelly.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M226" t="inlineStr">
        <is>
          <t>Cawson, R. A.</t>
        </is>
      </c>
      <c r="N226" t="inlineStr">
        <is>
          <t>Edinburgh ; New York : Churchill Livingstone, 1995.</t>
        </is>
      </c>
      <c r="O226" t="inlineStr">
        <is>
          <t>1995</t>
        </is>
      </c>
      <c r="P226" t="inlineStr">
        <is>
          <t>6th ed.</t>
        </is>
      </c>
      <c r="Q226" t="inlineStr">
        <is>
          <t>eng</t>
        </is>
      </c>
      <c r="R226" t="inlineStr">
        <is>
          <t>stk</t>
        </is>
      </c>
      <c r="S226" t="inlineStr">
        <is>
          <t>Dental series</t>
        </is>
      </c>
      <c r="T226" t="inlineStr">
        <is>
          <t xml:space="preserve">QV </t>
        </is>
      </c>
      <c r="U226" t="n">
        <v>8</v>
      </c>
      <c r="V226" t="n">
        <v>8</v>
      </c>
      <c r="W226" t="inlineStr">
        <is>
          <t>2005-04-21</t>
        </is>
      </c>
      <c r="X226" t="inlineStr">
        <is>
          <t>2005-04-21</t>
        </is>
      </c>
      <c r="Y226" t="inlineStr">
        <is>
          <t>1998-03-19</t>
        </is>
      </c>
      <c r="Z226" t="inlineStr">
        <is>
          <t>1998-03-19</t>
        </is>
      </c>
      <c r="AA226" t="n">
        <v>93</v>
      </c>
      <c r="AB226" t="n">
        <v>43</v>
      </c>
      <c r="AC226" t="n">
        <v>45</v>
      </c>
      <c r="AD226" t="n">
        <v>2</v>
      </c>
      <c r="AE226" t="n">
        <v>2</v>
      </c>
      <c r="AF226" t="n">
        <v>3</v>
      </c>
      <c r="AG226" t="n">
        <v>3</v>
      </c>
      <c r="AH226" t="n">
        <v>0</v>
      </c>
      <c r="AI226" t="n">
        <v>0</v>
      </c>
      <c r="AJ226" t="n">
        <v>1</v>
      </c>
      <c r="AK226" t="n">
        <v>1</v>
      </c>
      <c r="AL226" t="n">
        <v>2</v>
      </c>
      <c r="AM226" t="n">
        <v>2</v>
      </c>
      <c r="AN226" t="n">
        <v>1</v>
      </c>
      <c r="AO226" t="n">
        <v>1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HYPERLINK("http://catalog.hathitrust.org/Record/002981935","HathiTrust Record")</f>
        <v/>
      </c>
      <c r="AU226">
        <f>HYPERLINK("https://creighton-primo.hosted.exlibrisgroup.com/primo-explore/search?tab=default_tab&amp;search_scope=EVERYTHING&amp;vid=01CRU&amp;lang=en_US&amp;offset=0&amp;query=any,contains,991001271289702656","Catalog Record")</f>
        <v/>
      </c>
      <c r="AV226">
        <f>HYPERLINK("http://www.worldcat.org/oclc/30737804","WorldCat Record")</f>
        <v/>
      </c>
      <c r="AW226" t="inlineStr">
        <is>
          <t>24138742:eng</t>
        </is>
      </c>
      <c r="AX226" t="inlineStr">
        <is>
          <t>30737804</t>
        </is>
      </c>
      <c r="AY226" t="inlineStr">
        <is>
          <t>991001271289702656</t>
        </is>
      </c>
      <c r="AZ226" t="inlineStr">
        <is>
          <t>991001271289702656</t>
        </is>
      </c>
      <c r="BA226" t="inlineStr">
        <is>
          <t>2266612760002656</t>
        </is>
      </c>
      <c r="BB226" t="inlineStr">
        <is>
          <t>BOOK</t>
        </is>
      </c>
      <c r="BD226" t="inlineStr">
        <is>
          <t>9780443051074</t>
        </is>
      </c>
      <c r="BE226" t="inlineStr">
        <is>
          <t>30001003694785</t>
        </is>
      </c>
      <c r="BF226" t="inlineStr">
        <is>
          <t>893643380</t>
        </is>
      </c>
    </row>
    <row r="227">
      <c r="B227" t="inlineStr">
        <is>
          <t>CUHSL</t>
        </is>
      </c>
      <c r="C227" t="inlineStr">
        <is>
          <t>SHELVES</t>
        </is>
      </c>
      <c r="D227" t="inlineStr">
        <is>
          <t>QV 50 C383c 1985</t>
        </is>
      </c>
      <c r="E227" t="inlineStr">
        <is>
          <t>0                      QV 0050000C  383c        1985</t>
        </is>
      </c>
      <c r="F227" t="inlineStr">
        <is>
          <t>Clinical pharmacology in dentistry / R.A. Cawson, R.G. Spector.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M227" t="inlineStr">
        <is>
          <t>Cawson, R. A.</t>
        </is>
      </c>
      <c r="N227" t="inlineStr">
        <is>
          <t>Edinburgh ; New York : Churchill Livingstone, c1985.</t>
        </is>
      </c>
      <c r="O227" t="inlineStr">
        <is>
          <t>1985</t>
        </is>
      </c>
      <c r="P227" t="inlineStr">
        <is>
          <t>4th ed.</t>
        </is>
      </c>
      <c r="Q227" t="inlineStr">
        <is>
          <t>eng</t>
        </is>
      </c>
      <c r="R227" t="inlineStr">
        <is>
          <t>stk</t>
        </is>
      </c>
      <c r="S227" t="inlineStr">
        <is>
          <t>Churchill Livingstone dental series</t>
        </is>
      </c>
      <c r="T227" t="inlineStr">
        <is>
          <t xml:space="preserve">QV </t>
        </is>
      </c>
      <c r="U227" t="n">
        <v>9</v>
      </c>
      <c r="V227" t="n">
        <v>9</v>
      </c>
      <c r="W227" t="inlineStr">
        <is>
          <t>1992-08-31</t>
        </is>
      </c>
      <c r="X227" t="inlineStr">
        <is>
          <t>1992-08-31</t>
        </is>
      </c>
      <c r="Y227" t="inlineStr">
        <is>
          <t>1988-03-23</t>
        </is>
      </c>
      <c r="Z227" t="inlineStr">
        <is>
          <t>1988-03-23</t>
        </is>
      </c>
      <c r="AA227" t="n">
        <v>89</v>
      </c>
      <c r="AB227" t="n">
        <v>41</v>
      </c>
      <c r="AC227" t="n">
        <v>90</v>
      </c>
      <c r="AD227" t="n">
        <v>2</v>
      </c>
      <c r="AE227" t="n">
        <v>2</v>
      </c>
      <c r="AF227" t="n">
        <v>3</v>
      </c>
      <c r="AG227" t="n">
        <v>4</v>
      </c>
      <c r="AH227" t="n">
        <v>0</v>
      </c>
      <c r="AI227" t="n">
        <v>0</v>
      </c>
      <c r="AJ227" t="n">
        <v>1</v>
      </c>
      <c r="AK227" t="n">
        <v>2</v>
      </c>
      <c r="AL227" t="n">
        <v>1</v>
      </c>
      <c r="AM227" t="n">
        <v>2</v>
      </c>
      <c r="AN227" t="n">
        <v>1</v>
      </c>
      <c r="AO227" t="n">
        <v>1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HYPERLINK("http://catalog.hathitrust.org/Record/000421018","HathiTrust Record")</f>
        <v/>
      </c>
      <c r="AU227">
        <f>HYPERLINK("https://creighton-primo.hosted.exlibrisgroup.com/primo-explore/search?tab=default_tab&amp;search_scope=EVERYTHING&amp;vid=01CRU&amp;lang=en_US&amp;offset=0&amp;query=any,contains,991000953209702656","Catalog Record")</f>
        <v/>
      </c>
      <c r="AV227">
        <f>HYPERLINK("http://www.worldcat.org/oclc/10878372","WorldCat Record")</f>
        <v/>
      </c>
      <c r="AW227" t="inlineStr">
        <is>
          <t>2300607:eng</t>
        </is>
      </c>
      <c r="AX227" t="inlineStr">
        <is>
          <t>10878372</t>
        </is>
      </c>
      <c r="AY227" t="inlineStr">
        <is>
          <t>991000953209702656</t>
        </is>
      </c>
      <c r="AZ227" t="inlineStr">
        <is>
          <t>991000953209702656</t>
        </is>
      </c>
      <c r="BA227" t="inlineStr">
        <is>
          <t>2271425500002656</t>
        </is>
      </c>
      <c r="BB227" t="inlineStr">
        <is>
          <t>BOOK</t>
        </is>
      </c>
      <c r="BD227" t="inlineStr">
        <is>
          <t>9780044332794</t>
        </is>
      </c>
      <c r="BE227" t="inlineStr">
        <is>
          <t>30001000192700</t>
        </is>
      </c>
      <c r="BF227" t="inlineStr">
        <is>
          <t>893560787</t>
        </is>
      </c>
    </row>
    <row r="228">
      <c r="B228" t="inlineStr">
        <is>
          <t>CUHSL</t>
        </is>
      </c>
      <c r="C228" t="inlineStr">
        <is>
          <t>SHELVES</t>
        </is>
      </c>
      <c r="D228" t="inlineStr">
        <is>
          <t>QV 50 C42c 2008</t>
        </is>
      </c>
      <c r="E228" t="inlineStr">
        <is>
          <t>0                      QV 0050000C  42c         2008</t>
        </is>
      </c>
      <c r="F228" t="inlineStr">
        <is>
          <t>Clinician's guide : pharmacology in dental medicine / Jeffrey M. Casiglia, Peter L. Jacobsen.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Casiglia, Jeffrey M.</t>
        </is>
      </c>
      <c r="N228" t="inlineStr">
        <is>
          <t>Hamilton, Ontario : B. C. Decker, 2008.</t>
        </is>
      </c>
      <c r="O228" t="inlineStr">
        <is>
          <t>2008</t>
        </is>
      </c>
      <c r="Q228" t="inlineStr">
        <is>
          <t>eng</t>
        </is>
      </c>
      <c r="R228" t="inlineStr">
        <is>
          <t>onc</t>
        </is>
      </c>
      <c r="S228" t="inlineStr">
        <is>
          <t>Clinicians' guides</t>
        </is>
      </c>
      <c r="T228" t="inlineStr">
        <is>
          <t xml:space="preserve">QV </t>
        </is>
      </c>
      <c r="U228" t="n">
        <v>0</v>
      </c>
      <c r="V228" t="n">
        <v>0</v>
      </c>
      <c r="W228" t="inlineStr">
        <is>
          <t>2008-09-10</t>
        </is>
      </c>
      <c r="X228" t="inlineStr">
        <is>
          <t>2008-09-10</t>
        </is>
      </c>
      <c r="Y228" t="inlineStr">
        <is>
          <t>2008-09-08</t>
        </is>
      </c>
      <c r="Z228" t="inlineStr">
        <is>
          <t>2008-09-08</t>
        </is>
      </c>
      <c r="AA228" t="n">
        <v>43</v>
      </c>
      <c r="AB228" t="n">
        <v>25</v>
      </c>
      <c r="AC228" t="n">
        <v>38</v>
      </c>
      <c r="AD228" t="n">
        <v>1</v>
      </c>
      <c r="AE228" t="n">
        <v>1</v>
      </c>
      <c r="AF228" t="n">
        <v>2</v>
      </c>
      <c r="AG228" t="n">
        <v>4</v>
      </c>
      <c r="AH228" t="n">
        <v>0</v>
      </c>
      <c r="AI228" t="n">
        <v>0</v>
      </c>
      <c r="AJ228" t="n">
        <v>1</v>
      </c>
      <c r="AK228" t="n">
        <v>3</v>
      </c>
      <c r="AL228" t="n">
        <v>2</v>
      </c>
      <c r="AM228" t="n">
        <v>2</v>
      </c>
      <c r="AN228" t="n">
        <v>0</v>
      </c>
      <c r="AO228" t="n">
        <v>0</v>
      </c>
      <c r="AP228" t="n">
        <v>0</v>
      </c>
      <c r="AQ228" t="n">
        <v>0</v>
      </c>
      <c r="AR228" t="inlineStr">
        <is>
          <t>No</t>
        </is>
      </c>
      <c r="AS228" t="inlineStr">
        <is>
          <t>No</t>
        </is>
      </c>
      <c r="AU228">
        <f>HYPERLINK("https://creighton-primo.hosted.exlibrisgroup.com/primo-explore/search?tab=default_tab&amp;search_scope=EVERYTHING&amp;vid=01CRU&amp;lang=en_US&amp;offset=0&amp;query=any,contains,991000916349702656","Catalog Record")</f>
        <v/>
      </c>
      <c r="AV228">
        <f>HYPERLINK("http://www.worldcat.org/oclc/244814875","WorldCat Record")</f>
        <v/>
      </c>
      <c r="AW228" t="inlineStr">
        <is>
          <t>131547651:eng</t>
        </is>
      </c>
      <c r="AX228" t="inlineStr">
        <is>
          <t>244814875</t>
        </is>
      </c>
      <c r="AY228" t="inlineStr">
        <is>
          <t>991000916349702656</t>
        </is>
      </c>
      <c r="AZ228" t="inlineStr">
        <is>
          <t>991000916349702656</t>
        </is>
      </c>
      <c r="BA228" t="inlineStr">
        <is>
          <t>2264955930002656</t>
        </is>
      </c>
      <c r="BB228" t="inlineStr">
        <is>
          <t>BOOK</t>
        </is>
      </c>
      <c r="BD228" t="inlineStr">
        <is>
          <t>9781550093278</t>
        </is>
      </c>
      <c r="BE228" t="inlineStr">
        <is>
          <t>30001005303773</t>
        </is>
      </c>
      <c r="BF228" t="inlineStr">
        <is>
          <t>893557410</t>
        </is>
      </c>
    </row>
    <row r="229">
      <c r="B229" t="inlineStr">
        <is>
          <t>CUHSL</t>
        </is>
      </c>
      <c r="C229" t="inlineStr">
        <is>
          <t>SHELVES</t>
        </is>
      </c>
      <c r="D229" t="inlineStr">
        <is>
          <t>QV 50 C566c 1984</t>
        </is>
      </c>
      <c r="E229" t="inlineStr">
        <is>
          <t>0                      QV 0050000C  566c        1984</t>
        </is>
      </c>
      <c r="F229" t="inlineStr">
        <is>
          <t>Clinical pharmacology for dental professionals / Sebastian G. Ciancio, Priscilla C. Bourgault.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Ciancio, Sebastian G., 1937-</t>
        </is>
      </c>
      <c r="N229" t="inlineStr">
        <is>
          <t>Littleton, Mass. : PSG Pub. Co., c1984.</t>
        </is>
      </c>
      <c r="O229" t="inlineStr">
        <is>
          <t>1984</t>
        </is>
      </c>
      <c r="P229" t="inlineStr">
        <is>
          <t>2nd ed.</t>
        </is>
      </c>
      <c r="Q229" t="inlineStr">
        <is>
          <t>eng</t>
        </is>
      </c>
      <c r="R229" t="inlineStr">
        <is>
          <t xml:space="preserve">xx </t>
        </is>
      </c>
      <c r="T229" t="inlineStr">
        <is>
          <t xml:space="preserve">QV </t>
        </is>
      </c>
      <c r="U229" t="n">
        <v>21</v>
      </c>
      <c r="V229" t="n">
        <v>21</v>
      </c>
      <c r="W229" t="inlineStr">
        <is>
          <t>1995-12-07</t>
        </is>
      </c>
      <c r="X229" t="inlineStr">
        <is>
          <t>1995-12-07</t>
        </is>
      </c>
      <c r="Y229" t="inlineStr">
        <is>
          <t>1988-02-04</t>
        </is>
      </c>
      <c r="Z229" t="inlineStr">
        <is>
          <t>1988-02-04</t>
        </is>
      </c>
      <c r="AA229" t="n">
        <v>81</v>
      </c>
      <c r="AB229" t="n">
        <v>52</v>
      </c>
      <c r="AC229" t="n">
        <v>108</v>
      </c>
      <c r="AD229" t="n">
        <v>1</v>
      </c>
      <c r="AE229" t="n">
        <v>2</v>
      </c>
      <c r="AF229" t="n">
        <v>1</v>
      </c>
      <c r="AG229" t="n">
        <v>3</v>
      </c>
      <c r="AH229" t="n">
        <v>0</v>
      </c>
      <c r="AI229" t="n">
        <v>0</v>
      </c>
      <c r="AJ229" t="n">
        <v>0</v>
      </c>
      <c r="AK229" t="n">
        <v>1</v>
      </c>
      <c r="AL229" t="n">
        <v>1</v>
      </c>
      <c r="AM229" t="n">
        <v>2</v>
      </c>
      <c r="AN229" t="n">
        <v>0</v>
      </c>
      <c r="AO229" t="n">
        <v>1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HYPERLINK("http://catalog.hathitrust.org/Record/000332966","HathiTrust Record")</f>
        <v/>
      </c>
      <c r="AU229">
        <f>HYPERLINK("https://creighton-primo.hosted.exlibrisgroup.com/primo-explore/search?tab=default_tab&amp;search_scope=EVERYTHING&amp;vid=01CRU&amp;lang=en_US&amp;offset=0&amp;query=any,contains,991000953249702656","Catalog Record")</f>
        <v/>
      </c>
      <c r="AV229">
        <f>HYPERLINK("http://www.worldcat.org/oclc/10752640","WorldCat Record")</f>
        <v/>
      </c>
      <c r="AW229" t="inlineStr">
        <is>
          <t>2893893:eng</t>
        </is>
      </c>
      <c r="AX229" t="inlineStr">
        <is>
          <t>10752640</t>
        </is>
      </c>
      <c r="AY229" t="inlineStr">
        <is>
          <t>991000953249702656</t>
        </is>
      </c>
      <c r="AZ229" t="inlineStr">
        <is>
          <t>991000953249702656</t>
        </is>
      </c>
      <c r="BA229" t="inlineStr">
        <is>
          <t>2263650440002656</t>
        </is>
      </c>
      <c r="BB229" t="inlineStr">
        <is>
          <t>BOOK</t>
        </is>
      </c>
      <c r="BD229" t="inlineStr">
        <is>
          <t>9780884164838</t>
        </is>
      </c>
      <c r="BE229" t="inlineStr">
        <is>
          <t>30001000192734</t>
        </is>
      </c>
      <c r="BF229" t="inlineStr">
        <is>
          <t>893546239</t>
        </is>
      </c>
    </row>
    <row r="230">
      <c r="B230" t="inlineStr">
        <is>
          <t>CUHSL</t>
        </is>
      </c>
      <c r="C230" t="inlineStr">
        <is>
          <t>SHELVES</t>
        </is>
      </c>
      <c r="D230" t="inlineStr">
        <is>
          <t>QV 50 C641 1988</t>
        </is>
      </c>
      <c r="E230" t="inlineStr">
        <is>
          <t>0                      QV 0050000C  641         1988</t>
        </is>
      </c>
      <c r="F230" t="inlineStr">
        <is>
          <t>Clinical pharmacology in dental practice / [edited by] Sam V. Holroyd, Richard L. Wynn, Barbara Requa-Clark.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N230" t="inlineStr">
        <is>
          <t>St. Louis : Mosby, c1988.</t>
        </is>
      </c>
      <c r="O230" t="inlineStr">
        <is>
          <t>1988</t>
        </is>
      </c>
      <c r="P230" t="inlineStr">
        <is>
          <t>4th ed.</t>
        </is>
      </c>
      <c r="Q230" t="inlineStr">
        <is>
          <t>eng</t>
        </is>
      </c>
      <c r="R230" t="inlineStr">
        <is>
          <t>xxu</t>
        </is>
      </c>
      <c r="T230" t="inlineStr">
        <is>
          <t xml:space="preserve">QV </t>
        </is>
      </c>
      <c r="U230" t="n">
        <v>9</v>
      </c>
      <c r="V230" t="n">
        <v>9</v>
      </c>
      <c r="W230" t="inlineStr">
        <is>
          <t>1995-09-07</t>
        </is>
      </c>
      <c r="X230" t="inlineStr">
        <is>
          <t>1995-09-07</t>
        </is>
      </c>
      <c r="Y230" t="inlineStr">
        <is>
          <t>1988-02-17</t>
        </is>
      </c>
      <c r="Z230" t="inlineStr">
        <is>
          <t>1988-02-17</t>
        </is>
      </c>
      <c r="AA230" t="n">
        <v>136</v>
      </c>
      <c r="AB230" t="n">
        <v>89</v>
      </c>
      <c r="AC230" t="n">
        <v>165</v>
      </c>
      <c r="AD230" t="n">
        <v>2</v>
      </c>
      <c r="AE230" t="n">
        <v>2</v>
      </c>
      <c r="AF230" t="n">
        <v>4</v>
      </c>
      <c r="AG230" t="n">
        <v>4</v>
      </c>
      <c r="AH230" t="n">
        <v>0</v>
      </c>
      <c r="AI230" t="n">
        <v>0</v>
      </c>
      <c r="AJ230" t="n">
        <v>2</v>
      </c>
      <c r="AK230" t="n">
        <v>2</v>
      </c>
      <c r="AL230" t="n">
        <v>2</v>
      </c>
      <c r="AM230" t="n">
        <v>2</v>
      </c>
      <c r="AN230" t="n">
        <v>1</v>
      </c>
      <c r="AO230" t="n">
        <v>1</v>
      </c>
      <c r="AP230" t="n">
        <v>0</v>
      </c>
      <c r="AQ230" t="n">
        <v>0</v>
      </c>
      <c r="AR230" t="inlineStr">
        <is>
          <t>No</t>
        </is>
      </c>
      <c r="AS230" t="inlineStr">
        <is>
          <t>Yes</t>
        </is>
      </c>
      <c r="AT230">
        <f>HYPERLINK("http://catalog.hathitrust.org/Record/000885238","HathiTrust Record")</f>
        <v/>
      </c>
      <c r="AU230">
        <f>HYPERLINK("https://creighton-primo.hosted.exlibrisgroup.com/primo-explore/search?tab=default_tab&amp;search_scope=EVERYTHING&amp;vid=01CRU&amp;lang=en_US&amp;offset=0&amp;query=any,contains,991001539859702656","Catalog Record")</f>
        <v/>
      </c>
      <c r="AV230">
        <f>HYPERLINK("http://www.worldcat.org/oclc/16227161","WorldCat Record")</f>
        <v/>
      </c>
      <c r="AW230" t="inlineStr">
        <is>
          <t>365489822:eng</t>
        </is>
      </c>
      <c r="AX230" t="inlineStr">
        <is>
          <t>16227161</t>
        </is>
      </c>
      <c r="AY230" t="inlineStr">
        <is>
          <t>991001539859702656</t>
        </is>
      </c>
      <c r="AZ230" t="inlineStr">
        <is>
          <t>991001539859702656</t>
        </is>
      </c>
      <c r="BA230" t="inlineStr">
        <is>
          <t>2261986290002656</t>
        </is>
      </c>
      <c r="BB230" t="inlineStr">
        <is>
          <t>BOOK</t>
        </is>
      </c>
      <c r="BD230" t="inlineStr">
        <is>
          <t>9780801622601</t>
        </is>
      </c>
      <c r="BE230" t="inlineStr">
        <is>
          <t>30001000624645</t>
        </is>
      </c>
      <c r="BF230" t="inlineStr">
        <is>
          <t>893541489</t>
        </is>
      </c>
    </row>
    <row r="231">
      <c r="B231" t="inlineStr">
        <is>
          <t>CUHSL</t>
        </is>
      </c>
      <c r="C231" t="inlineStr">
        <is>
          <t>SHELVES</t>
        </is>
      </c>
      <c r="D231" t="inlineStr">
        <is>
          <t>QV50 M71835 1996</t>
        </is>
      </c>
      <c r="E231" t="inlineStr">
        <is>
          <t>0                      QV 0050000M  71835       1996</t>
        </is>
      </c>
      <c r="F231" t="inlineStr">
        <is>
          <t>Molecular diagnosis of genetic diseases / edited by Rob Elles.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N231" t="inlineStr">
        <is>
          <t>Totowa, N.J. : Humana Press, c1996.</t>
        </is>
      </c>
      <c r="O231" t="inlineStr">
        <is>
          <t>1996</t>
        </is>
      </c>
      <c r="Q231" t="inlineStr">
        <is>
          <t>eng</t>
        </is>
      </c>
      <c r="R231" t="inlineStr">
        <is>
          <t>nju</t>
        </is>
      </c>
      <c r="S231" t="inlineStr">
        <is>
          <t>Methods in molecular medicine</t>
        </is>
      </c>
      <c r="T231" t="inlineStr">
        <is>
          <t xml:space="preserve">QV </t>
        </is>
      </c>
      <c r="U231" t="n">
        <v>3</v>
      </c>
      <c r="V231" t="n">
        <v>3</v>
      </c>
      <c r="W231" t="inlineStr">
        <is>
          <t>2001-04-07</t>
        </is>
      </c>
      <c r="X231" t="inlineStr">
        <is>
          <t>2001-04-07</t>
        </is>
      </c>
      <c r="Y231" t="inlineStr">
        <is>
          <t>1997-02-14</t>
        </is>
      </c>
      <c r="Z231" t="inlineStr">
        <is>
          <t>1997-02-14</t>
        </is>
      </c>
      <c r="AA231" t="n">
        <v>155</v>
      </c>
      <c r="AB231" t="n">
        <v>82</v>
      </c>
      <c r="AC231" t="n">
        <v>154</v>
      </c>
      <c r="AD231" t="n">
        <v>2</v>
      </c>
      <c r="AE231" t="n">
        <v>4</v>
      </c>
      <c r="AF231" t="n">
        <v>2</v>
      </c>
      <c r="AG231" t="n">
        <v>6</v>
      </c>
      <c r="AH231" t="n">
        <v>1</v>
      </c>
      <c r="AI231" t="n">
        <v>2</v>
      </c>
      <c r="AJ231" t="n">
        <v>0</v>
      </c>
      <c r="AK231" t="n">
        <v>1</v>
      </c>
      <c r="AL231" t="n">
        <v>1</v>
      </c>
      <c r="AM231" t="n">
        <v>2</v>
      </c>
      <c r="AN231" t="n">
        <v>1</v>
      </c>
      <c r="AO231" t="n">
        <v>3</v>
      </c>
      <c r="AP231" t="n">
        <v>0</v>
      </c>
      <c r="AQ231" t="n">
        <v>0</v>
      </c>
      <c r="AR231" t="inlineStr">
        <is>
          <t>No</t>
        </is>
      </c>
      <c r="AS231" t="inlineStr">
        <is>
          <t>Yes</t>
        </is>
      </c>
      <c r="AT231">
        <f>HYPERLINK("http://catalog.hathitrust.org/Record/003104172","HathiTrust Record")</f>
        <v/>
      </c>
      <c r="AU231">
        <f>HYPERLINK("https://creighton-primo.hosted.exlibrisgroup.com/primo-explore/search?tab=default_tab&amp;search_scope=EVERYTHING&amp;vid=01CRU&amp;lang=en_US&amp;offset=0&amp;query=any,contains,991001558899702656","Catalog Record")</f>
        <v/>
      </c>
      <c r="AV231">
        <f>HYPERLINK("http://www.worldcat.org/oclc/34724611","WorldCat Record")</f>
        <v/>
      </c>
      <c r="AW231" t="inlineStr">
        <is>
          <t>4917862005:eng</t>
        </is>
      </c>
      <c r="AX231" t="inlineStr">
        <is>
          <t>34724611</t>
        </is>
      </c>
      <c r="AY231" t="inlineStr">
        <is>
          <t>991001558899702656</t>
        </is>
      </c>
      <c r="AZ231" t="inlineStr">
        <is>
          <t>991001558899702656</t>
        </is>
      </c>
      <c r="BA231" t="inlineStr">
        <is>
          <t>2258291980002656</t>
        </is>
      </c>
      <c r="BB231" t="inlineStr">
        <is>
          <t>BOOK</t>
        </is>
      </c>
      <c r="BD231" t="inlineStr">
        <is>
          <t>9780896033467</t>
        </is>
      </c>
      <c r="BE231" t="inlineStr">
        <is>
          <t>30001003474600</t>
        </is>
      </c>
      <c r="BF231" t="inlineStr">
        <is>
          <t>893546819</t>
        </is>
      </c>
    </row>
    <row r="232">
      <c r="B232" t="inlineStr">
        <is>
          <t>CUHSL</t>
        </is>
      </c>
      <c r="C232" t="inlineStr">
        <is>
          <t>SHELVES</t>
        </is>
      </c>
      <c r="D232" t="inlineStr">
        <is>
          <t>QV 50 N397p 1985</t>
        </is>
      </c>
      <c r="E232" t="inlineStr">
        <is>
          <t>0                      QV 0050000N  397p        1985</t>
        </is>
      </c>
      <c r="F232" t="inlineStr">
        <is>
          <t>Pharmacology and therapeutics for dentistry / Enid A. Neidle, Donald C. Kroeger, John A. Yagiela.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Yes</t>
        </is>
      </c>
      <c r="L232" t="inlineStr">
        <is>
          <t>1</t>
        </is>
      </c>
      <c r="M232" t="inlineStr">
        <is>
          <t>Neidle, Enid Anne.</t>
        </is>
      </c>
      <c r="N232" t="inlineStr">
        <is>
          <t>St. Louis : Mosby, c1985.</t>
        </is>
      </c>
      <c r="O232" t="inlineStr">
        <is>
          <t>1985</t>
        </is>
      </c>
      <c r="P232" t="inlineStr">
        <is>
          <t>2nd ed.</t>
        </is>
      </c>
      <c r="Q232" t="inlineStr">
        <is>
          <t>eng</t>
        </is>
      </c>
      <c r="R232" t="inlineStr">
        <is>
          <t xml:space="preserve">xx </t>
        </is>
      </c>
      <c r="T232" t="inlineStr">
        <is>
          <t xml:space="preserve">QV </t>
        </is>
      </c>
      <c r="U232" t="n">
        <v>94</v>
      </c>
      <c r="V232" t="n">
        <v>94</v>
      </c>
      <c r="W232" t="inlineStr">
        <is>
          <t>2002-09-08</t>
        </is>
      </c>
      <c r="X232" t="inlineStr">
        <is>
          <t>2002-09-08</t>
        </is>
      </c>
      <c r="Y232" t="inlineStr">
        <is>
          <t>1987-09-28</t>
        </is>
      </c>
      <c r="Z232" t="inlineStr">
        <is>
          <t>1987-09-28</t>
        </is>
      </c>
      <c r="AA232" t="n">
        <v>102</v>
      </c>
      <c r="AB232" t="n">
        <v>67</v>
      </c>
      <c r="AC232" t="n">
        <v>302</v>
      </c>
      <c r="AD232" t="n">
        <v>2</v>
      </c>
      <c r="AE232" t="n">
        <v>4</v>
      </c>
      <c r="AF232" t="n">
        <v>2</v>
      </c>
      <c r="AG232" t="n">
        <v>10</v>
      </c>
      <c r="AH232" t="n">
        <v>0</v>
      </c>
      <c r="AI232" t="n">
        <v>1</v>
      </c>
      <c r="AJ232" t="n">
        <v>0</v>
      </c>
      <c r="AK232" t="n">
        <v>4</v>
      </c>
      <c r="AL232" t="n">
        <v>1</v>
      </c>
      <c r="AM232" t="n">
        <v>3</v>
      </c>
      <c r="AN232" t="n">
        <v>1</v>
      </c>
      <c r="AO232" t="n">
        <v>3</v>
      </c>
      <c r="AP232" t="n">
        <v>0</v>
      </c>
      <c r="AQ232" t="n">
        <v>0</v>
      </c>
      <c r="AR232" t="inlineStr">
        <is>
          <t>No</t>
        </is>
      </c>
      <c r="AS232" t="inlineStr">
        <is>
          <t>Yes</t>
        </is>
      </c>
      <c r="AT232">
        <f>HYPERLINK("http://catalog.hathitrust.org/Record/000605453","HathiTrust Record")</f>
        <v/>
      </c>
      <c r="AU232">
        <f>HYPERLINK("https://creighton-primo.hosted.exlibrisgroup.com/primo-explore/search?tab=default_tab&amp;search_scope=EVERYTHING&amp;vid=01CRU&amp;lang=en_US&amp;offset=0&amp;query=any,contains,991000747759702656","Catalog Record")</f>
        <v/>
      </c>
      <c r="AV232">
        <f>HYPERLINK("http://www.worldcat.org/oclc/10711747","WorldCat Record")</f>
        <v/>
      </c>
      <c r="AW232" t="inlineStr">
        <is>
          <t>3107575:eng</t>
        </is>
      </c>
      <c r="AX232" t="inlineStr">
        <is>
          <t>10711747</t>
        </is>
      </c>
      <c r="AY232" t="inlineStr">
        <is>
          <t>991000747759702656</t>
        </is>
      </c>
      <c r="AZ232" t="inlineStr">
        <is>
          <t>991000747759702656</t>
        </is>
      </c>
      <c r="BA232" t="inlineStr">
        <is>
          <t>2259062250002656</t>
        </is>
      </c>
      <c r="BB232" t="inlineStr">
        <is>
          <t>BOOK</t>
        </is>
      </c>
      <c r="BD232" t="inlineStr">
        <is>
          <t>9780801637438</t>
        </is>
      </c>
      <c r="BE232" t="inlineStr">
        <is>
          <t>30001000046401</t>
        </is>
      </c>
      <c r="BF232" t="inlineStr">
        <is>
          <t>893148213</t>
        </is>
      </c>
    </row>
    <row r="233">
      <c r="B233" t="inlineStr">
        <is>
          <t>CUHSL</t>
        </is>
      </c>
      <c r="C233" t="inlineStr">
        <is>
          <t>SHELVES</t>
        </is>
      </c>
      <c r="D233" t="inlineStr">
        <is>
          <t>QV 50 N397p 1989</t>
        </is>
      </c>
      <c r="E233" t="inlineStr">
        <is>
          <t>0                      QV 0050000N  397p        1989</t>
        </is>
      </c>
      <c r="F233" t="inlineStr">
        <is>
          <t>Pharmacology and therapeutics for dentistry / Enid A. Neidle, John A. Yagiela.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Yes</t>
        </is>
      </c>
      <c r="L233" t="inlineStr">
        <is>
          <t>1</t>
        </is>
      </c>
      <c r="M233" t="inlineStr">
        <is>
          <t>Neidle, Enid Anne.</t>
        </is>
      </c>
      <c r="N233" t="inlineStr">
        <is>
          <t>St. Louis : Mosby, c1989.</t>
        </is>
      </c>
      <c r="O233" t="inlineStr">
        <is>
          <t>1989</t>
        </is>
      </c>
      <c r="P233" t="inlineStr">
        <is>
          <t>3rd ed.</t>
        </is>
      </c>
      <c r="Q233" t="inlineStr">
        <is>
          <t>eng</t>
        </is>
      </c>
      <c r="R233" t="inlineStr">
        <is>
          <t>xxu</t>
        </is>
      </c>
      <c r="T233" t="inlineStr">
        <is>
          <t xml:space="preserve">QV </t>
        </is>
      </c>
      <c r="U233" t="n">
        <v>93</v>
      </c>
      <c r="V233" t="n">
        <v>93</v>
      </c>
      <c r="W233" t="inlineStr">
        <is>
          <t>2006-02-28</t>
        </is>
      </c>
      <c r="X233" t="inlineStr">
        <is>
          <t>2006-02-28</t>
        </is>
      </c>
      <c r="Y233" t="inlineStr">
        <is>
          <t>1989-07-29</t>
        </is>
      </c>
      <c r="Z233" t="inlineStr">
        <is>
          <t>1989-07-29</t>
        </is>
      </c>
      <c r="AA233" t="n">
        <v>102</v>
      </c>
      <c r="AB233" t="n">
        <v>66</v>
      </c>
      <c r="AC233" t="n">
        <v>302</v>
      </c>
      <c r="AD233" t="n">
        <v>1</v>
      </c>
      <c r="AE233" t="n">
        <v>4</v>
      </c>
      <c r="AF233" t="n">
        <v>2</v>
      </c>
      <c r="AG233" t="n">
        <v>10</v>
      </c>
      <c r="AH233" t="n">
        <v>0</v>
      </c>
      <c r="AI233" t="n">
        <v>1</v>
      </c>
      <c r="AJ233" t="n">
        <v>1</v>
      </c>
      <c r="AK233" t="n">
        <v>4</v>
      </c>
      <c r="AL233" t="n">
        <v>1</v>
      </c>
      <c r="AM233" t="n">
        <v>3</v>
      </c>
      <c r="AN233" t="n">
        <v>0</v>
      </c>
      <c r="AO233" t="n">
        <v>3</v>
      </c>
      <c r="AP233" t="n">
        <v>0</v>
      </c>
      <c r="AQ233" t="n">
        <v>0</v>
      </c>
      <c r="AR233" t="inlineStr">
        <is>
          <t>No</t>
        </is>
      </c>
      <c r="AS233" t="inlineStr">
        <is>
          <t>Yes</t>
        </is>
      </c>
      <c r="AT233">
        <f>HYPERLINK("http://catalog.hathitrust.org/Record/001528424","HathiTrust Record")</f>
        <v/>
      </c>
      <c r="AU233">
        <f>HYPERLINK("https://creighton-primo.hosted.exlibrisgroup.com/primo-explore/search?tab=default_tab&amp;search_scope=EVERYTHING&amp;vid=01CRU&amp;lang=en_US&amp;offset=0&amp;query=any,contains,991001312459702656","Catalog Record")</f>
        <v/>
      </c>
      <c r="AV233">
        <f>HYPERLINK("http://www.worldcat.org/oclc/18558213","WorldCat Record")</f>
        <v/>
      </c>
      <c r="AW233" t="inlineStr">
        <is>
          <t>3107575:eng</t>
        </is>
      </c>
      <c r="AX233" t="inlineStr">
        <is>
          <t>18558213</t>
        </is>
      </c>
      <c r="AY233" t="inlineStr">
        <is>
          <t>991001312459702656</t>
        </is>
      </c>
      <c r="AZ233" t="inlineStr">
        <is>
          <t>991001312459702656</t>
        </is>
      </c>
      <c r="BA233" t="inlineStr">
        <is>
          <t>2262961390002656</t>
        </is>
      </c>
      <c r="BB233" t="inlineStr">
        <is>
          <t>BOOK</t>
        </is>
      </c>
      <c r="BD233" t="inlineStr">
        <is>
          <t>9780801632624</t>
        </is>
      </c>
      <c r="BE233" t="inlineStr">
        <is>
          <t>30001001751280</t>
        </is>
      </c>
      <c r="BF233" t="inlineStr">
        <is>
          <t>893736456</t>
        </is>
      </c>
    </row>
    <row r="234">
      <c r="B234" t="inlineStr">
        <is>
          <t>CUHSL</t>
        </is>
      </c>
      <c r="C234" t="inlineStr">
        <is>
          <t>SHELVES</t>
        </is>
      </c>
      <c r="D234" t="inlineStr">
        <is>
          <t>QV 50 N397p 1998</t>
        </is>
      </c>
      <c r="E234" t="inlineStr">
        <is>
          <t>0                      QV 0050000N  397p        1998</t>
        </is>
      </c>
      <c r="F234" t="inlineStr">
        <is>
          <t>Pharmacology and therapeutics for dentistry / [edited by] John A. Yagiela, Enid A. Neidle, Frank J. Dowd.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Yes</t>
        </is>
      </c>
      <c r="L234" t="inlineStr">
        <is>
          <t>1</t>
        </is>
      </c>
      <c r="N234" t="inlineStr">
        <is>
          <t>St. Louis : Mosby, c1998.</t>
        </is>
      </c>
      <c r="O234" t="inlineStr">
        <is>
          <t>1998</t>
        </is>
      </c>
      <c r="P234" t="inlineStr">
        <is>
          <t>4th ed.</t>
        </is>
      </c>
      <c r="Q234" t="inlineStr">
        <is>
          <t>eng</t>
        </is>
      </c>
      <c r="R234" t="inlineStr">
        <is>
          <t>mou</t>
        </is>
      </c>
      <c r="T234" t="inlineStr">
        <is>
          <t xml:space="preserve">QV </t>
        </is>
      </c>
      <c r="U234" t="n">
        <v>110</v>
      </c>
      <c r="V234" t="n">
        <v>110</v>
      </c>
      <c r="W234" t="inlineStr">
        <is>
          <t>2010-03-16</t>
        </is>
      </c>
      <c r="X234" t="inlineStr">
        <is>
          <t>2010-03-16</t>
        </is>
      </c>
      <c r="Y234" t="inlineStr">
        <is>
          <t>1998-01-16</t>
        </is>
      </c>
      <c r="Z234" t="inlineStr">
        <is>
          <t>1998-01-16</t>
        </is>
      </c>
      <c r="AA234" t="n">
        <v>128</v>
      </c>
      <c r="AB234" t="n">
        <v>82</v>
      </c>
      <c r="AC234" t="n">
        <v>302</v>
      </c>
      <c r="AD234" t="n">
        <v>1</v>
      </c>
      <c r="AE234" t="n">
        <v>4</v>
      </c>
      <c r="AF234" t="n">
        <v>2</v>
      </c>
      <c r="AG234" t="n">
        <v>10</v>
      </c>
      <c r="AH234" t="n">
        <v>0</v>
      </c>
      <c r="AI234" t="n">
        <v>1</v>
      </c>
      <c r="AJ234" t="n">
        <v>1</v>
      </c>
      <c r="AK234" t="n">
        <v>4</v>
      </c>
      <c r="AL234" t="n">
        <v>1</v>
      </c>
      <c r="AM234" t="n">
        <v>3</v>
      </c>
      <c r="AN234" t="n">
        <v>0</v>
      </c>
      <c r="AO234" t="n">
        <v>3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HYPERLINK("http://catalog.hathitrust.org/Record/003242482","HathiTrust Record")</f>
        <v/>
      </c>
      <c r="AU234">
        <f>HYPERLINK("https://creighton-primo.hosted.exlibrisgroup.com/primo-explore/search?tab=default_tab&amp;search_scope=EVERYTHING&amp;vid=01CRU&amp;lang=en_US&amp;offset=0&amp;query=any,contains,991001293969702656","Catalog Record")</f>
        <v/>
      </c>
      <c r="AV234">
        <f>HYPERLINK("http://www.worldcat.org/oclc/41017283","WorldCat Record")</f>
        <v/>
      </c>
      <c r="AW234" t="inlineStr">
        <is>
          <t>3107575:eng</t>
        </is>
      </c>
      <c r="AX234" t="inlineStr">
        <is>
          <t>41017283</t>
        </is>
      </c>
      <c r="AY234" t="inlineStr">
        <is>
          <t>991001293969702656</t>
        </is>
      </c>
      <c r="AZ234" t="inlineStr">
        <is>
          <t>991001293969702656</t>
        </is>
      </c>
      <c r="BA234" t="inlineStr">
        <is>
          <t>2271982690002656</t>
        </is>
      </c>
      <c r="BB234" t="inlineStr">
        <is>
          <t>BOOK</t>
        </is>
      </c>
      <c r="BD234" t="inlineStr">
        <is>
          <t>9780801679629</t>
        </is>
      </c>
      <c r="BE234" t="inlineStr">
        <is>
          <t>30001003740257</t>
        </is>
      </c>
      <c r="BF234" t="inlineStr">
        <is>
          <t>893273996</t>
        </is>
      </c>
    </row>
    <row r="235">
      <c r="B235" t="inlineStr">
        <is>
          <t>CUHSL</t>
        </is>
      </c>
      <c r="C235" t="inlineStr">
        <is>
          <t>SHELVES</t>
        </is>
      </c>
      <c r="D235" t="inlineStr">
        <is>
          <t>QV 50 O48s 1991</t>
        </is>
      </c>
      <c r="E235" t="inlineStr">
        <is>
          <t>0                      QV 0050000O  48s         1991</t>
        </is>
      </c>
      <c r="F235" t="inlineStr">
        <is>
          <t>Studies on the kinetics of fluoride in human saliva and its effects on plaque acidogenicity / by Anette Oliveby.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Oliveby, Anette.</t>
        </is>
      </c>
      <c r="N235" t="inlineStr">
        <is>
          <t>Stockholm : Kongl. Carolinska Medico Chirurgiska Institutet, 1991.</t>
        </is>
      </c>
      <c r="O235" t="inlineStr">
        <is>
          <t>1991</t>
        </is>
      </c>
      <c r="Q235" t="inlineStr">
        <is>
          <t>eng</t>
        </is>
      </c>
      <c r="R235" t="inlineStr">
        <is>
          <t xml:space="preserve">sw </t>
        </is>
      </c>
      <c r="T235" t="inlineStr">
        <is>
          <t xml:space="preserve">QV </t>
        </is>
      </c>
      <c r="U235" t="n">
        <v>2</v>
      </c>
      <c r="V235" t="n">
        <v>2</v>
      </c>
      <c r="W235" t="inlineStr">
        <is>
          <t>1991-07-01</t>
        </is>
      </c>
      <c r="X235" t="inlineStr">
        <is>
          <t>1991-07-01</t>
        </is>
      </c>
      <c r="Y235" t="inlineStr">
        <is>
          <t>1991-07-01</t>
        </is>
      </c>
      <c r="Z235" t="inlineStr">
        <is>
          <t>1991-07-01</t>
        </is>
      </c>
      <c r="AA235" t="n">
        <v>14</v>
      </c>
      <c r="AB235" t="n">
        <v>12</v>
      </c>
      <c r="AC235" t="n">
        <v>14</v>
      </c>
      <c r="AD235" t="n">
        <v>1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inlineStr">
        <is>
          <t>No</t>
        </is>
      </c>
      <c r="AS235" t="inlineStr">
        <is>
          <t>Yes</t>
        </is>
      </c>
      <c r="AT235">
        <f>HYPERLINK("http://catalog.hathitrust.org/Record/003947834","HathiTrust Record")</f>
        <v/>
      </c>
      <c r="AU235">
        <f>HYPERLINK("https://creighton-primo.hosted.exlibrisgroup.com/primo-explore/search?tab=default_tab&amp;search_scope=EVERYTHING&amp;vid=01CRU&amp;lang=en_US&amp;offset=0&amp;query=any,contains,991000942599702656","Catalog Record")</f>
        <v/>
      </c>
      <c r="AV235">
        <f>HYPERLINK("http://www.worldcat.org/oclc/24041830","WorldCat Record")</f>
        <v/>
      </c>
      <c r="AW235" t="inlineStr">
        <is>
          <t>25903487:eng</t>
        </is>
      </c>
      <c r="AX235" t="inlineStr">
        <is>
          <t>24041830</t>
        </is>
      </c>
      <c r="AY235" t="inlineStr">
        <is>
          <t>991000942599702656</t>
        </is>
      </c>
      <c r="AZ235" t="inlineStr">
        <is>
          <t>991000942599702656</t>
        </is>
      </c>
      <c r="BA235" t="inlineStr">
        <is>
          <t>2264119380002656</t>
        </is>
      </c>
      <c r="BB235" t="inlineStr">
        <is>
          <t>BOOK</t>
        </is>
      </c>
      <c r="BD235" t="inlineStr">
        <is>
          <t>9789162802936</t>
        </is>
      </c>
      <c r="BE235" t="inlineStr">
        <is>
          <t>30001002192963</t>
        </is>
      </c>
      <c r="BF235" t="inlineStr">
        <is>
          <t>893637853</t>
        </is>
      </c>
    </row>
    <row r="236">
      <c r="B236" t="inlineStr">
        <is>
          <t>CUHSL</t>
        </is>
      </c>
      <c r="C236" t="inlineStr">
        <is>
          <t>SHELVES</t>
        </is>
      </c>
      <c r="D236" t="inlineStr">
        <is>
          <t>QV 50 P164c 1973</t>
        </is>
      </c>
      <c r="E236" t="inlineStr">
        <is>
          <t>0                      QV 0050000P  164c        1973</t>
        </is>
      </c>
      <c r="F236" t="inlineStr">
        <is>
          <t>Clinical drug therapy in dental practice / Thomas J. Pallasch.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Pallasch, Thomas J.</t>
        </is>
      </c>
      <c r="N236" t="inlineStr">
        <is>
          <t>Philadelphia : Lea &amp; Febiger, 1973.</t>
        </is>
      </c>
      <c r="O236" t="inlineStr">
        <is>
          <t>1973</t>
        </is>
      </c>
      <c r="Q236" t="inlineStr">
        <is>
          <t>eng</t>
        </is>
      </c>
      <c r="R236" t="inlineStr">
        <is>
          <t>pau</t>
        </is>
      </c>
      <c r="T236" t="inlineStr">
        <is>
          <t xml:space="preserve">QV </t>
        </is>
      </c>
      <c r="U236" t="n">
        <v>4</v>
      </c>
      <c r="V236" t="n">
        <v>4</v>
      </c>
      <c r="W236" t="inlineStr">
        <is>
          <t>2002-10-21</t>
        </is>
      </c>
      <c r="X236" t="inlineStr">
        <is>
          <t>2002-10-21</t>
        </is>
      </c>
      <c r="Y236" t="inlineStr">
        <is>
          <t>1988-03-01</t>
        </is>
      </c>
      <c r="Z236" t="inlineStr">
        <is>
          <t>1988-03-01</t>
        </is>
      </c>
      <c r="AA236" t="n">
        <v>109</v>
      </c>
      <c r="AB236" t="n">
        <v>69</v>
      </c>
      <c r="AC236" t="n">
        <v>72</v>
      </c>
      <c r="AD236" t="n">
        <v>2</v>
      </c>
      <c r="AE236" t="n">
        <v>2</v>
      </c>
      <c r="AF236" t="n">
        <v>3</v>
      </c>
      <c r="AG236" t="n">
        <v>3</v>
      </c>
      <c r="AH236" t="n">
        <v>0</v>
      </c>
      <c r="AI236" t="n">
        <v>0</v>
      </c>
      <c r="AJ236" t="n">
        <v>1</v>
      </c>
      <c r="AK236" t="n">
        <v>1</v>
      </c>
      <c r="AL236" t="n">
        <v>2</v>
      </c>
      <c r="AM236" t="n">
        <v>2</v>
      </c>
      <c r="AN236" t="n">
        <v>1</v>
      </c>
      <c r="AO236" t="n">
        <v>1</v>
      </c>
      <c r="AP236" t="n">
        <v>0</v>
      </c>
      <c r="AQ236" t="n">
        <v>0</v>
      </c>
      <c r="AR236" t="inlineStr">
        <is>
          <t>No</t>
        </is>
      </c>
      <c r="AS236" t="inlineStr">
        <is>
          <t>Yes</t>
        </is>
      </c>
      <c r="AT236">
        <f>HYPERLINK("http://catalog.hathitrust.org/Record/001579235","HathiTrust Record")</f>
        <v/>
      </c>
      <c r="AU236">
        <f>HYPERLINK("https://creighton-primo.hosted.exlibrisgroup.com/primo-explore/search?tab=default_tab&amp;search_scope=EVERYTHING&amp;vid=01CRU&amp;lang=en_US&amp;offset=0&amp;query=any,contains,991000953329702656","Catalog Record")</f>
        <v/>
      </c>
      <c r="AV236">
        <f>HYPERLINK("http://www.worldcat.org/oclc/659042","WorldCat Record")</f>
        <v/>
      </c>
      <c r="AW236" t="inlineStr">
        <is>
          <t>1634813:eng</t>
        </is>
      </c>
      <c r="AX236" t="inlineStr">
        <is>
          <t>659042</t>
        </is>
      </c>
      <c r="AY236" t="inlineStr">
        <is>
          <t>991000953329702656</t>
        </is>
      </c>
      <c r="AZ236" t="inlineStr">
        <is>
          <t>991000953329702656</t>
        </is>
      </c>
      <c r="BA236" t="inlineStr">
        <is>
          <t>2260690020002656</t>
        </is>
      </c>
      <c r="BB236" t="inlineStr">
        <is>
          <t>BOOK</t>
        </is>
      </c>
      <c r="BE236" t="inlineStr">
        <is>
          <t>30001000192825</t>
        </is>
      </c>
      <c r="BF236" t="inlineStr">
        <is>
          <t>893450648</t>
        </is>
      </c>
    </row>
    <row r="237">
      <c r="B237" t="inlineStr">
        <is>
          <t>CUHSL</t>
        </is>
      </c>
      <c r="C237" t="inlineStr">
        <is>
          <t>SHELVES</t>
        </is>
      </c>
      <c r="D237" t="inlineStr">
        <is>
          <t>QV 50 P164p 1980</t>
        </is>
      </c>
      <c r="E237" t="inlineStr">
        <is>
          <t>0                      QV 0050000P  164p        1980</t>
        </is>
      </c>
      <c r="F237" t="inlineStr">
        <is>
          <t>Pharmacology for dental students and practitioners / Thomas J. Pallasch.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Pallasch, Thomas J.</t>
        </is>
      </c>
      <c r="N237" t="inlineStr">
        <is>
          <t>Philadelphia : Lea &amp; Febiger, 1980.</t>
        </is>
      </c>
      <c r="O237" t="inlineStr">
        <is>
          <t>1980</t>
        </is>
      </c>
      <c r="Q237" t="inlineStr">
        <is>
          <t>eng</t>
        </is>
      </c>
      <c r="R237" t="inlineStr">
        <is>
          <t>pau</t>
        </is>
      </c>
      <c r="T237" t="inlineStr">
        <is>
          <t xml:space="preserve">QV </t>
        </is>
      </c>
      <c r="U237" t="n">
        <v>11</v>
      </c>
      <c r="V237" t="n">
        <v>11</v>
      </c>
      <c r="W237" t="inlineStr">
        <is>
          <t>1992-09-25</t>
        </is>
      </c>
      <c r="X237" t="inlineStr">
        <is>
          <t>1992-09-25</t>
        </is>
      </c>
      <c r="Y237" t="inlineStr">
        <is>
          <t>1988-02-04</t>
        </is>
      </c>
      <c r="Z237" t="inlineStr">
        <is>
          <t>1988-02-04</t>
        </is>
      </c>
      <c r="AA237" t="n">
        <v>98</v>
      </c>
      <c r="AB237" t="n">
        <v>58</v>
      </c>
      <c r="AC237" t="n">
        <v>60</v>
      </c>
      <c r="AD237" t="n">
        <v>2</v>
      </c>
      <c r="AE237" t="n">
        <v>2</v>
      </c>
      <c r="AF237" t="n">
        <v>3</v>
      </c>
      <c r="AG237" t="n">
        <v>3</v>
      </c>
      <c r="AH237" t="n">
        <v>0</v>
      </c>
      <c r="AI237" t="n">
        <v>0</v>
      </c>
      <c r="AJ237" t="n">
        <v>1</v>
      </c>
      <c r="AK237" t="n">
        <v>1</v>
      </c>
      <c r="AL237" t="n">
        <v>2</v>
      </c>
      <c r="AM237" t="n">
        <v>2</v>
      </c>
      <c r="AN237" t="n">
        <v>1</v>
      </c>
      <c r="AO237" t="n">
        <v>1</v>
      </c>
      <c r="AP237" t="n">
        <v>0</v>
      </c>
      <c r="AQ237" t="n">
        <v>0</v>
      </c>
      <c r="AR237" t="inlineStr">
        <is>
          <t>No</t>
        </is>
      </c>
      <c r="AS237" t="inlineStr">
        <is>
          <t>Yes</t>
        </is>
      </c>
      <c r="AT237">
        <f>HYPERLINK("http://catalog.hathitrust.org/Record/000019120","HathiTrust Record")</f>
        <v/>
      </c>
      <c r="AU237">
        <f>HYPERLINK("https://creighton-primo.hosted.exlibrisgroup.com/primo-explore/search?tab=default_tab&amp;search_scope=EVERYTHING&amp;vid=01CRU&amp;lang=en_US&amp;offset=0&amp;query=any,contains,991000953349702656","Catalog Record")</f>
        <v/>
      </c>
      <c r="AV237">
        <f>HYPERLINK("http://www.worldcat.org/oclc/5171251","WorldCat Record")</f>
        <v/>
      </c>
      <c r="AW237" t="inlineStr">
        <is>
          <t>16413188:eng</t>
        </is>
      </c>
      <c r="AX237" t="inlineStr">
        <is>
          <t>5171251</t>
        </is>
      </c>
      <c r="AY237" t="inlineStr">
        <is>
          <t>991000953349702656</t>
        </is>
      </c>
      <c r="AZ237" t="inlineStr">
        <is>
          <t>991000953349702656</t>
        </is>
      </c>
      <c r="BA237" t="inlineStr">
        <is>
          <t>2258763280002656</t>
        </is>
      </c>
      <c r="BB237" t="inlineStr">
        <is>
          <t>BOOK</t>
        </is>
      </c>
      <c r="BD237" t="inlineStr">
        <is>
          <t>9780812106893</t>
        </is>
      </c>
      <c r="BE237" t="inlineStr">
        <is>
          <t>30001000192833</t>
        </is>
      </c>
      <c r="BF237" t="inlineStr">
        <is>
          <t>893450649</t>
        </is>
      </c>
    </row>
    <row r="238">
      <c r="B238" t="inlineStr">
        <is>
          <t>CUHSL</t>
        </is>
      </c>
      <c r="C238" t="inlineStr">
        <is>
          <t>SHELVES</t>
        </is>
      </c>
      <c r="D238" t="inlineStr">
        <is>
          <t>QV 50 P164s 1974</t>
        </is>
      </c>
      <c r="E238" t="inlineStr">
        <is>
          <t>0                      QV 0050000P  164s        1974</t>
        </is>
      </c>
      <c r="F238" t="inlineStr">
        <is>
          <t>Synopsis of pharmacology for students in dentistry / Thomas J. Pallasch and Richard M. Oksas.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Pallasch, Thomas J.</t>
        </is>
      </c>
      <c r="N238" t="inlineStr">
        <is>
          <t>-- Philadelphia : Lea &amp; Febiger, 1974.</t>
        </is>
      </c>
      <c r="O238" t="inlineStr">
        <is>
          <t>1974</t>
        </is>
      </c>
      <c r="Q238" t="inlineStr">
        <is>
          <t>eng</t>
        </is>
      </c>
      <c r="R238" t="inlineStr">
        <is>
          <t>pau</t>
        </is>
      </c>
      <c r="T238" t="inlineStr">
        <is>
          <t xml:space="preserve">QV </t>
        </is>
      </c>
      <c r="U238" t="n">
        <v>12</v>
      </c>
      <c r="V238" t="n">
        <v>12</v>
      </c>
      <c r="W238" t="inlineStr">
        <is>
          <t>1995-02-28</t>
        </is>
      </c>
      <c r="X238" t="inlineStr">
        <is>
          <t>1995-02-28</t>
        </is>
      </c>
      <c r="Y238" t="inlineStr">
        <is>
          <t>1988-01-19</t>
        </is>
      </c>
      <c r="Z238" t="inlineStr">
        <is>
          <t>1988-01-19</t>
        </is>
      </c>
      <c r="AA238" t="n">
        <v>75</v>
      </c>
      <c r="AB238" t="n">
        <v>51</v>
      </c>
      <c r="AC238" t="n">
        <v>54</v>
      </c>
      <c r="AD238" t="n">
        <v>1</v>
      </c>
      <c r="AE238" t="n">
        <v>1</v>
      </c>
      <c r="AF238" t="n">
        <v>1</v>
      </c>
      <c r="AG238" t="n">
        <v>1</v>
      </c>
      <c r="AH238" t="n">
        <v>0</v>
      </c>
      <c r="AI238" t="n">
        <v>0</v>
      </c>
      <c r="AJ238" t="n">
        <v>0</v>
      </c>
      <c r="AK238" t="n">
        <v>0</v>
      </c>
      <c r="AL238" t="n">
        <v>1</v>
      </c>
      <c r="AM238" t="n">
        <v>1</v>
      </c>
      <c r="AN238" t="n">
        <v>0</v>
      </c>
      <c r="AO238" t="n">
        <v>0</v>
      </c>
      <c r="AP238" t="n">
        <v>0</v>
      </c>
      <c r="AQ238" t="n">
        <v>0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HYPERLINK("http://catalog.hathitrust.org/Record/001579236","HathiTrust Record")</f>
        <v/>
      </c>
      <c r="AU238">
        <f>HYPERLINK("https://creighton-primo.hosted.exlibrisgroup.com/primo-explore/search?tab=default_tab&amp;search_scope=EVERYTHING&amp;vid=01CRU&amp;lang=en_US&amp;offset=0&amp;query=any,contains,991001003019702656","Catalog Record")</f>
        <v/>
      </c>
      <c r="AV238">
        <f>HYPERLINK("http://www.worldcat.org/oclc/914911","WorldCat Record")</f>
        <v/>
      </c>
      <c r="AW238" t="inlineStr">
        <is>
          <t>1855544:eng</t>
        </is>
      </c>
      <c r="AX238" t="inlineStr">
        <is>
          <t>914911</t>
        </is>
      </c>
      <c r="AY238" t="inlineStr">
        <is>
          <t>991001003019702656</t>
        </is>
      </c>
      <c r="AZ238" t="inlineStr">
        <is>
          <t>991001003019702656</t>
        </is>
      </c>
      <c r="BA238" t="inlineStr">
        <is>
          <t>2262560160002656</t>
        </is>
      </c>
      <c r="BB238" t="inlineStr">
        <is>
          <t>BOOK</t>
        </is>
      </c>
      <c r="BD238" t="inlineStr">
        <is>
          <t>9780812104936</t>
        </is>
      </c>
      <c r="BE238" t="inlineStr">
        <is>
          <t>30001000900193</t>
        </is>
      </c>
      <c r="BF238" t="inlineStr">
        <is>
          <t>893287160</t>
        </is>
      </c>
    </row>
    <row r="239">
      <c r="B239" t="inlineStr">
        <is>
          <t>CUHSL</t>
        </is>
      </c>
      <c r="C239" t="inlineStr">
        <is>
          <t>SHELVES</t>
        </is>
      </c>
      <c r="D239" t="inlineStr">
        <is>
          <t>QV 50 S521d 1999</t>
        </is>
      </c>
      <c r="E239" t="inlineStr">
        <is>
          <t>0                      QV 0050000S  521d        1999</t>
        </is>
      </c>
      <c r="F239" t="inlineStr">
        <is>
          <t>Pharmacology and dental therapeutics / Robin A. Seymour, John G. Meechan, and Michael S. Yates.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No</t>
        </is>
      </c>
      <c r="L239" t="inlineStr">
        <is>
          <t>0</t>
        </is>
      </c>
      <c r="M239" t="inlineStr">
        <is>
          <t>Seymour, R. A.</t>
        </is>
      </c>
      <c r="N239" t="inlineStr">
        <is>
          <t>Oxford ; New York : Oxford University Press, 1999.</t>
        </is>
      </c>
      <c r="O239" t="inlineStr">
        <is>
          <t>1999</t>
        </is>
      </c>
      <c r="P239" t="inlineStr">
        <is>
          <t>3rd ed.</t>
        </is>
      </c>
      <c r="Q239" t="inlineStr">
        <is>
          <t>eng</t>
        </is>
      </c>
      <c r="R239" t="inlineStr">
        <is>
          <t>enk</t>
        </is>
      </c>
      <c r="S239" t="inlineStr">
        <is>
          <t>Oxford medical publications</t>
        </is>
      </c>
      <c r="T239" t="inlineStr">
        <is>
          <t xml:space="preserve">QV </t>
        </is>
      </c>
      <c r="U239" t="n">
        <v>6</v>
      </c>
      <c r="V239" t="n">
        <v>6</v>
      </c>
      <c r="W239" t="inlineStr">
        <is>
          <t>2008-09-20</t>
        </is>
      </c>
      <c r="X239" t="inlineStr">
        <is>
          <t>2008-09-20</t>
        </is>
      </c>
      <c r="Y239" t="inlineStr">
        <is>
          <t>2002-05-10</t>
        </is>
      </c>
      <c r="Z239" t="inlineStr">
        <is>
          <t>2002-05-10</t>
        </is>
      </c>
      <c r="AA239" t="n">
        <v>47</v>
      </c>
      <c r="AB239" t="n">
        <v>14</v>
      </c>
      <c r="AC239" t="n">
        <v>59</v>
      </c>
      <c r="AD239" t="n">
        <v>1</v>
      </c>
      <c r="AE239" t="n">
        <v>2</v>
      </c>
      <c r="AF239" t="n">
        <v>0</v>
      </c>
      <c r="AG239" t="n">
        <v>4</v>
      </c>
      <c r="AH239" t="n">
        <v>0</v>
      </c>
      <c r="AI239" t="n">
        <v>0</v>
      </c>
      <c r="AJ239" t="n">
        <v>0</v>
      </c>
      <c r="AK239" t="n">
        <v>2</v>
      </c>
      <c r="AL239" t="n">
        <v>0</v>
      </c>
      <c r="AM239" t="n">
        <v>2</v>
      </c>
      <c r="AN239" t="n">
        <v>0</v>
      </c>
      <c r="AO239" t="n">
        <v>1</v>
      </c>
      <c r="AP239" t="n">
        <v>0</v>
      </c>
      <c r="AQ239" t="n">
        <v>0</v>
      </c>
      <c r="AR239" t="inlineStr">
        <is>
          <t>No</t>
        </is>
      </c>
      <c r="AS239" t="inlineStr">
        <is>
          <t>No</t>
        </is>
      </c>
      <c r="AU239">
        <f>HYPERLINK("https://creighton-primo.hosted.exlibrisgroup.com/primo-explore/search?tab=default_tab&amp;search_scope=EVERYTHING&amp;vid=01CRU&amp;lang=en_US&amp;offset=0&amp;query=any,contains,991000331259702656","Catalog Record")</f>
        <v/>
      </c>
      <c r="AV239">
        <f>HYPERLINK("http://www.worldcat.org/oclc/48381103","WorldCat Record")</f>
        <v/>
      </c>
      <c r="AW239" t="inlineStr">
        <is>
          <t>341214373:eng</t>
        </is>
      </c>
      <c r="AX239" t="inlineStr">
        <is>
          <t>48381103</t>
        </is>
      </c>
      <c r="AY239" t="inlineStr">
        <is>
          <t>991000331259702656</t>
        </is>
      </c>
      <c r="AZ239" t="inlineStr">
        <is>
          <t>991000331259702656</t>
        </is>
      </c>
      <c r="BA239" t="inlineStr">
        <is>
          <t>2268806220002656</t>
        </is>
      </c>
      <c r="BB239" t="inlineStr">
        <is>
          <t>BOOK</t>
        </is>
      </c>
      <c r="BE239" t="inlineStr">
        <is>
          <t>30001004237915</t>
        </is>
      </c>
      <c r="BF239" t="inlineStr">
        <is>
          <t>893741687</t>
        </is>
      </c>
    </row>
    <row r="240">
      <c r="B240" t="inlineStr">
        <is>
          <t>CUHSL</t>
        </is>
      </c>
      <c r="C240" t="inlineStr">
        <is>
          <t>SHELVES</t>
        </is>
      </c>
      <c r="D240" t="inlineStr">
        <is>
          <t>QV 50 S797c 1984</t>
        </is>
      </c>
      <c r="E240" t="inlineStr">
        <is>
          <t>0                      QV 0050000S  797c        1984</t>
        </is>
      </c>
      <c r="F240" t="inlineStr">
        <is>
          <t>Clinical uses of fluorides / a State of the Art Conference on the Uses of Fluorides in Clinical Dentistry ; edited by Stephen H.Y. Wei.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M240" t="inlineStr">
        <is>
          <t>State of the Art Conference on the Uses of Fluorides in Clinical Dentistry (1984 : San Francisco, Calif.)</t>
        </is>
      </c>
      <c r="N240" t="inlineStr">
        <is>
          <t>Philadelphia : Lea &amp; Febiger, c1985.</t>
        </is>
      </c>
      <c r="O240" t="inlineStr">
        <is>
          <t>1985</t>
        </is>
      </c>
      <c r="Q240" t="inlineStr">
        <is>
          <t>eng</t>
        </is>
      </c>
      <c r="R240" t="inlineStr">
        <is>
          <t>xxu</t>
        </is>
      </c>
      <c r="T240" t="inlineStr">
        <is>
          <t xml:space="preserve">QV </t>
        </is>
      </c>
      <c r="U240" t="n">
        <v>3</v>
      </c>
      <c r="V240" t="n">
        <v>3</v>
      </c>
      <c r="W240" t="inlineStr">
        <is>
          <t>1989-03-01</t>
        </is>
      </c>
      <c r="X240" t="inlineStr">
        <is>
          <t>1989-03-01</t>
        </is>
      </c>
      <c r="Y240" t="inlineStr">
        <is>
          <t>1988-02-04</t>
        </is>
      </c>
      <c r="Z240" t="inlineStr">
        <is>
          <t>1988-02-04</t>
        </is>
      </c>
      <c r="AA240" t="n">
        <v>34</v>
      </c>
      <c r="AB240" t="n">
        <v>22</v>
      </c>
      <c r="AC240" t="n">
        <v>104</v>
      </c>
      <c r="AD240" t="n">
        <v>1</v>
      </c>
      <c r="AE240" t="n">
        <v>2</v>
      </c>
      <c r="AF240" t="n">
        <v>1</v>
      </c>
      <c r="AG240" t="n">
        <v>4</v>
      </c>
      <c r="AH240" t="n">
        <v>0</v>
      </c>
      <c r="AI240" t="n">
        <v>0</v>
      </c>
      <c r="AJ240" t="n">
        <v>1</v>
      </c>
      <c r="AK240" t="n">
        <v>2</v>
      </c>
      <c r="AL240" t="n">
        <v>0</v>
      </c>
      <c r="AM240" t="n">
        <v>2</v>
      </c>
      <c r="AN240" t="n">
        <v>0</v>
      </c>
      <c r="AO240" t="n">
        <v>1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U240">
        <f>HYPERLINK("https://creighton-primo.hosted.exlibrisgroup.com/primo-explore/search?tab=default_tab&amp;search_scope=EVERYTHING&amp;vid=01CRU&amp;lang=en_US&amp;offset=0&amp;query=any,contains,991000953419702656","Catalog Record")</f>
        <v/>
      </c>
      <c r="AV240">
        <f>HYPERLINK("http://www.worldcat.org/oclc/11068408","WorldCat Record")</f>
        <v/>
      </c>
      <c r="AW240" t="inlineStr">
        <is>
          <t>836675561:eng</t>
        </is>
      </c>
      <c r="AX240" t="inlineStr">
        <is>
          <t>11068408</t>
        </is>
      </c>
      <c r="AY240" t="inlineStr">
        <is>
          <t>991000953419702656</t>
        </is>
      </c>
      <c r="AZ240" t="inlineStr">
        <is>
          <t>991000953419702656</t>
        </is>
      </c>
      <c r="BA240" t="inlineStr">
        <is>
          <t>2261659570002656</t>
        </is>
      </c>
      <c r="BB240" t="inlineStr">
        <is>
          <t>BOOK</t>
        </is>
      </c>
      <c r="BD240" t="inlineStr">
        <is>
          <t>9780812109702</t>
        </is>
      </c>
      <c r="BE240" t="inlineStr">
        <is>
          <t>30001000192866</t>
        </is>
      </c>
      <c r="BF240" t="inlineStr">
        <is>
          <t>893134123</t>
        </is>
      </c>
    </row>
    <row r="241">
      <c r="B241" t="inlineStr">
        <is>
          <t>CUHSL</t>
        </is>
      </c>
      <c r="C241" t="inlineStr">
        <is>
          <t>SHELVES</t>
        </is>
      </c>
      <c r="D241" t="inlineStr">
        <is>
          <t>QV 50 W239t 1994</t>
        </is>
      </c>
      <c r="E241" t="inlineStr">
        <is>
          <t>0                      QV 0050000W  239t        1994</t>
        </is>
      </c>
      <c r="F241" t="inlineStr">
        <is>
          <t>Textbook of dental pharmacology and therapeutics / J.G. Walton, John W. Thompson, and Robin A. Seymour.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M241" t="inlineStr">
        <is>
          <t>Walton, J. G.</t>
        </is>
      </c>
      <c r="N241" t="inlineStr">
        <is>
          <t>Oxford ; New York : Oxford University Press, c1994.</t>
        </is>
      </c>
      <c r="O241" t="inlineStr">
        <is>
          <t>1994</t>
        </is>
      </c>
      <c r="P241" t="inlineStr">
        <is>
          <t>2nd ed.</t>
        </is>
      </c>
      <c r="Q241" t="inlineStr">
        <is>
          <t>eng</t>
        </is>
      </c>
      <c r="R241" t="inlineStr">
        <is>
          <t>enk</t>
        </is>
      </c>
      <c r="S241" t="inlineStr">
        <is>
          <t>Oxford medical publications</t>
        </is>
      </c>
      <c r="T241" t="inlineStr">
        <is>
          <t xml:space="preserve">QV </t>
        </is>
      </c>
      <c r="U241" t="n">
        <v>11</v>
      </c>
      <c r="V241" t="n">
        <v>11</v>
      </c>
      <c r="W241" t="inlineStr">
        <is>
          <t>2002-01-10</t>
        </is>
      </c>
      <c r="X241" t="inlineStr">
        <is>
          <t>2002-01-10</t>
        </is>
      </c>
      <c r="Y241" t="inlineStr">
        <is>
          <t>1995-04-21</t>
        </is>
      </c>
      <c r="Z241" t="inlineStr">
        <is>
          <t>1995-04-21</t>
        </is>
      </c>
      <c r="AA241" t="n">
        <v>97</v>
      </c>
      <c r="AB241" t="n">
        <v>46</v>
      </c>
      <c r="AC241" t="n">
        <v>71</v>
      </c>
      <c r="AD241" t="n">
        <v>1</v>
      </c>
      <c r="AE241" t="n">
        <v>1</v>
      </c>
      <c r="AF241" t="n">
        <v>2</v>
      </c>
      <c r="AG241" t="n">
        <v>2</v>
      </c>
      <c r="AH241" t="n">
        <v>0</v>
      </c>
      <c r="AI241" t="n">
        <v>0</v>
      </c>
      <c r="AJ241" t="n">
        <v>1</v>
      </c>
      <c r="AK241" t="n">
        <v>1</v>
      </c>
      <c r="AL241" t="n">
        <v>2</v>
      </c>
      <c r="AM241" t="n">
        <v>2</v>
      </c>
      <c r="AN241" t="n">
        <v>0</v>
      </c>
      <c r="AO241" t="n">
        <v>0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HYPERLINK("http://catalog.hathitrust.org/Record/002906769","HathiTrust Record")</f>
        <v/>
      </c>
      <c r="AU241">
        <f>HYPERLINK("https://creighton-primo.hosted.exlibrisgroup.com/primo-explore/search?tab=default_tab&amp;search_scope=EVERYTHING&amp;vid=01CRU&amp;lang=en_US&amp;offset=0&amp;query=any,contains,991001399349702656","Catalog Record")</f>
        <v/>
      </c>
      <c r="AV241">
        <f>HYPERLINK("http://www.worldcat.org/oclc/29877093","WorldCat Record")</f>
        <v/>
      </c>
      <c r="AW241" t="inlineStr">
        <is>
          <t>17607076:eng</t>
        </is>
      </c>
      <c r="AX241" t="inlineStr">
        <is>
          <t>29877093</t>
        </is>
      </c>
      <c r="AY241" t="inlineStr">
        <is>
          <t>991001399349702656</t>
        </is>
      </c>
      <c r="AZ241" t="inlineStr">
        <is>
          <t>991001399349702656</t>
        </is>
      </c>
      <c r="BA241" t="inlineStr">
        <is>
          <t>2257930330002656</t>
        </is>
      </c>
      <c r="BB241" t="inlineStr">
        <is>
          <t>BOOK</t>
        </is>
      </c>
      <c r="BD241" t="inlineStr">
        <is>
          <t>9780192625069</t>
        </is>
      </c>
      <c r="BE241" t="inlineStr">
        <is>
          <t>30001003147438</t>
        </is>
      </c>
      <c r="BF241" t="inlineStr">
        <is>
          <t>893826706</t>
        </is>
      </c>
    </row>
    <row r="242">
      <c r="B242" t="inlineStr">
        <is>
          <t>CUHSL</t>
        </is>
      </c>
      <c r="C242" t="inlineStr">
        <is>
          <t>SHELVES</t>
        </is>
      </c>
      <c r="D242" t="inlineStr">
        <is>
          <t>QV55 A161c 2007</t>
        </is>
      </c>
      <c r="E242" t="inlineStr">
        <is>
          <t>0                      QV 0055000A  161c        2007</t>
        </is>
      </c>
      <c r="F242" t="inlineStr">
        <is>
          <t>Clinical drug therapy : rationales for nursing practice / Anne Collins Abrams, Carol Barnett Lammon, Sandra Smith Pennington ; consultant, Tracey L. Goldsmith.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Yes</t>
        </is>
      </c>
      <c r="L242" t="inlineStr">
        <is>
          <t>0</t>
        </is>
      </c>
      <c r="M242" t="inlineStr">
        <is>
          <t>Abrams, Anne Collins.</t>
        </is>
      </c>
      <c r="N242" t="inlineStr">
        <is>
          <t>Philadelphia : Lippincott Williams &amp; Wilkins, c2007.</t>
        </is>
      </c>
      <c r="O242" t="inlineStr">
        <is>
          <t>2007</t>
        </is>
      </c>
      <c r="P242" t="inlineStr">
        <is>
          <t>8th ed.</t>
        </is>
      </c>
      <c r="Q242" t="inlineStr">
        <is>
          <t>eng</t>
        </is>
      </c>
      <c r="R242" t="inlineStr">
        <is>
          <t>pau</t>
        </is>
      </c>
      <c r="T242" t="inlineStr">
        <is>
          <t xml:space="preserve">QV </t>
        </is>
      </c>
      <c r="U242" t="n">
        <v>2</v>
      </c>
      <c r="V242" t="n">
        <v>2</v>
      </c>
      <c r="W242" t="inlineStr">
        <is>
          <t>2006-04-05</t>
        </is>
      </c>
      <c r="X242" t="inlineStr">
        <is>
          <t>2006-04-05</t>
        </is>
      </c>
      <c r="Y242" t="inlineStr">
        <is>
          <t>2006-03-30</t>
        </is>
      </c>
      <c r="Z242" t="inlineStr">
        <is>
          <t>2006-03-30</t>
        </is>
      </c>
      <c r="AA242" t="n">
        <v>274</v>
      </c>
      <c r="AB242" t="n">
        <v>210</v>
      </c>
      <c r="AC242" t="n">
        <v>731</v>
      </c>
      <c r="AD242" t="n">
        <v>1</v>
      </c>
      <c r="AE242" t="n">
        <v>3</v>
      </c>
      <c r="AF242" t="n">
        <v>3</v>
      </c>
      <c r="AG242" t="n">
        <v>21</v>
      </c>
      <c r="AH242" t="n">
        <v>2</v>
      </c>
      <c r="AI242" t="n">
        <v>11</v>
      </c>
      <c r="AJ242" t="n">
        <v>0</v>
      </c>
      <c r="AK242" t="n">
        <v>3</v>
      </c>
      <c r="AL242" t="n">
        <v>1</v>
      </c>
      <c r="AM242" t="n">
        <v>10</v>
      </c>
      <c r="AN242" t="n">
        <v>0</v>
      </c>
      <c r="AO242" t="n">
        <v>1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HYPERLINK("https://creighton-primo.hosted.exlibrisgroup.com/primo-explore/search?tab=default_tab&amp;search_scope=EVERYTHING&amp;vid=01CRU&amp;lang=en_US&amp;offset=0&amp;query=any,contains,991001738049702656","Catalog Record")</f>
        <v/>
      </c>
      <c r="AV242">
        <f>HYPERLINK("http://www.worldcat.org/oclc/62078260","WorldCat Record")</f>
        <v/>
      </c>
      <c r="AW242" t="inlineStr">
        <is>
          <t>538738:eng</t>
        </is>
      </c>
      <c r="AX242" t="inlineStr">
        <is>
          <t>62078260</t>
        </is>
      </c>
      <c r="AY242" t="inlineStr">
        <is>
          <t>991001738049702656</t>
        </is>
      </c>
      <c r="AZ242" t="inlineStr">
        <is>
          <t>991001738049702656</t>
        </is>
      </c>
      <c r="BA242" t="inlineStr">
        <is>
          <t>2265648700002656</t>
        </is>
      </c>
      <c r="BB242" t="inlineStr">
        <is>
          <t>BOOK</t>
        </is>
      </c>
      <c r="BD242" t="inlineStr">
        <is>
          <t>9780781762632</t>
        </is>
      </c>
      <c r="BE242" t="inlineStr">
        <is>
          <t>30001005127172</t>
        </is>
      </c>
      <c r="BF242" t="inlineStr">
        <is>
          <t>893552710</t>
        </is>
      </c>
    </row>
    <row r="243">
      <c r="B243" t="inlineStr">
        <is>
          <t>CUHSL</t>
        </is>
      </c>
      <c r="C243" t="inlineStr">
        <is>
          <t>SHELVES</t>
        </is>
      </c>
      <c r="D243" t="inlineStr">
        <is>
          <t>QV 55 D575h 1993</t>
        </is>
      </c>
      <c r="E243" t="inlineStr">
        <is>
          <t>0                      QV 0055000D  575h        1993</t>
        </is>
      </c>
      <c r="F243" t="inlineStr">
        <is>
          <t>Handbook of commonly prescribed drugs / G. John DiGregorio, Edward J. Barbieri.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Yes</t>
        </is>
      </c>
      <c r="L243" t="inlineStr">
        <is>
          <t>0</t>
        </is>
      </c>
      <c r="M243" t="inlineStr">
        <is>
          <t>DiGregorio, G. John.</t>
        </is>
      </c>
      <c r="N243" t="inlineStr">
        <is>
          <t>West Chester, PA : Medical Surveillance Inc., c1993.</t>
        </is>
      </c>
      <c r="O243" t="inlineStr">
        <is>
          <t>1993</t>
        </is>
      </c>
      <c r="P243" t="inlineStr">
        <is>
          <t>8th ed.</t>
        </is>
      </c>
      <c r="Q243" t="inlineStr">
        <is>
          <t>eng</t>
        </is>
      </c>
      <c r="R243" t="inlineStr">
        <is>
          <t>pau</t>
        </is>
      </c>
      <c r="T243" t="inlineStr">
        <is>
          <t xml:space="preserve">QV </t>
        </is>
      </c>
      <c r="U243" t="n">
        <v>4</v>
      </c>
      <c r="V243" t="n">
        <v>4</v>
      </c>
      <c r="W243" t="inlineStr">
        <is>
          <t>1993-09-02</t>
        </is>
      </c>
      <c r="X243" t="inlineStr">
        <is>
          <t>1993-09-02</t>
        </is>
      </c>
      <c r="Y243" t="inlineStr">
        <is>
          <t>1993-08-31</t>
        </is>
      </c>
      <c r="Z243" t="inlineStr">
        <is>
          <t>1993-08-31</t>
        </is>
      </c>
      <c r="AA243" t="n">
        <v>11</v>
      </c>
      <c r="AB243" t="n">
        <v>10</v>
      </c>
      <c r="AC243" t="n">
        <v>158</v>
      </c>
      <c r="AD243" t="n">
        <v>1</v>
      </c>
      <c r="AE243" t="n">
        <v>1</v>
      </c>
      <c r="AF243" t="n">
        <v>0</v>
      </c>
      <c r="AG243" t="n">
        <v>2</v>
      </c>
      <c r="AH243" t="n">
        <v>0</v>
      </c>
      <c r="AI243" t="n">
        <v>2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HYPERLINK("http://catalog.hathitrust.org/Record/007068070","HathiTrust Record")</f>
        <v/>
      </c>
      <c r="AU243">
        <f>HYPERLINK("https://creighton-primo.hosted.exlibrisgroup.com/primo-explore/search?tab=default_tab&amp;search_scope=EVERYTHING&amp;vid=01CRU&amp;lang=en_US&amp;offset=0&amp;query=any,contains,991001511619702656","Catalog Record")</f>
        <v/>
      </c>
      <c r="AV243">
        <f>HYPERLINK("http://www.worldcat.org/oclc/28233351","WorldCat Record")</f>
        <v/>
      </c>
      <c r="AW243" t="inlineStr">
        <is>
          <t>659199:eng</t>
        </is>
      </c>
      <c r="AX243" t="inlineStr">
        <is>
          <t>28233351</t>
        </is>
      </c>
      <c r="AY243" t="inlineStr">
        <is>
          <t>991001511619702656</t>
        </is>
      </c>
      <c r="AZ243" t="inlineStr">
        <is>
          <t>991001511619702656</t>
        </is>
      </c>
      <c r="BA243" t="inlineStr">
        <is>
          <t>2261747370002656</t>
        </is>
      </c>
      <c r="BB243" t="inlineStr">
        <is>
          <t>BOOK</t>
        </is>
      </c>
      <c r="BD243" t="inlineStr">
        <is>
          <t>9780942447026</t>
        </is>
      </c>
      <c r="BE243" t="inlineStr">
        <is>
          <t>30001002600916</t>
        </is>
      </c>
      <c r="BF243" t="inlineStr">
        <is>
          <t>893741215</t>
        </is>
      </c>
    </row>
    <row r="244">
      <c r="B244" t="inlineStr">
        <is>
          <t>CUHSL</t>
        </is>
      </c>
      <c r="C244" t="inlineStr">
        <is>
          <t>SHELVES</t>
        </is>
      </c>
      <c r="D244" t="inlineStr">
        <is>
          <t>QV 55 D7945 1982</t>
        </is>
      </c>
      <c r="E244" t="inlineStr">
        <is>
          <t>0                      QV 0055000D  7945        1982</t>
        </is>
      </c>
      <c r="F244" t="inlineStr">
        <is>
          <t>Drugs.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N244" t="inlineStr">
        <is>
          <t>Springhouse, Pa. : Intermed Communications, amended reprint, 1983, c1982.</t>
        </is>
      </c>
      <c r="O244" t="inlineStr">
        <is>
          <t>1982</t>
        </is>
      </c>
      <c r="Q244" t="inlineStr">
        <is>
          <t>eng</t>
        </is>
      </c>
      <c r="R244" t="inlineStr">
        <is>
          <t>xxu</t>
        </is>
      </c>
      <c r="S244" t="inlineStr">
        <is>
          <t>The Nurse's reference library</t>
        </is>
      </c>
      <c r="T244" t="inlineStr">
        <is>
          <t xml:space="preserve">QV </t>
        </is>
      </c>
      <c r="U244" t="n">
        <v>8</v>
      </c>
      <c r="V244" t="n">
        <v>8</v>
      </c>
      <c r="W244" t="inlineStr">
        <is>
          <t>1989-11-29</t>
        </is>
      </c>
      <c r="X244" t="inlineStr">
        <is>
          <t>1989-11-29</t>
        </is>
      </c>
      <c r="Y244" t="inlineStr">
        <is>
          <t>1987-09-28</t>
        </is>
      </c>
      <c r="Z244" t="inlineStr">
        <is>
          <t>1987-09-28</t>
        </is>
      </c>
      <c r="AA244" t="n">
        <v>155</v>
      </c>
      <c r="AB244" t="n">
        <v>150</v>
      </c>
      <c r="AC244" t="n">
        <v>154</v>
      </c>
      <c r="AD244" t="n">
        <v>1</v>
      </c>
      <c r="AE244" t="n">
        <v>1</v>
      </c>
      <c r="AF244" t="n">
        <v>1</v>
      </c>
      <c r="AG244" t="n">
        <v>1</v>
      </c>
      <c r="AH244" t="n">
        <v>0</v>
      </c>
      <c r="AI244" t="n">
        <v>0</v>
      </c>
      <c r="AJ244" t="n">
        <v>0</v>
      </c>
      <c r="AK244" t="n">
        <v>0</v>
      </c>
      <c r="AL244" t="n">
        <v>1</v>
      </c>
      <c r="AM244" t="n">
        <v>1</v>
      </c>
      <c r="AN244" t="n">
        <v>0</v>
      </c>
      <c r="AO244" t="n">
        <v>0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HYPERLINK("http://catalog.hathitrust.org/Record/000270341","HathiTrust Record")</f>
        <v/>
      </c>
      <c r="AU244">
        <f>HYPERLINK("https://creighton-primo.hosted.exlibrisgroup.com/primo-explore/search?tab=default_tab&amp;search_scope=EVERYTHING&amp;vid=01CRU&amp;lang=en_US&amp;offset=0&amp;query=any,contains,991000747899702656","Catalog Record")</f>
        <v/>
      </c>
      <c r="AV244">
        <f>HYPERLINK("http://www.worldcat.org/oclc/8114411","WorldCat Record")</f>
        <v/>
      </c>
      <c r="AW244" t="inlineStr">
        <is>
          <t>54480932:eng</t>
        </is>
      </c>
      <c r="AX244" t="inlineStr">
        <is>
          <t>8114411</t>
        </is>
      </c>
      <c r="AY244" t="inlineStr">
        <is>
          <t>991000747899702656</t>
        </is>
      </c>
      <c r="AZ244" t="inlineStr">
        <is>
          <t>991000747899702656</t>
        </is>
      </c>
      <c r="BA244" t="inlineStr">
        <is>
          <t>2268984420002656</t>
        </is>
      </c>
      <c r="BB244" t="inlineStr">
        <is>
          <t>BOOK</t>
        </is>
      </c>
      <c r="BD244" t="inlineStr">
        <is>
          <t>9780916730383</t>
        </is>
      </c>
      <c r="BE244" t="inlineStr">
        <is>
          <t>30001000046435</t>
        </is>
      </c>
      <c r="BF244" t="inlineStr">
        <is>
          <t>893545786</t>
        </is>
      </c>
    </row>
    <row r="245">
      <c r="B245" t="inlineStr">
        <is>
          <t>CUHSL</t>
        </is>
      </c>
      <c r="C245" t="inlineStr">
        <is>
          <t>SHELVES</t>
        </is>
      </c>
      <c r="D245" t="inlineStr">
        <is>
          <t>QV 55 F184 1982</t>
        </is>
      </c>
      <c r="E245" t="inlineStr">
        <is>
          <t>0                      QV 0055000F  184         1982</t>
        </is>
      </c>
      <c r="F245" t="inlineStr">
        <is>
          <t>Falconer's The drug, the nurse, the patient.</t>
        </is>
      </c>
      <c r="H245" t="inlineStr">
        <is>
          <t>No</t>
        </is>
      </c>
      <c r="I245" t="inlineStr">
        <is>
          <t>2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N245" t="inlineStr">
        <is>
          <t>Philadelphia : Saunders, c1982.</t>
        </is>
      </c>
      <c r="O245" t="inlineStr">
        <is>
          <t>1982</t>
        </is>
      </c>
      <c r="P245" t="inlineStr">
        <is>
          <t>7th ed. / Eleanor Sheridan, H. Robert Patterson, Edward A. Gustafson.</t>
        </is>
      </c>
      <c r="Q245" t="inlineStr">
        <is>
          <t>eng</t>
        </is>
      </c>
      <c r="R245" t="inlineStr">
        <is>
          <t>xxu</t>
        </is>
      </c>
      <c r="T245" t="inlineStr">
        <is>
          <t xml:space="preserve">QV </t>
        </is>
      </c>
      <c r="U245" t="n">
        <v>5</v>
      </c>
      <c r="V245" t="n">
        <v>5</v>
      </c>
      <c r="W245" t="inlineStr">
        <is>
          <t>1994-08-24</t>
        </is>
      </c>
      <c r="X245" t="inlineStr">
        <is>
          <t>1994-08-24</t>
        </is>
      </c>
      <c r="Y245" t="inlineStr">
        <is>
          <t>1988-03-25</t>
        </is>
      </c>
      <c r="Z245" t="inlineStr">
        <is>
          <t>1988-03-25</t>
        </is>
      </c>
      <c r="AA245" t="n">
        <v>135</v>
      </c>
      <c r="AB245" t="n">
        <v>107</v>
      </c>
      <c r="AC245" t="n">
        <v>109</v>
      </c>
      <c r="AD245" t="n">
        <v>1</v>
      </c>
      <c r="AE245" t="n">
        <v>1</v>
      </c>
      <c r="AF245" t="n">
        <v>2</v>
      </c>
      <c r="AG245" t="n">
        <v>2</v>
      </c>
      <c r="AH245" t="n">
        <v>1</v>
      </c>
      <c r="AI245" t="n">
        <v>1</v>
      </c>
      <c r="AJ245" t="n">
        <v>0</v>
      </c>
      <c r="AK245" t="n">
        <v>0</v>
      </c>
      <c r="AL245" t="n">
        <v>2</v>
      </c>
      <c r="AM245" t="n">
        <v>2</v>
      </c>
      <c r="AN245" t="n">
        <v>0</v>
      </c>
      <c r="AO245" t="n">
        <v>0</v>
      </c>
      <c r="AP245" t="n">
        <v>0</v>
      </c>
      <c r="AQ245" t="n">
        <v>0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HYPERLINK("https://creighton-primo.hosted.exlibrisgroup.com/primo-explore/search?tab=default_tab&amp;search_scope=EVERYTHING&amp;vid=01CRU&amp;lang=en_US&amp;offset=0&amp;query=any,contains,991001176859702656","Catalog Record")</f>
        <v/>
      </c>
      <c r="AV245">
        <f>HYPERLINK("http://www.worldcat.org/oclc/7733325","WorldCat Record")</f>
        <v/>
      </c>
      <c r="AW245" t="inlineStr">
        <is>
          <t>54457806:eng</t>
        </is>
      </c>
      <c r="AX245" t="inlineStr">
        <is>
          <t>7733325</t>
        </is>
      </c>
      <c r="AY245" t="inlineStr">
        <is>
          <t>991001176859702656</t>
        </is>
      </c>
      <c r="AZ245" t="inlineStr">
        <is>
          <t>991001176859702656</t>
        </is>
      </c>
      <c r="BA245" t="inlineStr">
        <is>
          <t>2257059480002656</t>
        </is>
      </c>
      <c r="BB245" t="inlineStr">
        <is>
          <t>BOOK</t>
        </is>
      </c>
      <c r="BE245" t="inlineStr">
        <is>
          <t>30001000976110</t>
        </is>
      </c>
      <c r="BF245" t="inlineStr">
        <is>
          <t>893460324</t>
        </is>
      </c>
    </row>
    <row r="246">
      <c r="B246" t="inlineStr">
        <is>
          <t>CUHSL</t>
        </is>
      </c>
      <c r="C246" t="inlineStr">
        <is>
          <t>SHELVES</t>
        </is>
      </c>
      <c r="D246" t="inlineStr">
        <is>
          <t>QV 55 H2365 1993</t>
        </is>
      </c>
      <c r="E246" t="inlineStr">
        <is>
          <t>0                      QV 0055000H  2365        1993</t>
        </is>
      </c>
      <c r="F246" t="inlineStr">
        <is>
          <t>Handbook of commonly prescribed geriatric drugs / G. John DiGregorio, Edward J. Barbieri, Michael C. Kennedy, Andrew P. Ferko.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N246" t="inlineStr">
        <is>
          <t>West Chester, PA : Medical Surveillance Inc., c1993.</t>
        </is>
      </c>
      <c r="O246" t="inlineStr">
        <is>
          <t>1993</t>
        </is>
      </c>
      <c r="P246" t="inlineStr">
        <is>
          <t>1st ed.</t>
        </is>
      </c>
      <c r="Q246" t="inlineStr">
        <is>
          <t>eng</t>
        </is>
      </c>
      <c r="R246" t="inlineStr">
        <is>
          <t>pau</t>
        </is>
      </c>
      <c r="T246" t="inlineStr">
        <is>
          <t xml:space="preserve">QV </t>
        </is>
      </c>
      <c r="U246" t="n">
        <v>2</v>
      </c>
      <c r="V246" t="n">
        <v>2</v>
      </c>
      <c r="W246" t="inlineStr">
        <is>
          <t>1993-09-02</t>
        </is>
      </c>
      <c r="X246" t="inlineStr">
        <is>
          <t>1993-09-02</t>
        </is>
      </c>
      <c r="Y246" t="inlineStr">
        <is>
          <t>1993-08-31</t>
        </is>
      </c>
      <c r="Z246" t="inlineStr">
        <is>
          <t>1993-08-31</t>
        </is>
      </c>
      <c r="AA246" t="n">
        <v>11</v>
      </c>
      <c r="AB246" t="n">
        <v>10</v>
      </c>
      <c r="AC246" t="n">
        <v>10</v>
      </c>
      <c r="AD246" t="n">
        <v>1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inlineStr">
        <is>
          <t>No</t>
        </is>
      </c>
      <c r="AS246" t="inlineStr">
        <is>
          <t>No</t>
        </is>
      </c>
      <c r="AU246">
        <f>HYPERLINK("https://creighton-primo.hosted.exlibrisgroup.com/primo-explore/search?tab=default_tab&amp;search_scope=EVERYTHING&amp;vid=01CRU&amp;lang=en_US&amp;offset=0&amp;query=any,contains,991001511649702656","Catalog Record")</f>
        <v/>
      </c>
      <c r="AV246">
        <f>HYPERLINK("http://www.worldcat.org/oclc/28581559","WorldCat Record")</f>
        <v/>
      </c>
      <c r="AW246" t="inlineStr">
        <is>
          <t>3857507980:eng</t>
        </is>
      </c>
      <c r="AX246" t="inlineStr">
        <is>
          <t>28581559</t>
        </is>
      </c>
      <c r="AY246" t="inlineStr">
        <is>
          <t>991001511649702656</t>
        </is>
      </c>
      <c r="AZ246" t="inlineStr">
        <is>
          <t>991001511649702656</t>
        </is>
      </c>
      <c r="BA246" t="inlineStr">
        <is>
          <t>2261761920002656</t>
        </is>
      </c>
      <c r="BB246" t="inlineStr">
        <is>
          <t>BOOK</t>
        </is>
      </c>
      <c r="BD246" t="inlineStr">
        <is>
          <t>9780942447019</t>
        </is>
      </c>
      <c r="BE246" t="inlineStr">
        <is>
          <t>30001002600924</t>
        </is>
      </c>
      <c r="BF246" t="inlineStr">
        <is>
          <t>893736670</t>
        </is>
      </c>
    </row>
    <row r="247">
      <c r="B247" t="inlineStr">
        <is>
          <t>CUHSL</t>
        </is>
      </c>
      <c r="C247" t="inlineStr">
        <is>
          <t>SHELVES</t>
        </is>
      </c>
      <c r="D247" t="inlineStr">
        <is>
          <t>QV 55 H2464 1983</t>
        </is>
      </c>
      <c r="E247" t="inlineStr">
        <is>
          <t>0                      QV 0055000H  2464        1983</t>
        </is>
      </c>
      <c r="F247" t="inlineStr">
        <is>
          <t>Handbook of clinical drug data / editors, James E. Knoben, Philip O. Anderson ; assistant editor, Larry J. Davis ; contributing editors, William D. Ball, William G. Troutman.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Yes</t>
        </is>
      </c>
      <c r="L247" t="inlineStr">
        <is>
          <t>0</t>
        </is>
      </c>
      <c r="N247" t="inlineStr">
        <is>
          <t>Hamilton, Ill. : Drug Intelligence Publications, c1983.</t>
        </is>
      </c>
      <c r="O247" t="inlineStr">
        <is>
          <t>1983</t>
        </is>
      </c>
      <c r="P247" t="inlineStr">
        <is>
          <t>5th ed.</t>
        </is>
      </c>
      <c r="Q247" t="inlineStr">
        <is>
          <t>eng</t>
        </is>
      </c>
      <c r="R247" t="inlineStr">
        <is>
          <t>ilu</t>
        </is>
      </c>
      <c r="T247" t="inlineStr">
        <is>
          <t xml:space="preserve">QV </t>
        </is>
      </c>
      <c r="U247" t="n">
        <v>11</v>
      </c>
      <c r="V247" t="n">
        <v>11</v>
      </c>
      <c r="W247" t="inlineStr">
        <is>
          <t>1999-08-30</t>
        </is>
      </c>
      <c r="X247" t="inlineStr">
        <is>
          <t>1999-08-30</t>
        </is>
      </c>
      <c r="Y247" t="inlineStr">
        <is>
          <t>1987-09-28</t>
        </is>
      </c>
      <c r="Z247" t="inlineStr">
        <is>
          <t>1987-09-28</t>
        </is>
      </c>
      <c r="AA247" t="n">
        <v>122</v>
      </c>
      <c r="AB247" t="n">
        <v>94</v>
      </c>
      <c r="AC247" t="n">
        <v>314</v>
      </c>
      <c r="AD247" t="n">
        <v>1</v>
      </c>
      <c r="AE247" t="n">
        <v>2</v>
      </c>
      <c r="AF247" t="n">
        <v>1</v>
      </c>
      <c r="AG247" t="n">
        <v>6</v>
      </c>
      <c r="AH247" t="n">
        <v>1</v>
      </c>
      <c r="AI247" t="n">
        <v>4</v>
      </c>
      <c r="AJ247" t="n">
        <v>0</v>
      </c>
      <c r="AK247" t="n">
        <v>1</v>
      </c>
      <c r="AL247" t="n">
        <v>0</v>
      </c>
      <c r="AM247" t="n">
        <v>2</v>
      </c>
      <c r="AN247" t="n">
        <v>0</v>
      </c>
      <c r="AO247" t="n">
        <v>1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HYPERLINK("http://catalog.hathitrust.org/Record/000315018","HathiTrust Record")</f>
        <v/>
      </c>
      <c r="AU247">
        <f>HYPERLINK("https://creighton-primo.hosted.exlibrisgroup.com/primo-explore/search?tab=default_tab&amp;search_scope=EVERYTHING&amp;vid=01CRU&amp;lang=en_US&amp;offset=0&amp;query=any,contains,991000747939702656","Catalog Record")</f>
        <v/>
      </c>
      <c r="AV247">
        <f>HYPERLINK("http://www.worldcat.org/oclc/9043234","WorldCat Record")</f>
        <v/>
      </c>
      <c r="AW247" t="inlineStr">
        <is>
          <t>864076723:eng</t>
        </is>
      </c>
      <c r="AX247" t="inlineStr">
        <is>
          <t>9043234</t>
        </is>
      </c>
      <c r="AY247" t="inlineStr">
        <is>
          <t>991000747939702656</t>
        </is>
      </c>
      <c r="AZ247" t="inlineStr">
        <is>
          <t>991000747939702656</t>
        </is>
      </c>
      <c r="BA247" t="inlineStr">
        <is>
          <t>2266727380002656</t>
        </is>
      </c>
      <c r="BB247" t="inlineStr">
        <is>
          <t>BOOK</t>
        </is>
      </c>
      <c r="BD247" t="inlineStr">
        <is>
          <t>9780914768418</t>
        </is>
      </c>
      <c r="BE247" t="inlineStr">
        <is>
          <t>30001000046450</t>
        </is>
      </c>
      <c r="BF247" t="inlineStr">
        <is>
          <t>893731050</t>
        </is>
      </c>
    </row>
    <row r="248">
      <c r="B248" t="inlineStr">
        <is>
          <t>CUHSL</t>
        </is>
      </c>
      <c r="C248" t="inlineStr">
        <is>
          <t>SHELVES</t>
        </is>
      </c>
      <c r="D248" t="inlineStr">
        <is>
          <t>QV 55 H2466 2003</t>
        </is>
      </c>
      <c r="E248" t="inlineStr">
        <is>
          <t>0                      QV 0055000H  2466        2003</t>
        </is>
      </c>
      <c r="F248" t="inlineStr">
        <is>
          <t>Handbook of pharmaceutical biotechnology / Jay P. Rho, Stan G. Louie, editors.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N248" t="inlineStr">
        <is>
          <t>New York : Pharmaceutical Products Press, c2003.</t>
        </is>
      </c>
      <c r="O248" t="inlineStr">
        <is>
          <t>2003</t>
        </is>
      </c>
      <c r="Q248" t="inlineStr">
        <is>
          <t>eng</t>
        </is>
      </c>
      <c r="R248" t="inlineStr">
        <is>
          <t>nyu</t>
        </is>
      </c>
      <c r="T248" t="inlineStr">
        <is>
          <t xml:space="preserve">QV </t>
        </is>
      </c>
      <c r="U248" t="n">
        <v>0</v>
      </c>
      <c r="V248" t="n">
        <v>0</v>
      </c>
      <c r="W248" t="inlineStr">
        <is>
          <t>2009-05-22</t>
        </is>
      </c>
      <c r="X248" t="inlineStr">
        <is>
          <t>2009-05-22</t>
        </is>
      </c>
      <c r="Y248" t="inlineStr">
        <is>
          <t>2009-05-21</t>
        </is>
      </c>
      <c r="Z248" t="inlineStr">
        <is>
          <t>2009-05-21</t>
        </is>
      </c>
      <c r="AA248" t="n">
        <v>161</v>
      </c>
      <c r="AB248" t="n">
        <v>109</v>
      </c>
      <c r="AC248" t="n">
        <v>111</v>
      </c>
      <c r="AD248" t="n">
        <v>1</v>
      </c>
      <c r="AE248" t="n">
        <v>1</v>
      </c>
      <c r="AF248" t="n">
        <v>4</v>
      </c>
      <c r="AG248" t="n">
        <v>4</v>
      </c>
      <c r="AH248" t="n">
        <v>2</v>
      </c>
      <c r="AI248" t="n">
        <v>2</v>
      </c>
      <c r="AJ248" t="n">
        <v>1</v>
      </c>
      <c r="AK248" t="n">
        <v>1</v>
      </c>
      <c r="AL248" t="n">
        <v>1</v>
      </c>
      <c r="AM248" t="n">
        <v>1</v>
      </c>
      <c r="AN248" t="n">
        <v>0</v>
      </c>
      <c r="AO248" t="n">
        <v>0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HYPERLINK("http://catalog.hathitrust.org/Record/004318873","HathiTrust Record")</f>
        <v/>
      </c>
      <c r="AU248">
        <f>HYPERLINK("https://creighton-primo.hosted.exlibrisgroup.com/primo-explore/search?tab=default_tab&amp;search_scope=EVERYTHING&amp;vid=01CRU&amp;lang=en_US&amp;offset=0&amp;query=any,contains,991001464179702656","Catalog Record")</f>
        <v/>
      </c>
      <c r="AV248">
        <f>HYPERLINK("http://www.worldcat.org/oclc/48383568","WorldCat Record")</f>
        <v/>
      </c>
      <c r="AW248" t="inlineStr">
        <is>
          <t>366717232:eng</t>
        </is>
      </c>
      <c r="AX248" t="inlineStr">
        <is>
          <t>48383568</t>
        </is>
      </c>
      <c r="AY248" t="inlineStr">
        <is>
          <t>991001464179702656</t>
        </is>
      </c>
      <c r="AZ248" t="inlineStr">
        <is>
          <t>991001464179702656</t>
        </is>
      </c>
      <c r="BA248" t="inlineStr">
        <is>
          <t>2271896330002656</t>
        </is>
      </c>
      <c r="BB248" t="inlineStr">
        <is>
          <t>BOOK</t>
        </is>
      </c>
      <c r="BD248" t="inlineStr">
        <is>
          <t>9780789001528</t>
        </is>
      </c>
      <c r="BE248" t="inlineStr">
        <is>
          <t>30001004916732</t>
        </is>
      </c>
      <c r="BF248" t="inlineStr">
        <is>
          <t>893732046</t>
        </is>
      </c>
    </row>
    <row r="249">
      <c r="B249" t="inlineStr">
        <is>
          <t>CUHSL</t>
        </is>
      </c>
      <c r="C249" t="inlineStr">
        <is>
          <t>SHELVES</t>
        </is>
      </c>
      <c r="D249" t="inlineStr">
        <is>
          <t>QV 55 I606 1987p</t>
        </is>
      </c>
      <c r="E249" t="inlineStr">
        <is>
          <t>0                      QV 0055000I  606         1987p</t>
        </is>
      </c>
      <c r="F249" t="inlineStr">
        <is>
          <t>Polymers in medicine III : proceedings of the Third International Conference on Polymers in Medicine, Porto Cervo, Italy, June 9-13, 1987 / edited by Claudio Migliaresi ... [et al.].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International Conference on Polymers in Medicine (3rd : 1987 : Porto Cervo, Italy)</t>
        </is>
      </c>
      <c r="N249" t="inlineStr">
        <is>
          <t>New York, NY : Elsevier Science Publishers, c1988.</t>
        </is>
      </c>
      <c r="O249" t="inlineStr">
        <is>
          <t>1988</t>
        </is>
      </c>
      <c r="Q249" t="inlineStr">
        <is>
          <t>eng</t>
        </is>
      </c>
      <c r="R249" t="inlineStr">
        <is>
          <t>xxu</t>
        </is>
      </c>
      <c r="S249" t="inlineStr">
        <is>
          <t>Progress in biomedical engineering ; 5</t>
        </is>
      </c>
      <c r="T249" t="inlineStr">
        <is>
          <t xml:space="preserve">QV </t>
        </is>
      </c>
      <c r="U249" t="n">
        <v>4</v>
      </c>
      <c r="V249" t="n">
        <v>4</v>
      </c>
      <c r="W249" t="inlineStr">
        <is>
          <t>1989-08-11</t>
        </is>
      </c>
      <c r="X249" t="inlineStr">
        <is>
          <t>1989-08-11</t>
        </is>
      </c>
      <c r="Y249" t="inlineStr">
        <is>
          <t>1988-12-23</t>
        </is>
      </c>
      <c r="Z249" t="inlineStr">
        <is>
          <t>1988-12-23</t>
        </is>
      </c>
      <c r="AA249" t="n">
        <v>87</v>
      </c>
      <c r="AB249" t="n">
        <v>65</v>
      </c>
      <c r="AC249" t="n">
        <v>67</v>
      </c>
      <c r="AD249" t="n">
        <v>2</v>
      </c>
      <c r="AE249" t="n">
        <v>2</v>
      </c>
      <c r="AF249" t="n">
        <v>1</v>
      </c>
      <c r="AG249" t="n">
        <v>1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1</v>
      </c>
      <c r="AO249" t="n">
        <v>1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HYPERLINK("http://catalog.hathitrust.org/Record/002237734","HathiTrust Record")</f>
        <v/>
      </c>
      <c r="AU249">
        <f>HYPERLINK("https://creighton-primo.hosted.exlibrisgroup.com/primo-explore/search?tab=default_tab&amp;search_scope=EVERYTHING&amp;vid=01CRU&amp;lang=en_US&amp;offset=0&amp;query=any,contains,991001111769702656","Catalog Record")</f>
        <v/>
      </c>
      <c r="AV249">
        <f>HYPERLINK("http://www.worldcat.org/oclc/18258255","WorldCat Record")</f>
        <v/>
      </c>
      <c r="AW249" t="inlineStr">
        <is>
          <t>423173647:eng</t>
        </is>
      </c>
      <c r="AX249" t="inlineStr">
        <is>
          <t>18258255</t>
        </is>
      </c>
      <c r="AY249" t="inlineStr">
        <is>
          <t>991001111769702656</t>
        </is>
      </c>
      <c r="AZ249" t="inlineStr">
        <is>
          <t>991001111769702656</t>
        </is>
      </c>
      <c r="BA249" t="inlineStr">
        <is>
          <t>2263340080002656</t>
        </is>
      </c>
      <c r="BB249" t="inlineStr">
        <is>
          <t>BOOK</t>
        </is>
      </c>
      <c r="BD249" t="inlineStr">
        <is>
          <t>9780444430038</t>
        </is>
      </c>
      <c r="BE249" t="inlineStr">
        <is>
          <t>30001001612227</t>
        </is>
      </c>
      <c r="BF249" t="inlineStr">
        <is>
          <t>893455483</t>
        </is>
      </c>
    </row>
    <row r="250">
      <c r="B250" t="inlineStr">
        <is>
          <t>CUHSL</t>
        </is>
      </c>
      <c r="C250" t="inlineStr">
        <is>
          <t>SHELVES</t>
        </is>
      </c>
      <c r="D250" t="inlineStr">
        <is>
          <t>QV 55 K72h 1978</t>
        </is>
      </c>
      <c r="E250" t="inlineStr">
        <is>
          <t>0                      QV 0055000K  72h         1978</t>
        </is>
      </c>
      <c r="F250" t="inlineStr">
        <is>
          <t>Handbook of clinical drug data / by James E. Knoben, Philip O. Anderson, Arthur S. Watanabe.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Yes</t>
        </is>
      </c>
      <c r="L250" t="inlineStr">
        <is>
          <t>0</t>
        </is>
      </c>
      <c r="M250" t="inlineStr">
        <is>
          <t>Knoben, James E.</t>
        </is>
      </c>
      <c r="N250" t="inlineStr">
        <is>
          <t>Hamilton, Ill. : Drug Intelligence Publication, 1978.</t>
        </is>
      </c>
      <c r="O250" t="inlineStr">
        <is>
          <t>1978</t>
        </is>
      </c>
      <c r="P250" t="inlineStr">
        <is>
          <t>4th ed.</t>
        </is>
      </c>
      <c r="Q250" t="inlineStr">
        <is>
          <t>eng</t>
        </is>
      </c>
      <c r="R250" t="inlineStr">
        <is>
          <t>ilu</t>
        </is>
      </c>
      <c r="T250" t="inlineStr">
        <is>
          <t xml:space="preserve">QV </t>
        </is>
      </c>
      <c r="U250" t="n">
        <v>3</v>
      </c>
      <c r="V250" t="n">
        <v>3</v>
      </c>
      <c r="W250" t="inlineStr">
        <is>
          <t>1988-05-09</t>
        </is>
      </c>
      <c r="X250" t="inlineStr">
        <is>
          <t>1988-05-09</t>
        </is>
      </c>
      <c r="Y250" t="inlineStr">
        <is>
          <t>1988-02-04</t>
        </is>
      </c>
      <c r="Z250" t="inlineStr">
        <is>
          <t>1988-02-04</t>
        </is>
      </c>
      <c r="AA250" t="n">
        <v>63</v>
      </c>
      <c r="AB250" t="n">
        <v>47</v>
      </c>
      <c r="AC250" t="n">
        <v>314</v>
      </c>
      <c r="AD250" t="n">
        <v>1</v>
      </c>
      <c r="AE250" t="n">
        <v>2</v>
      </c>
      <c r="AF250" t="n">
        <v>0</v>
      </c>
      <c r="AG250" t="n">
        <v>6</v>
      </c>
      <c r="AH250" t="n">
        <v>0</v>
      </c>
      <c r="AI250" t="n">
        <v>4</v>
      </c>
      <c r="AJ250" t="n">
        <v>0</v>
      </c>
      <c r="AK250" t="n">
        <v>1</v>
      </c>
      <c r="AL250" t="n">
        <v>0</v>
      </c>
      <c r="AM250" t="n">
        <v>2</v>
      </c>
      <c r="AN250" t="n">
        <v>0</v>
      </c>
      <c r="AO250" t="n">
        <v>1</v>
      </c>
      <c r="AP250" t="n">
        <v>0</v>
      </c>
      <c r="AQ250" t="n">
        <v>0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HYPERLINK("https://creighton-primo.hosted.exlibrisgroup.com/primo-explore/search?tab=default_tab&amp;search_scope=EVERYTHING&amp;vid=01CRU&amp;lang=en_US&amp;offset=0&amp;query=any,contains,991000953649702656","Catalog Record")</f>
        <v/>
      </c>
      <c r="AV250">
        <f>HYPERLINK("http://www.worldcat.org/oclc/3712062","WorldCat Record")</f>
        <v/>
      </c>
      <c r="AW250" t="inlineStr">
        <is>
          <t>864076723:eng</t>
        </is>
      </c>
      <c r="AX250" t="inlineStr">
        <is>
          <t>3712062</t>
        </is>
      </c>
      <c r="AY250" t="inlineStr">
        <is>
          <t>991000953649702656</t>
        </is>
      </c>
      <c r="AZ250" t="inlineStr">
        <is>
          <t>991000953649702656</t>
        </is>
      </c>
      <c r="BA250" t="inlineStr">
        <is>
          <t>2263066670002656</t>
        </is>
      </c>
      <c r="BB250" t="inlineStr">
        <is>
          <t>BOOK</t>
        </is>
      </c>
      <c r="BE250" t="inlineStr">
        <is>
          <t>30001000192940</t>
        </is>
      </c>
      <c r="BF250" t="inlineStr">
        <is>
          <t>893551968</t>
        </is>
      </c>
    </row>
    <row r="251">
      <c r="B251" t="inlineStr">
        <is>
          <t>CUHSL</t>
        </is>
      </c>
      <c r="C251" t="inlineStr">
        <is>
          <t>SHELVES</t>
        </is>
      </c>
      <c r="D251" t="inlineStr">
        <is>
          <t>QV 55 M689 1979</t>
        </is>
      </c>
      <c r="E251" t="inlineStr">
        <is>
          <t>0                      QV 0055000M  689         1979</t>
        </is>
      </c>
      <c r="F251" t="inlineStr">
        <is>
          <t>Modern pharmaceutics / [edited by] Gilbert S. Banker, Christopher T. Rhodes.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Yes</t>
        </is>
      </c>
      <c r="L251" t="inlineStr">
        <is>
          <t>0</t>
        </is>
      </c>
      <c r="N251" t="inlineStr">
        <is>
          <t>New York : M. Dekker, c1979.</t>
        </is>
      </c>
      <c r="O251" t="inlineStr">
        <is>
          <t>1979</t>
        </is>
      </c>
      <c r="Q251" t="inlineStr">
        <is>
          <t>eng</t>
        </is>
      </c>
      <c r="R251" t="inlineStr">
        <is>
          <t>nyu</t>
        </is>
      </c>
      <c r="S251" t="inlineStr">
        <is>
          <t>Drugs and the pharmaceutical sciences ; v. 7</t>
        </is>
      </c>
      <c r="T251" t="inlineStr">
        <is>
          <t xml:space="preserve">QV </t>
        </is>
      </c>
      <c r="U251" t="n">
        <v>9</v>
      </c>
      <c r="V251" t="n">
        <v>9</v>
      </c>
      <c r="W251" t="inlineStr">
        <is>
          <t>2005-05-27</t>
        </is>
      </c>
      <c r="X251" t="inlineStr">
        <is>
          <t>2005-05-27</t>
        </is>
      </c>
      <c r="Y251" t="inlineStr">
        <is>
          <t>1988-02-04</t>
        </is>
      </c>
      <c r="Z251" t="inlineStr">
        <is>
          <t>1988-02-04</t>
        </is>
      </c>
      <c r="AA251" t="n">
        <v>142</v>
      </c>
      <c r="AB251" t="n">
        <v>91</v>
      </c>
      <c r="AC251" t="n">
        <v>537</v>
      </c>
      <c r="AD251" t="n">
        <v>1</v>
      </c>
      <c r="AE251" t="n">
        <v>2</v>
      </c>
      <c r="AF251" t="n">
        <v>4</v>
      </c>
      <c r="AG251" t="n">
        <v>10</v>
      </c>
      <c r="AH251" t="n">
        <v>3</v>
      </c>
      <c r="AI251" t="n">
        <v>8</v>
      </c>
      <c r="AJ251" t="n">
        <v>1</v>
      </c>
      <c r="AK251" t="n">
        <v>2</v>
      </c>
      <c r="AL251" t="n">
        <v>1</v>
      </c>
      <c r="AM251" t="n">
        <v>1</v>
      </c>
      <c r="AN251" t="n">
        <v>0</v>
      </c>
      <c r="AO251" t="n">
        <v>1</v>
      </c>
      <c r="AP251" t="n">
        <v>0</v>
      </c>
      <c r="AQ251" t="n">
        <v>0</v>
      </c>
      <c r="AR251" t="inlineStr">
        <is>
          <t>No</t>
        </is>
      </c>
      <c r="AS251" t="inlineStr">
        <is>
          <t>Yes</t>
        </is>
      </c>
      <c r="AT251">
        <f>HYPERLINK("http://catalog.hathitrust.org/Record/000683374","HathiTrust Record")</f>
        <v/>
      </c>
      <c r="AU251">
        <f>HYPERLINK("https://creighton-primo.hosted.exlibrisgroup.com/primo-explore/search?tab=default_tab&amp;search_scope=EVERYTHING&amp;vid=01CRU&amp;lang=en_US&amp;offset=0&amp;query=any,contains,991000953709702656","Catalog Record")</f>
        <v/>
      </c>
      <c r="AV251">
        <f>HYPERLINK("http://www.worldcat.org/oclc/5286412","WorldCat Record")</f>
        <v/>
      </c>
      <c r="AW251" t="inlineStr">
        <is>
          <t>864863749:eng</t>
        </is>
      </c>
      <c r="AX251" t="inlineStr">
        <is>
          <t>5286412</t>
        </is>
      </c>
      <c r="AY251" t="inlineStr">
        <is>
          <t>991000953709702656</t>
        </is>
      </c>
      <c r="AZ251" t="inlineStr">
        <is>
          <t>991000953709702656</t>
        </is>
      </c>
      <c r="BA251" t="inlineStr">
        <is>
          <t>2271755860002656</t>
        </is>
      </c>
      <c r="BB251" t="inlineStr">
        <is>
          <t>BOOK</t>
        </is>
      </c>
      <c r="BD251" t="inlineStr">
        <is>
          <t>9780824768331</t>
        </is>
      </c>
      <c r="BE251" t="inlineStr">
        <is>
          <t>30001000192957</t>
        </is>
      </c>
      <c r="BF251" t="inlineStr">
        <is>
          <t>893267861</t>
        </is>
      </c>
    </row>
    <row r="252">
      <c r="B252" t="inlineStr">
        <is>
          <t>CUHSL</t>
        </is>
      </c>
      <c r="C252" t="inlineStr">
        <is>
          <t>SHELVES</t>
        </is>
      </c>
      <c r="D252" t="inlineStr">
        <is>
          <t>QV 55 S958s 1963</t>
        </is>
      </c>
      <c r="E252" t="inlineStr">
        <is>
          <t>0                      QV 0055000S  958s        1963</t>
        </is>
      </c>
      <c r="F252" t="inlineStr">
        <is>
          <t>Spectrophotometric analysis of drugs : including atlas of spectra / by Irving Sunshine and S. R. Gerber.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Sunshine, Irving.</t>
        </is>
      </c>
      <c r="N252" t="inlineStr">
        <is>
          <t>Springfield, Ill. : Thomas, 1963.</t>
        </is>
      </c>
      <c r="O252" t="inlineStr">
        <is>
          <t>1963</t>
        </is>
      </c>
      <c r="Q252" t="inlineStr">
        <is>
          <t>eng</t>
        </is>
      </c>
      <c r="R252" t="inlineStr">
        <is>
          <t xml:space="preserve">xx </t>
        </is>
      </c>
      <c r="T252" t="inlineStr">
        <is>
          <t xml:space="preserve">QV </t>
        </is>
      </c>
      <c r="U252" t="n">
        <v>0</v>
      </c>
      <c r="V252" t="n">
        <v>0</v>
      </c>
      <c r="W252" t="inlineStr">
        <is>
          <t>2007-02-04</t>
        </is>
      </c>
      <c r="X252" t="inlineStr">
        <is>
          <t>2007-02-04</t>
        </is>
      </c>
      <c r="Y252" t="inlineStr">
        <is>
          <t>1988-03-03</t>
        </is>
      </c>
      <c r="Z252" t="inlineStr">
        <is>
          <t>1988-03-03</t>
        </is>
      </c>
      <c r="AA252" t="n">
        <v>144</v>
      </c>
      <c r="AB252" t="n">
        <v>108</v>
      </c>
      <c r="AC252" t="n">
        <v>111</v>
      </c>
      <c r="AD252" t="n">
        <v>2</v>
      </c>
      <c r="AE252" t="n">
        <v>2</v>
      </c>
      <c r="AF252" t="n">
        <v>2</v>
      </c>
      <c r="AG252" t="n">
        <v>2</v>
      </c>
      <c r="AH252" t="n">
        <v>0</v>
      </c>
      <c r="AI252" t="n">
        <v>0</v>
      </c>
      <c r="AJ252" t="n">
        <v>0</v>
      </c>
      <c r="AK252" t="n">
        <v>0</v>
      </c>
      <c r="AL252" t="n">
        <v>1</v>
      </c>
      <c r="AM252" t="n">
        <v>1</v>
      </c>
      <c r="AN252" t="n">
        <v>1</v>
      </c>
      <c r="AO252" t="n">
        <v>1</v>
      </c>
      <c r="AP252" t="n">
        <v>0</v>
      </c>
      <c r="AQ252" t="n">
        <v>0</v>
      </c>
      <c r="AR252" t="inlineStr">
        <is>
          <t>No</t>
        </is>
      </c>
      <c r="AS252" t="inlineStr">
        <is>
          <t>No</t>
        </is>
      </c>
      <c r="AT252">
        <f>HYPERLINK("http://catalog.hathitrust.org/Record/001573908","HathiTrust Record")</f>
        <v/>
      </c>
      <c r="AU252">
        <f>HYPERLINK("https://creighton-primo.hosted.exlibrisgroup.com/primo-explore/search?tab=default_tab&amp;search_scope=EVERYTHING&amp;vid=01CRU&amp;lang=en_US&amp;offset=0&amp;query=any,contains,991000952549702656","Catalog Record")</f>
        <v/>
      </c>
      <c r="AV252">
        <f>HYPERLINK("http://www.worldcat.org/oclc/1399040","WorldCat Record")</f>
        <v/>
      </c>
      <c r="AW252" t="inlineStr">
        <is>
          <t>2364437:eng</t>
        </is>
      </c>
      <c r="AX252" t="inlineStr">
        <is>
          <t>1399040</t>
        </is>
      </c>
      <c r="AY252" t="inlineStr">
        <is>
          <t>991000952549702656</t>
        </is>
      </c>
      <c r="AZ252" t="inlineStr">
        <is>
          <t>991000952549702656</t>
        </is>
      </c>
      <c r="BA252" t="inlineStr">
        <is>
          <t>2263826270002656</t>
        </is>
      </c>
      <c r="BB252" t="inlineStr">
        <is>
          <t>BOOK</t>
        </is>
      </c>
      <c r="BE252" t="inlineStr">
        <is>
          <t>30001000192189</t>
        </is>
      </c>
      <c r="BF252" t="inlineStr">
        <is>
          <t>893465040</t>
        </is>
      </c>
    </row>
    <row r="253">
      <c r="B253" t="inlineStr">
        <is>
          <t>CUHSL</t>
        </is>
      </c>
      <c r="C253" t="inlineStr">
        <is>
          <t>SHELVES</t>
        </is>
      </c>
      <c r="D253" t="inlineStr">
        <is>
          <t>QV 60 P5361 1992</t>
        </is>
      </c>
      <c r="E253" t="inlineStr">
        <is>
          <t>0                      QV 0060000P  5361        1992</t>
        </is>
      </c>
      <c r="F253" t="inlineStr">
        <is>
          <t>Pharmacology of the skin / Hasan Mukhtar, editor.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N253" t="inlineStr">
        <is>
          <t>Boca Raton : CRC Press, c1992.</t>
        </is>
      </c>
      <c r="O253" t="inlineStr">
        <is>
          <t>1992</t>
        </is>
      </c>
      <c r="Q253" t="inlineStr">
        <is>
          <t>eng</t>
        </is>
      </c>
      <c r="R253" t="inlineStr">
        <is>
          <t>flu</t>
        </is>
      </c>
      <c r="S253" t="inlineStr">
        <is>
          <t>Pharmacology &amp; toxicology</t>
        </is>
      </c>
      <c r="T253" t="inlineStr">
        <is>
          <t xml:space="preserve">QV </t>
        </is>
      </c>
      <c r="U253" t="n">
        <v>8</v>
      </c>
      <c r="V253" t="n">
        <v>8</v>
      </c>
      <c r="W253" t="inlineStr">
        <is>
          <t>1993-03-25</t>
        </is>
      </c>
      <c r="X253" t="inlineStr">
        <is>
          <t>1993-03-25</t>
        </is>
      </c>
      <c r="Y253" t="inlineStr">
        <is>
          <t>1992-05-07</t>
        </is>
      </c>
      <c r="Z253" t="inlineStr">
        <is>
          <t>1992-05-07</t>
        </is>
      </c>
      <c r="AA253" t="n">
        <v>93</v>
      </c>
      <c r="AB253" t="n">
        <v>71</v>
      </c>
      <c r="AC253" t="n">
        <v>74</v>
      </c>
      <c r="AD253" t="n">
        <v>1</v>
      </c>
      <c r="AE253" t="n">
        <v>1</v>
      </c>
      <c r="AF253" t="n">
        <v>2</v>
      </c>
      <c r="AG253" t="n">
        <v>2</v>
      </c>
      <c r="AH253" t="n">
        <v>1</v>
      </c>
      <c r="AI253" t="n">
        <v>1</v>
      </c>
      <c r="AJ253" t="n">
        <v>1</v>
      </c>
      <c r="AK253" t="n">
        <v>1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HYPERLINK("http://catalog.hathitrust.org/Record/002527129","HathiTrust Record")</f>
        <v/>
      </c>
      <c r="AU253">
        <f>HYPERLINK("https://creighton-primo.hosted.exlibrisgroup.com/primo-explore/search?tab=default_tab&amp;search_scope=EVERYTHING&amp;vid=01CRU&amp;lang=en_US&amp;offset=0&amp;query=any,contains,991001304419702656","Catalog Record")</f>
        <v/>
      </c>
      <c r="AV253">
        <f>HYPERLINK("http://www.worldcat.org/oclc/24318421","WorldCat Record")</f>
        <v/>
      </c>
      <c r="AW253" t="inlineStr">
        <is>
          <t>17504239:eng</t>
        </is>
      </c>
      <c r="AX253" t="inlineStr">
        <is>
          <t>24318421</t>
        </is>
      </c>
      <c r="AY253" t="inlineStr">
        <is>
          <t>991001304419702656</t>
        </is>
      </c>
      <c r="AZ253" t="inlineStr">
        <is>
          <t>991001304419702656</t>
        </is>
      </c>
      <c r="BA253" t="inlineStr">
        <is>
          <t>2272554080002656</t>
        </is>
      </c>
      <c r="BB253" t="inlineStr">
        <is>
          <t>BOOK</t>
        </is>
      </c>
      <c r="BD253" t="inlineStr">
        <is>
          <t>9780849372926</t>
        </is>
      </c>
      <c r="BE253" t="inlineStr">
        <is>
          <t>30001002413104</t>
        </is>
      </c>
      <c r="BF253" t="inlineStr">
        <is>
          <t>893121386</t>
        </is>
      </c>
    </row>
    <row r="254">
      <c r="B254" t="inlineStr">
        <is>
          <t>CUHSL</t>
        </is>
      </c>
      <c r="C254" t="inlineStr">
        <is>
          <t>SHELVES</t>
        </is>
      </c>
      <c r="D254" t="inlineStr">
        <is>
          <t>QV 69 S989 1980a</t>
        </is>
      </c>
      <c r="E254" t="inlineStr">
        <is>
          <t>0                      QV 0069000S  989         1980a</t>
        </is>
      </c>
      <c r="F254" t="inlineStr">
        <is>
          <t>Antacids in the eighties : Symposium on Antacids, Hamburg, June 1980 : in the course of XI. International Congress of Gastroenterology, IV. European Congress of Digestive Endoscopy / edited by F. Halter.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Symposium on Antacids (1980 : Hamburg, Germany)</t>
        </is>
      </c>
      <c r="N254" t="inlineStr">
        <is>
          <t>München ; Baltimore : Urban &amp; Schwarzenberg, 1982, c1981.</t>
        </is>
      </c>
      <c r="O254" t="inlineStr">
        <is>
          <t>1982</t>
        </is>
      </c>
      <c r="Q254" t="inlineStr">
        <is>
          <t>eng</t>
        </is>
      </c>
      <c r="R254" t="inlineStr">
        <is>
          <t xml:space="preserve">gw </t>
        </is>
      </c>
      <c r="T254" t="inlineStr">
        <is>
          <t xml:space="preserve">QV </t>
        </is>
      </c>
      <c r="U254" t="n">
        <v>2</v>
      </c>
      <c r="V254" t="n">
        <v>2</v>
      </c>
      <c r="W254" t="inlineStr">
        <is>
          <t>1995-03-27</t>
        </is>
      </c>
      <c r="X254" t="inlineStr">
        <is>
          <t>1995-03-27</t>
        </is>
      </c>
      <c r="Y254" t="inlineStr">
        <is>
          <t>1988-02-08</t>
        </is>
      </c>
      <c r="Z254" t="inlineStr">
        <is>
          <t>1988-02-08</t>
        </is>
      </c>
      <c r="AA254" t="n">
        <v>69</v>
      </c>
      <c r="AB254" t="n">
        <v>53</v>
      </c>
      <c r="AC254" t="n">
        <v>57</v>
      </c>
      <c r="AD254" t="n">
        <v>1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inlineStr">
        <is>
          <t>No</t>
        </is>
      </c>
      <c r="AS254" t="inlineStr">
        <is>
          <t>Yes</t>
        </is>
      </c>
      <c r="AT254">
        <f>HYPERLINK("http://catalog.hathitrust.org/Record/000279285","HathiTrust Record")</f>
        <v/>
      </c>
      <c r="AU254">
        <f>HYPERLINK("https://creighton-primo.hosted.exlibrisgroup.com/primo-explore/search?tab=default_tab&amp;search_scope=EVERYTHING&amp;vid=01CRU&amp;lang=en_US&amp;offset=0&amp;query=any,contains,991000957579702656","Catalog Record")</f>
        <v/>
      </c>
      <c r="AV254">
        <f>HYPERLINK("http://www.worldcat.org/oclc/8195091","WorldCat Record")</f>
        <v/>
      </c>
      <c r="AW254" t="inlineStr">
        <is>
          <t>138430014:eng</t>
        </is>
      </c>
      <c r="AX254" t="inlineStr">
        <is>
          <t>8195091</t>
        </is>
      </c>
      <c r="AY254" t="inlineStr">
        <is>
          <t>991000957579702656</t>
        </is>
      </c>
      <c r="AZ254" t="inlineStr">
        <is>
          <t>991000957579702656</t>
        </is>
      </c>
      <c r="BA254" t="inlineStr">
        <is>
          <t>2266809640002656</t>
        </is>
      </c>
      <c r="BB254" t="inlineStr">
        <is>
          <t>BOOK</t>
        </is>
      </c>
      <c r="BD254" t="inlineStr">
        <is>
          <t>9780806708317</t>
        </is>
      </c>
      <c r="BE254" t="inlineStr">
        <is>
          <t>30001000195034</t>
        </is>
      </c>
      <c r="BF254" t="inlineStr">
        <is>
          <t>893148753</t>
        </is>
      </c>
    </row>
    <row r="255">
      <c r="B255" t="inlineStr">
        <is>
          <t>CUHSL</t>
        </is>
      </c>
      <c r="C255" t="inlineStr">
        <is>
          <t>SHELVES</t>
        </is>
      </c>
      <c r="D255" t="inlineStr">
        <is>
          <t>QV 76.5 B881c 1998</t>
        </is>
      </c>
      <c r="E255" t="inlineStr">
        <is>
          <t>0                      QV 0076500B  881c        1998</t>
        </is>
      </c>
      <c r="F255" t="inlineStr">
        <is>
          <t>Psychiatric side effects of prescription and over-the-counter medications : recognition and management / by Thomas Markham Brown, Alan Stoudemire.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Brown, Thomas Markham.</t>
        </is>
      </c>
      <c r="N255" t="inlineStr">
        <is>
          <t>Washington, DC : American Psychiatric Press, 1998.</t>
        </is>
      </c>
      <c r="O255" t="inlineStr">
        <is>
          <t>1998</t>
        </is>
      </c>
      <c r="P255" t="inlineStr">
        <is>
          <t>1st ed.</t>
        </is>
      </c>
      <c r="Q255" t="inlineStr">
        <is>
          <t>eng</t>
        </is>
      </c>
      <c r="R255" t="inlineStr">
        <is>
          <t>dcu</t>
        </is>
      </c>
      <c r="T255" t="inlineStr">
        <is>
          <t xml:space="preserve">QV </t>
        </is>
      </c>
      <c r="U255" t="n">
        <v>2</v>
      </c>
      <c r="V255" t="n">
        <v>2</v>
      </c>
      <c r="W255" t="inlineStr">
        <is>
          <t>2000-06-28</t>
        </is>
      </c>
      <c r="X255" t="inlineStr">
        <is>
          <t>2000-06-28</t>
        </is>
      </c>
      <c r="Y255" t="inlineStr">
        <is>
          <t>2000-02-08</t>
        </is>
      </c>
      <c r="Z255" t="inlineStr">
        <is>
          <t>2000-02-08</t>
        </is>
      </c>
      <c r="AA255" t="n">
        <v>167</v>
      </c>
      <c r="AB255" t="n">
        <v>143</v>
      </c>
      <c r="AC255" t="n">
        <v>145</v>
      </c>
      <c r="AD255" t="n">
        <v>2</v>
      </c>
      <c r="AE255" t="n">
        <v>2</v>
      </c>
      <c r="AF255" t="n">
        <v>3</v>
      </c>
      <c r="AG255" t="n">
        <v>3</v>
      </c>
      <c r="AH255" t="n">
        <v>0</v>
      </c>
      <c r="AI255" t="n">
        <v>0</v>
      </c>
      <c r="AJ255" t="n">
        <v>0</v>
      </c>
      <c r="AK255" t="n">
        <v>0</v>
      </c>
      <c r="AL255" t="n">
        <v>2</v>
      </c>
      <c r="AM255" t="n">
        <v>2</v>
      </c>
      <c r="AN255" t="n">
        <v>1</v>
      </c>
      <c r="AO255" t="n">
        <v>1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HYPERLINK("http://catalog.hathitrust.org/Record/003995897","HathiTrust Record")</f>
        <v/>
      </c>
      <c r="AU255">
        <f>HYPERLINK("https://creighton-primo.hosted.exlibrisgroup.com/primo-explore/search?tab=default_tab&amp;search_scope=EVERYTHING&amp;vid=01CRU&amp;lang=en_US&amp;offset=0&amp;query=any,contains,991001572129702656","Catalog Record")</f>
        <v/>
      </c>
      <c r="AV255">
        <f>HYPERLINK("http://www.worldcat.org/oclc/37801443","WorldCat Record")</f>
        <v/>
      </c>
      <c r="AW255" t="inlineStr">
        <is>
          <t>645300:eng</t>
        </is>
      </c>
      <c r="AX255" t="inlineStr">
        <is>
          <t>37801443</t>
        </is>
      </c>
      <c r="AY255" t="inlineStr">
        <is>
          <t>991001572129702656</t>
        </is>
      </c>
      <c r="AZ255" t="inlineStr">
        <is>
          <t>991001572129702656</t>
        </is>
      </c>
      <c r="BA255" t="inlineStr">
        <is>
          <t>2256493490002656</t>
        </is>
      </c>
      <c r="BB255" t="inlineStr">
        <is>
          <t>BOOK</t>
        </is>
      </c>
      <c r="BD255" t="inlineStr">
        <is>
          <t>9780880488686</t>
        </is>
      </c>
      <c r="BE255" t="inlineStr">
        <is>
          <t>30001004080455</t>
        </is>
      </c>
      <c r="BF255" t="inlineStr">
        <is>
          <t>893546826</t>
        </is>
      </c>
    </row>
    <row r="256">
      <c r="B256" t="inlineStr">
        <is>
          <t>CUHSL</t>
        </is>
      </c>
      <c r="C256" t="inlineStr">
        <is>
          <t>SHELVES</t>
        </is>
      </c>
      <c r="D256" t="inlineStr">
        <is>
          <t>QV 76.5 D794 1986</t>
        </is>
      </c>
      <c r="E256" t="inlineStr">
        <is>
          <t>0                      QV 0076500D  794         1986</t>
        </is>
      </c>
      <c r="F256" t="inlineStr">
        <is>
          <t>Drug dependence and emotional behavior : neurophysiological and neurochemical approaches / edited by A.V. Valdman and Yu. V. Burov ; translated by L.R. Sandler ; translation edited by M. Sandler.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N256" t="inlineStr">
        <is>
          <t>New York : Consultants Bureau, c1986.</t>
        </is>
      </c>
      <c r="O256" t="inlineStr">
        <is>
          <t>1986</t>
        </is>
      </c>
      <c r="Q256" t="inlineStr">
        <is>
          <t>eng</t>
        </is>
      </c>
      <c r="R256" t="inlineStr">
        <is>
          <t>xxu</t>
        </is>
      </c>
      <c r="T256" t="inlineStr">
        <is>
          <t xml:space="preserve">QV </t>
        </is>
      </c>
      <c r="U256" t="n">
        <v>2</v>
      </c>
      <c r="V256" t="n">
        <v>2</v>
      </c>
      <c r="W256" t="inlineStr">
        <is>
          <t>2006-04-17</t>
        </is>
      </c>
      <c r="X256" t="inlineStr">
        <is>
          <t>2006-04-17</t>
        </is>
      </c>
      <c r="Y256" t="inlineStr">
        <is>
          <t>1988-02-08</t>
        </is>
      </c>
      <c r="Z256" t="inlineStr">
        <is>
          <t>1988-02-08</t>
        </is>
      </c>
      <c r="AA256" t="n">
        <v>147</v>
      </c>
      <c r="AB256" t="n">
        <v>118</v>
      </c>
      <c r="AC256" t="n">
        <v>143</v>
      </c>
      <c r="AD256" t="n">
        <v>2</v>
      </c>
      <c r="AE256" t="n">
        <v>2</v>
      </c>
      <c r="AF256" t="n">
        <v>4</v>
      </c>
      <c r="AG256" t="n">
        <v>5</v>
      </c>
      <c r="AH256" t="n">
        <v>1</v>
      </c>
      <c r="AI256" t="n">
        <v>2</v>
      </c>
      <c r="AJ256" t="n">
        <v>0</v>
      </c>
      <c r="AK256" t="n">
        <v>0</v>
      </c>
      <c r="AL256" t="n">
        <v>3</v>
      </c>
      <c r="AM256" t="n">
        <v>4</v>
      </c>
      <c r="AN256" t="n">
        <v>1</v>
      </c>
      <c r="AO256" t="n">
        <v>1</v>
      </c>
      <c r="AP256" t="n">
        <v>0</v>
      </c>
      <c r="AQ256" t="n">
        <v>0</v>
      </c>
      <c r="AR256" t="inlineStr">
        <is>
          <t>No</t>
        </is>
      </c>
      <c r="AS256" t="inlineStr">
        <is>
          <t>Yes</t>
        </is>
      </c>
      <c r="AT256">
        <f>HYPERLINK("http://catalog.hathitrust.org/Record/000666758","HathiTrust Record")</f>
        <v/>
      </c>
      <c r="AU256">
        <f>HYPERLINK("https://creighton-primo.hosted.exlibrisgroup.com/primo-explore/search?tab=default_tab&amp;search_scope=EVERYTHING&amp;vid=01CRU&amp;lang=en_US&amp;offset=0&amp;query=any,contains,991000957629702656","Catalog Record")</f>
        <v/>
      </c>
      <c r="AV256">
        <f>HYPERLINK("http://www.worldcat.org/oclc/13395345","WorldCat Record")</f>
        <v/>
      </c>
      <c r="AW256" t="inlineStr">
        <is>
          <t>836639590:eng</t>
        </is>
      </c>
      <c r="AX256" t="inlineStr">
        <is>
          <t>13395345</t>
        </is>
      </c>
      <c r="AY256" t="inlineStr">
        <is>
          <t>991000957629702656</t>
        </is>
      </c>
      <c r="AZ256" t="inlineStr">
        <is>
          <t>991000957629702656</t>
        </is>
      </c>
      <c r="BA256" t="inlineStr">
        <is>
          <t>2263976690002656</t>
        </is>
      </c>
      <c r="BB256" t="inlineStr">
        <is>
          <t>BOOK</t>
        </is>
      </c>
      <c r="BD256" t="inlineStr">
        <is>
          <t>9780306109843</t>
        </is>
      </c>
      <c r="BE256" t="inlineStr">
        <is>
          <t>30001000195067</t>
        </is>
      </c>
      <c r="BF256" t="inlineStr">
        <is>
          <t>893820760</t>
        </is>
      </c>
    </row>
    <row r="257">
      <c r="B257" t="inlineStr">
        <is>
          <t>CUHSL</t>
        </is>
      </c>
      <c r="C257" t="inlineStr">
        <is>
          <t>SHELVES</t>
        </is>
      </c>
      <c r="D257" t="inlineStr">
        <is>
          <t>QV76.5 M612p 2005</t>
        </is>
      </c>
      <c r="E257" t="inlineStr">
        <is>
          <t>0                      QV 0076500M  612p        2005</t>
        </is>
      </c>
      <c r="F257" t="inlineStr">
        <is>
          <t>Psychopharmacology : drugs, the brain, and behavior / Jerrold S. Meyer, Linda F. Quenzer.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Meyer, Jerrold S., 1947-</t>
        </is>
      </c>
      <c r="N257" t="inlineStr">
        <is>
          <t>Sunderland, Mass. : Sinauer Associates,Publishers c2005.</t>
        </is>
      </c>
      <c r="O257" t="inlineStr">
        <is>
          <t>2005</t>
        </is>
      </c>
      <c r="Q257" t="inlineStr">
        <is>
          <t>eng</t>
        </is>
      </c>
      <c r="R257" t="inlineStr">
        <is>
          <t>mau</t>
        </is>
      </c>
      <c r="T257" t="inlineStr">
        <is>
          <t xml:space="preserve">QV </t>
        </is>
      </c>
      <c r="U257" t="n">
        <v>7</v>
      </c>
      <c r="V257" t="n">
        <v>7</v>
      </c>
      <c r="W257" t="inlineStr">
        <is>
          <t>2008-04-02</t>
        </is>
      </c>
      <c r="X257" t="inlineStr">
        <is>
          <t>2008-04-02</t>
        </is>
      </c>
      <c r="Y257" t="inlineStr">
        <is>
          <t>2005-11-04</t>
        </is>
      </c>
      <c r="Z257" t="inlineStr">
        <is>
          <t>2005-11-04</t>
        </is>
      </c>
      <c r="AA257" t="n">
        <v>305</v>
      </c>
      <c r="AB257" t="n">
        <v>193</v>
      </c>
      <c r="AC257" t="n">
        <v>291</v>
      </c>
      <c r="AD257" t="n">
        <v>1</v>
      </c>
      <c r="AE257" t="n">
        <v>1</v>
      </c>
      <c r="AF257" t="n">
        <v>4</v>
      </c>
      <c r="AG257" t="n">
        <v>7</v>
      </c>
      <c r="AH257" t="n">
        <v>1</v>
      </c>
      <c r="AI257" t="n">
        <v>3</v>
      </c>
      <c r="AJ257" t="n">
        <v>3</v>
      </c>
      <c r="AK257" t="n">
        <v>4</v>
      </c>
      <c r="AL257" t="n">
        <v>1</v>
      </c>
      <c r="AM257" t="n">
        <v>2</v>
      </c>
      <c r="AN257" t="n">
        <v>0</v>
      </c>
      <c r="AO257" t="n">
        <v>0</v>
      </c>
      <c r="AP257" t="n">
        <v>0</v>
      </c>
      <c r="AQ257" t="n">
        <v>0</v>
      </c>
      <c r="AR257" t="inlineStr">
        <is>
          <t>No</t>
        </is>
      </c>
      <c r="AS257" t="inlineStr">
        <is>
          <t>No</t>
        </is>
      </c>
      <c r="AU257">
        <f>HYPERLINK("https://creighton-primo.hosted.exlibrisgroup.com/primo-explore/search?tab=default_tab&amp;search_scope=EVERYTHING&amp;vid=01CRU&amp;lang=en_US&amp;offset=0&amp;query=any,contains,991000447319702656","Catalog Record")</f>
        <v/>
      </c>
      <c r="AV257">
        <f>HYPERLINK("http://www.worldcat.org/oclc/57254391","WorldCat Record")</f>
        <v/>
      </c>
      <c r="AW257" t="inlineStr">
        <is>
          <t>196185983:eng</t>
        </is>
      </c>
      <c r="AX257" t="inlineStr">
        <is>
          <t>57254391</t>
        </is>
      </c>
      <c r="AY257" t="inlineStr">
        <is>
          <t>991000447319702656</t>
        </is>
      </c>
      <c r="AZ257" t="inlineStr">
        <is>
          <t>991000447319702656</t>
        </is>
      </c>
      <c r="BA257" t="inlineStr">
        <is>
          <t>2268910930002656</t>
        </is>
      </c>
      <c r="BB257" t="inlineStr">
        <is>
          <t>BOOK</t>
        </is>
      </c>
      <c r="BD257" t="inlineStr">
        <is>
          <t>9780878935345</t>
        </is>
      </c>
      <c r="BE257" t="inlineStr">
        <is>
          <t>30001004913184</t>
        </is>
      </c>
      <c r="BF257" t="inlineStr">
        <is>
          <t>893466273</t>
        </is>
      </c>
    </row>
    <row r="258">
      <c r="B258" t="inlineStr">
        <is>
          <t>CUHSL</t>
        </is>
      </c>
      <c r="C258" t="inlineStr">
        <is>
          <t>SHELVES</t>
        </is>
      </c>
      <c r="D258" t="inlineStr">
        <is>
          <t>QV 76.5 R988m 1979</t>
        </is>
      </c>
      <c r="E258" t="inlineStr">
        <is>
          <t>0                      QV 0076500R  988m        1979</t>
        </is>
      </c>
      <c r="F258" t="inlineStr">
        <is>
          <t>Mechanisms of drug action on the nervous system / Ronald W. Ryall.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Ryall, Ronald W.</t>
        </is>
      </c>
      <c r="N258" t="inlineStr">
        <is>
          <t>Cambridge ; New York : Cambridge University Press, 1979.</t>
        </is>
      </c>
      <c r="O258" t="inlineStr">
        <is>
          <t>1979</t>
        </is>
      </c>
      <c r="Q258" t="inlineStr">
        <is>
          <t>eng</t>
        </is>
      </c>
      <c r="R258" t="inlineStr">
        <is>
          <t>mau</t>
        </is>
      </c>
      <c r="S258" t="inlineStr">
        <is>
          <t>Cambridge texts in physiological sciences ; 1</t>
        </is>
      </c>
      <c r="T258" t="inlineStr">
        <is>
          <t xml:space="preserve">QV </t>
        </is>
      </c>
      <c r="U258" t="n">
        <v>2</v>
      </c>
      <c r="V258" t="n">
        <v>2</v>
      </c>
      <c r="W258" t="inlineStr">
        <is>
          <t>1995-04-10</t>
        </is>
      </c>
      <c r="X258" t="inlineStr">
        <is>
          <t>1995-04-10</t>
        </is>
      </c>
      <c r="Y258" t="inlineStr">
        <is>
          <t>1988-02-08</t>
        </is>
      </c>
      <c r="Z258" t="inlineStr">
        <is>
          <t>1988-02-08</t>
        </is>
      </c>
      <c r="AA258" t="n">
        <v>270</v>
      </c>
      <c r="AB258" t="n">
        <v>164</v>
      </c>
      <c r="AC258" t="n">
        <v>274</v>
      </c>
      <c r="AD258" t="n">
        <v>1</v>
      </c>
      <c r="AE258" t="n">
        <v>1</v>
      </c>
      <c r="AF258" t="n">
        <v>4</v>
      </c>
      <c r="AG258" t="n">
        <v>9</v>
      </c>
      <c r="AH258" t="n">
        <v>1</v>
      </c>
      <c r="AI258" t="n">
        <v>3</v>
      </c>
      <c r="AJ258" t="n">
        <v>2</v>
      </c>
      <c r="AK258" t="n">
        <v>4</v>
      </c>
      <c r="AL258" t="n">
        <v>2</v>
      </c>
      <c r="AM258" t="n">
        <v>5</v>
      </c>
      <c r="AN258" t="n">
        <v>0</v>
      </c>
      <c r="AO258" t="n">
        <v>0</v>
      </c>
      <c r="AP258" t="n">
        <v>0</v>
      </c>
      <c r="AQ258" t="n">
        <v>0</v>
      </c>
      <c r="AR258" t="inlineStr">
        <is>
          <t>No</t>
        </is>
      </c>
      <c r="AS258" t="inlineStr">
        <is>
          <t>No</t>
        </is>
      </c>
      <c r="AU258">
        <f>HYPERLINK("https://creighton-primo.hosted.exlibrisgroup.com/primo-explore/search?tab=default_tab&amp;search_scope=EVERYTHING&amp;vid=01CRU&amp;lang=en_US&amp;offset=0&amp;query=any,contains,991000957669702656","Catalog Record")</f>
        <v/>
      </c>
      <c r="AV258">
        <f>HYPERLINK("http://www.worldcat.org/oclc/3843503","WorldCat Record")</f>
        <v/>
      </c>
      <c r="AW258" t="inlineStr">
        <is>
          <t>13299353:eng</t>
        </is>
      </c>
      <c r="AX258" t="inlineStr">
        <is>
          <t>3843503</t>
        </is>
      </c>
      <c r="AY258" t="inlineStr">
        <is>
          <t>991000957669702656</t>
        </is>
      </c>
      <c r="AZ258" t="inlineStr">
        <is>
          <t>991000957669702656</t>
        </is>
      </c>
      <c r="BA258" t="inlineStr">
        <is>
          <t>2266420090002656</t>
        </is>
      </c>
      <c r="BB258" t="inlineStr">
        <is>
          <t>BOOK</t>
        </is>
      </c>
      <c r="BD258" t="inlineStr">
        <is>
          <t>9780521221252</t>
        </is>
      </c>
      <c r="BE258" t="inlineStr">
        <is>
          <t>30001000195083</t>
        </is>
      </c>
      <c r="BF258" t="inlineStr">
        <is>
          <t>893148754</t>
        </is>
      </c>
    </row>
    <row r="259">
      <c r="B259" t="inlineStr">
        <is>
          <t>CUHSL</t>
        </is>
      </c>
      <c r="C259" t="inlineStr">
        <is>
          <t>SHELVES</t>
        </is>
      </c>
      <c r="D259" t="inlineStr">
        <is>
          <t>QV 76.5 T355 1992</t>
        </is>
      </c>
      <c r="E259" t="inlineStr">
        <is>
          <t>0                      QV 0076500T  355         1992</t>
        </is>
      </c>
      <c r="F259" t="inlineStr">
        <is>
          <t>Textbook of clinical neuropharmacology and therapeutics / editors, Harold L. Klawans, Christopher G. Goetz, Caroline M. Tanner.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N259" t="inlineStr">
        <is>
          <t>New York : Raven Press, c1992.</t>
        </is>
      </c>
      <c r="O259" t="inlineStr">
        <is>
          <t>1992</t>
        </is>
      </c>
      <c r="P259" t="inlineStr">
        <is>
          <t>2nd ed.</t>
        </is>
      </c>
      <c r="Q259" t="inlineStr">
        <is>
          <t>eng</t>
        </is>
      </c>
      <c r="R259" t="inlineStr">
        <is>
          <t>xxu</t>
        </is>
      </c>
      <c r="T259" t="inlineStr">
        <is>
          <t xml:space="preserve">QV </t>
        </is>
      </c>
      <c r="U259" t="n">
        <v>11</v>
      </c>
      <c r="V259" t="n">
        <v>11</v>
      </c>
      <c r="W259" t="inlineStr">
        <is>
          <t>1996-05-10</t>
        </is>
      </c>
      <c r="X259" t="inlineStr">
        <is>
          <t>1996-05-10</t>
        </is>
      </c>
      <c r="Y259" t="inlineStr">
        <is>
          <t>1992-02-04</t>
        </is>
      </c>
      <c r="Z259" t="inlineStr">
        <is>
          <t>1992-02-04</t>
        </is>
      </c>
      <c r="AA259" t="n">
        <v>151</v>
      </c>
      <c r="AB259" t="n">
        <v>98</v>
      </c>
      <c r="AC259" t="n">
        <v>100</v>
      </c>
      <c r="AD259" t="n">
        <v>1</v>
      </c>
      <c r="AE259" t="n">
        <v>1</v>
      </c>
      <c r="AF259" t="n">
        <v>5</v>
      </c>
      <c r="AG259" t="n">
        <v>5</v>
      </c>
      <c r="AH259" t="n">
        <v>2</v>
      </c>
      <c r="AI259" t="n">
        <v>2</v>
      </c>
      <c r="AJ259" t="n">
        <v>2</v>
      </c>
      <c r="AK259" t="n">
        <v>2</v>
      </c>
      <c r="AL259" t="n">
        <v>1</v>
      </c>
      <c r="AM259" t="n">
        <v>1</v>
      </c>
      <c r="AN259" t="n">
        <v>0</v>
      </c>
      <c r="AO259" t="n">
        <v>0</v>
      </c>
      <c r="AP259" t="n">
        <v>0</v>
      </c>
      <c r="AQ259" t="n">
        <v>0</v>
      </c>
      <c r="AR259" t="inlineStr">
        <is>
          <t>No</t>
        </is>
      </c>
      <c r="AS259" t="inlineStr">
        <is>
          <t>Yes</t>
        </is>
      </c>
      <c r="AT259">
        <f>HYPERLINK("http://catalog.hathitrust.org/Record/002501401","HathiTrust Record")</f>
        <v/>
      </c>
      <c r="AU259">
        <f>HYPERLINK("https://creighton-primo.hosted.exlibrisgroup.com/primo-explore/search?tab=default_tab&amp;search_scope=EVERYTHING&amp;vid=01CRU&amp;lang=en_US&amp;offset=0&amp;query=any,contains,991001031639702656","Catalog Record")</f>
        <v/>
      </c>
      <c r="AV259">
        <f>HYPERLINK("http://www.worldcat.org/oclc/24246648","WorldCat Record")</f>
        <v/>
      </c>
      <c r="AW259" t="inlineStr">
        <is>
          <t>29579360:eng</t>
        </is>
      </c>
      <c r="AX259" t="inlineStr">
        <is>
          <t>24246648</t>
        </is>
      </c>
      <c r="AY259" t="inlineStr">
        <is>
          <t>991001031639702656</t>
        </is>
      </c>
      <c r="AZ259" t="inlineStr">
        <is>
          <t>991001031639702656</t>
        </is>
      </c>
      <c r="BA259" t="inlineStr">
        <is>
          <t>2269303730002656</t>
        </is>
      </c>
      <c r="BB259" t="inlineStr">
        <is>
          <t>BOOK</t>
        </is>
      </c>
      <c r="BD259" t="inlineStr">
        <is>
          <t>9780881677973</t>
        </is>
      </c>
      <c r="BE259" t="inlineStr">
        <is>
          <t>30001002243907</t>
        </is>
      </c>
      <c r="BF259" t="inlineStr">
        <is>
          <t>893648843</t>
        </is>
      </c>
    </row>
    <row r="260">
      <c r="B260" t="inlineStr">
        <is>
          <t>CUHSL</t>
        </is>
      </c>
      <c r="C260" t="inlineStr">
        <is>
          <t>SHELVES</t>
        </is>
      </c>
      <c r="D260" t="inlineStr">
        <is>
          <t>QV 77 A512pa 1974</t>
        </is>
      </c>
      <c r="E260" t="inlineStr">
        <is>
          <t>0                      QV 0077000A  512pa       1974</t>
        </is>
      </c>
      <c r="F260" t="inlineStr">
        <is>
          <t>Pharmacokinetics of psychoactive drugs : blood levels and clinical response / edited by Louis A. Gottschalk and Sidney Merlis.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American College of Neuropsychopharmacology.</t>
        </is>
      </c>
      <c r="N260" t="inlineStr">
        <is>
          <t>-- New York : Spectrum Publications : distributed by Halsted Press, c1976.</t>
        </is>
      </c>
      <c r="O260" t="inlineStr">
        <is>
          <t>1976</t>
        </is>
      </c>
      <c r="Q260" t="inlineStr">
        <is>
          <t>eng</t>
        </is>
      </c>
      <c r="R260" t="inlineStr">
        <is>
          <t>nyu</t>
        </is>
      </c>
      <c r="T260" t="inlineStr">
        <is>
          <t xml:space="preserve">QV </t>
        </is>
      </c>
      <c r="U260" t="n">
        <v>9</v>
      </c>
      <c r="V260" t="n">
        <v>9</v>
      </c>
      <c r="W260" t="inlineStr">
        <is>
          <t>1995-06-18</t>
        </is>
      </c>
      <c r="X260" t="inlineStr">
        <is>
          <t>1995-06-18</t>
        </is>
      </c>
      <c r="Y260" t="inlineStr">
        <is>
          <t>1988-02-08</t>
        </is>
      </c>
      <c r="Z260" t="inlineStr">
        <is>
          <t>1988-02-08</t>
        </is>
      </c>
      <c r="AA260" t="n">
        <v>188</v>
      </c>
      <c r="AB260" t="n">
        <v>134</v>
      </c>
      <c r="AC260" t="n">
        <v>136</v>
      </c>
      <c r="AD260" t="n">
        <v>3</v>
      </c>
      <c r="AE260" t="n">
        <v>3</v>
      </c>
      <c r="AF260" t="n">
        <v>4</v>
      </c>
      <c r="AG260" t="n">
        <v>4</v>
      </c>
      <c r="AH260" t="n">
        <v>1</v>
      </c>
      <c r="AI260" t="n">
        <v>1</v>
      </c>
      <c r="AJ260" t="n">
        <v>1</v>
      </c>
      <c r="AK260" t="n">
        <v>1</v>
      </c>
      <c r="AL260" t="n">
        <v>0</v>
      </c>
      <c r="AM260" t="n">
        <v>0</v>
      </c>
      <c r="AN260" t="n">
        <v>2</v>
      </c>
      <c r="AO260" t="n">
        <v>2</v>
      </c>
      <c r="AP260" t="n">
        <v>0</v>
      </c>
      <c r="AQ260" t="n">
        <v>0</v>
      </c>
      <c r="AR260" t="inlineStr">
        <is>
          <t>No</t>
        </is>
      </c>
      <c r="AS260" t="inlineStr">
        <is>
          <t>Yes</t>
        </is>
      </c>
      <c r="AT260">
        <f>HYPERLINK("http://catalog.hathitrust.org/Record/000694067","HathiTrust Record")</f>
        <v/>
      </c>
      <c r="AU260">
        <f>HYPERLINK("https://creighton-primo.hosted.exlibrisgroup.com/primo-explore/search?tab=default_tab&amp;search_scope=EVERYTHING&amp;vid=01CRU&amp;lang=en_US&amp;offset=0&amp;query=any,contains,991000957709702656","Catalog Record")</f>
        <v/>
      </c>
      <c r="AV260">
        <f>HYPERLINK("http://www.worldcat.org/oclc/1992083","WorldCat Record")</f>
        <v/>
      </c>
      <c r="AW260" t="inlineStr">
        <is>
          <t>3364211:eng</t>
        </is>
      </c>
      <c r="AX260" t="inlineStr">
        <is>
          <t>1992083</t>
        </is>
      </c>
      <c r="AY260" t="inlineStr">
        <is>
          <t>991000957709702656</t>
        </is>
      </c>
      <c r="AZ260" t="inlineStr">
        <is>
          <t>991000957709702656</t>
        </is>
      </c>
      <c r="BA260" t="inlineStr">
        <is>
          <t>2262183520002656</t>
        </is>
      </c>
      <c r="BB260" t="inlineStr">
        <is>
          <t>BOOK</t>
        </is>
      </c>
      <c r="BD260" t="inlineStr">
        <is>
          <t>9780470149829</t>
        </is>
      </c>
      <c r="BE260" t="inlineStr">
        <is>
          <t>30001000195091</t>
        </is>
      </c>
      <c r="BF260" t="inlineStr">
        <is>
          <t>893278523</t>
        </is>
      </c>
    </row>
    <row r="261">
      <c r="B261" t="inlineStr">
        <is>
          <t>CUHSL</t>
        </is>
      </c>
      <c r="C261" t="inlineStr">
        <is>
          <t>SHELVES</t>
        </is>
      </c>
      <c r="D261" t="inlineStr">
        <is>
          <t>QV 77 B615 1991</t>
        </is>
      </c>
      <c r="E261" t="inlineStr">
        <is>
          <t>0                      QV 0077000B  615         1991</t>
        </is>
      </c>
      <c r="F261" t="inlineStr">
        <is>
          <t>The Biological basis of drug tolerance and dependence / Edited by Judith Pratt.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N261" t="inlineStr">
        <is>
          <t>London ; San Diego : Academic Press London, c1991.</t>
        </is>
      </c>
      <c r="O261" t="inlineStr">
        <is>
          <t>1991</t>
        </is>
      </c>
      <c r="Q261" t="inlineStr">
        <is>
          <t>eng</t>
        </is>
      </c>
      <c r="R261" t="inlineStr">
        <is>
          <t>enk</t>
        </is>
      </c>
      <c r="S261" t="inlineStr">
        <is>
          <t>Neuroscience perspectives ; 3</t>
        </is>
      </c>
      <c r="T261" t="inlineStr">
        <is>
          <t xml:space="preserve">QV </t>
        </is>
      </c>
      <c r="U261" t="n">
        <v>8</v>
      </c>
      <c r="V261" t="n">
        <v>8</v>
      </c>
      <c r="W261" t="inlineStr">
        <is>
          <t>2006-04-17</t>
        </is>
      </c>
      <c r="X261" t="inlineStr">
        <is>
          <t>2006-04-17</t>
        </is>
      </c>
      <c r="Y261" t="inlineStr">
        <is>
          <t>1992-05-07</t>
        </is>
      </c>
      <c r="Z261" t="inlineStr">
        <is>
          <t>1992-05-07</t>
        </is>
      </c>
      <c r="AA261" t="n">
        <v>133</v>
      </c>
      <c r="AB261" t="n">
        <v>98</v>
      </c>
      <c r="AC261" t="n">
        <v>102</v>
      </c>
      <c r="AD261" t="n">
        <v>1</v>
      </c>
      <c r="AE261" t="n">
        <v>1</v>
      </c>
      <c r="AF261" t="n">
        <v>5</v>
      </c>
      <c r="AG261" t="n">
        <v>5</v>
      </c>
      <c r="AH261" t="n">
        <v>0</v>
      </c>
      <c r="AI261" t="n">
        <v>0</v>
      </c>
      <c r="AJ261" t="n">
        <v>1</v>
      </c>
      <c r="AK261" t="n">
        <v>1</v>
      </c>
      <c r="AL261" t="n">
        <v>4</v>
      </c>
      <c r="AM261" t="n">
        <v>4</v>
      </c>
      <c r="AN261" t="n">
        <v>0</v>
      </c>
      <c r="AO261" t="n">
        <v>0</v>
      </c>
      <c r="AP261" t="n">
        <v>0</v>
      </c>
      <c r="AQ261" t="n">
        <v>0</v>
      </c>
      <c r="AR261" t="inlineStr">
        <is>
          <t>No</t>
        </is>
      </c>
      <c r="AS261" t="inlineStr">
        <is>
          <t>Yes</t>
        </is>
      </c>
      <c r="AT261">
        <f>HYPERLINK("http://catalog.hathitrust.org/Record/002528875","HathiTrust Record")</f>
        <v/>
      </c>
      <c r="AU261">
        <f>HYPERLINK("https://creighton-primo.hosted.exlibrisgroup.com/primo-explore/search?tab=default_tab&amp;search_scope=EVERYTHING&amp;vid=01CRU&amp;lang=en_US&amp;offset=0&amp;query=any,contains,991001304649702656","Catalog Record")</f>
        <v/>
      </c>
      <c r="AV261">
        <f>HYPERLINK("http://www.worldcat.org/oclc/27435100","WorldCat Record")</f>
        <v/>
      </c>
      <c r="AW261" t="inlineStr">
        <is>
          <t>30042479:eng</t>
        </is>
      </c>
      <c r="AX261" t="inlineStr">
        <is>
          <t>27435100</t>
        </is>
      </c>
      <c r="AY261" t="inlineStr">
        <is>
          <t>991001304649702656</t>
        </is>
      </c>
      <c r="AZ261" t="inlineStr">
        <is>
          <t>991001304649702656</t>
        </is>
      </c>
      <c r="BA261" t="inlineStr">
        <is>
          <t>2256938090002656</t>
        </is>
      </c>
      <c r="BB261" t="inlineStr">
        <is>
          <t>BOOK</t>
        </is>
      </c>
      <c r="BD261" t="inlineStr">
        <is>
          <t>9780125642507</t>
        </is>
      </c>
      <c r="BE261" t="inlineStr">
        <is>
          <t>30001002413179</t>
        </is>
      </c>
      <c r="BF261" t="inlineStr">
        <is>
          <t>893358447</t>
        </is>
      </c>
    </row>
    <row r="262">
      <c r="B262" t="inlineStr">
        <is>
          <t>CUHSL</t>
        </is>
      </c>
      <c r="C262" t="inlineStr">
        <is>
          <t>SHELVES</t>
        </is>
      </c>
      <c r="D262" t="inlineStr">
        <is>
          <t>QV 77 B833p 1983</t>
        </is>
      </c>
      <c r="E262" t="inlineStr">
        <is>
          <t>0                      QV 0077000B  833p        1983</t>
        </is>
      </c>
      <c r="F262" t="inlineStr">
        <is>
          <t>Psychiatric drugs : hazards to the brain / Peter R. Breggin.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Breggin, Peter Roger, 1936-</t>
        </is>
      </c>
      <c r="N262" t="inlineStr">
        <is>
          <t>New York : Springer, c1983.</t>
        </is>
      </c>
      <c r="O262" t="inlineStr">
        <is>
          <t>1983</t>
        </is>
      </c>
      <c r="Q262" t="inlineStr">
        <is>
          <t>eng</t>
        </is>
      </c>
      <c r="R262" t="inlineStr">
        <is>
          <t>xxu</t>
        </is>
      </c>
      <c r="T262" t="inlineStr">
        <is>
          <t xml:space="preserve">QV </t>
        </is>
      </c>
      <c r="U262" t="n">
        <v>7</v>
      </c>
      <c r="V262" t="n">
        <v>7</v>
      </c>
      <c r="W262" t="inlineStr">
        <is>
          <t>1994-02-15</t>
        </is>
      </c>
      <c r="X262" t="inlineStr">
        <is>
          <t>1994-02-15</t>
        </is>
      </c>
      <c r="Y262" t="inlineStr">
        <is>
          <t>1988-02-08</t>
        </is>
      </c>
      <c r="Z262" t="inlineStr">
        <is>
          <t>1988-02-08</t>
        </is>
      </c>
      <c r="AA262" t="n">
        <v>264</v>
      </c>
      <c r="AB262" t="n">
        <v>227</v>
      </c>
      <c r="AC262" t="n">
        <v>233</v>
      </c>
      <c r="AD262" t="n">
        <v>2</v>
      </c>
      <c r="AE262" t="n">
        <v>2</v>
      </c>
      <c r="AF262" t="n">
        <v>7</v>
      </c>
      <c r="AG262" t="n">
        <v>7</v>
      </c>
      <c r="AH262" t="n">
        <v>2</v>
      </c>
      <c r="AI262" t="n">
        <v>2</v>
      </c>
      <c r="AJ262" t="n">
        <v>2</v>
      </c>
      <c r="AK262" t="n">
        <v>2</v>
      </c>
      <c r="AL262" t="n">
        <v>4</v>
      </c>
      <c r="AM262" t="n">
        <v>4</v>
      </c>
      <c r="AN262" t="n">
        <v>1</v>
      </c>
      <c r="AO262" t="n">
        <v>1</v>
      </c>
      <c r="AP262" t="n">
        <v>0</v>
      </c>
      <c r="AQ262" t="n">
        <v>0</v>
      </c>
      <c r="AR262" t="inlineStr">
        <is>
          <t>No</t>
        </is>
      </c>
      <c r="AS262" t="inlineStr">
        <is>
          <t>Yes</t>
        </is>
      </c>
      <c r="AT262">
        <f>HYPERLINK("http://catalog.hathitrust.org/Record/000162117","HathiTrust Record")</f>
        <v/>
      </c>
      <c r="AU262">
        <f>HYPERLINK("https://creighton-primo.hosted.exlibrisgroup.com/primo-explore/search?tab=default_tab&amp;search_scope=EVERYTHING&amp;vid=01CRU&amp;lang=en_US&amp;offset=0&amp;query=any,contains,991000957749702656","Catalog Record")</f>
        <v/>
      </c>
      <c r="AV262">
        <f>HYPERLINK("http://www.worldcat.org/oclc/8952110","WorldCat Record")</f>
        <v/>
      </c>
      <c r="AW262" t="inlineStr">
        <is>
          <t>966927:eng</t>
        </is>
      </c>
      <c r="AX262" t="inlineStr">
        <is>
          <t>8952110</t>
        </is>
      </c>
      <c r="AY262" t="inlineStr">
        <is>
          <t>991000957749702656</t>
        </is>
      </c>
      <c r="AZ262" t="inlineStr">
        <is>
          <t>991000957749702656</t>
        </is>
      </c>
      <c r="BA262" t="inlineStr">
        <is>
          <t>2271124540002656</t>
        </is>
      </c>
      <c r="BB262" t="inlineStr">
        <is>
          <t>BOOK</t>
        </is>
      </c>
      <c r="BD262" t="inlineStr">
        <is>
          <t>9780826129307</t>
        </is>
      </c>
      <c r="BE262" t="inlineStr">
        <is>
          <t>30001000195158</t>
        </is>
      </c>
      <c r="BF262" t="inlineStr">
        <is>
          <t>893648800</t>
        </is>
      </c>
    </row>
    <row r="263">
      <c r="B263" t="inlineStr">
        <is>
          <t>CUHSL</t>
        </is>
      </c>
      <c r="C263" t="inlineStr">
        <is>
          <t>SHELVES</t>
        </is>
      </c>
      <c r="D263" t="inlineStr">
        <is>
          <t>QV 77 C777b 1991</t>
        </is>
      </c>
      <c r="E263" t="inlineStr">
        <is>
          <t>0                      QV 0077000C  777b        1991</t>
        </is>
      </c>
      <c r="F263" t="inlineStr">
        <is>
          <t>The biochemical basis of neuropharmacology / Jack R. Cooper, Floyd E. Bloom, Robert H. Roth.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Yes</t>
        </is>
      </c>
      <c r="L263" t="inlineStr">
        <is>
          <t>0</t>
        </is>
      </c>
      <c r="M263" t="inlineStr">
        <is>
          <t>Cooper, Jack R., 1924-</t>
        </is>
      </c>
      <c r="N263" t="inlineStr">
        <is>
          <t>New York : Oxford University Press, c1991.</t>
        </is>
      </c>
      <c r="O263" t="inlineStr">
        <is>
          <t>1991</t>
        </is>
      </c>
      <c r="P263" t="inlineStr">
        <is>
          <t>6th ed.</t>
        </is>
      </c>
      <c r="Q263" t="inlineStr">
        <is>
          <t>eng</t>
        </is>
      </c>
      <c r="R263" t="inlineStr">
        <is>
          <t>nyu</t>
        </is>
      </c>
      <c r="T263" t="inlineStr">
        <is>
          <t xml:space="preserve">QV </t>
        </is>
      </c>
      <c r="U263" t="n">
        <v>2</v>
      </c>
      <c r="V263" t="n">
        <v>2</v>
      </c>
      <c r="W263" t="inlineStr">
        <is>
          <t>1996-05-02</t>
        </is>
      </c>
      <c r="X263" t="inlineStr">
        <is>
          <t>1996-05-02</t>
        </is>
      </c>
      <c r="Y263" t="inlineStr">
        <is>
          <t>1991-11-22</t>
        </is>
      </c>
      <c r="Z263" t="inlineStr">
        <is>
          <t>1991-11-22</t>
        </is>
      </c>
      <c r="AA263" t="n">
        <v>480</v>
      </c>
      <c r="AB263" t="n">
        <v>356</v>
      </c>
      <c r="AC263" t="n">
        <v>1061</v>
      </c>
      <c r="AD263" t="n">
        <v>4</v>
      </c>
      <c r="AE263" t="n">
        <v>14</v>
      </c>
      <c r="AF263" t="n">
        <v>20</v>
      </c>
      <c r="AG263" t="n">
        <v>51</v>
      </c>
      <c r="AH263" t="n">
        <v>7</v>
      </c>
      <c r="AI263" t="n">
        <v>19</v>
      </c>
      <c r="AJ263" t="n">
        <v>6</v>
      </c>
      <c r="AK263" t="n">
        <v>12</v>
      </c>
      <c r="AL263" t="n">
        <v>10</v>
      </c>
      <c r="AM263" t="n">
        <v>22</v>
      </c>
      <c r="AN263" t="n">
        <v>3</v>
      </c>
      <c r="AO263" t="n">
        <v>9</v>
      </c>
      <c r="AP263" t="n">
        <v>0</v>
      </c>
      <c r="AQ263" t="n">
        <v>0</v>
      </c>
      <c r="AR263" t="inlineStr">
        <is>
          <t>No</t>
        </is>
      </c>
      <c r="AS263" t="inlineStr">
        <is>
          <t>Yes</t>
        </is>
      </c>
      <c r="AT263">
        <f>HYPERLINK("http://catalog.hathitrust.org/Record/002480197","HathiTrust Record")</f>
        <v/>
      </c>
      <c r="AU263">
        <f>HYPERLINK("https://creighton-primo.hosted.exlibrisgroup.com/primo-explore/search?tab=default_tab&amp;search_scope=EVERYTHING&amp;vid=01CRU&amp;lang=en_US&amp;offset=0&amp;query=any,contains,991001023399702656","Catalog Record")</f>
        <v/>
      </c>
      <c r="AV263">
        <f>HYPERLINK("http://www.worldcat.org/oclc/22983425","WorldCat Record")</f>
        <v/>
      </c>
      <c r="AW263" t="inlineStr">
        <is>
          <t>1172658:eng</t>
        </is>
      </c>
      <c r="AX263" t="inlineStr">
        <is>
          <t>22983425</t>
        </is>
      </c>
      <c r="AY263" t="inlineStr">
        <is>
          <t>991001023399702656</t>
        </is>
      </c>
      <c r="AZ263" t="inlineStr">
        <is>
          <t>991001023399702656</t>
        </is>
      </c>
      <c r="BA263" t="inlineStr">
        <is>
          <t>2255878030002656</t>
        </is>
      </c>
      <c r="BB263" t="inlineStr">
        <is>
          <t>BOOK</t>
        </is>
      </c>
      <c r="BD263" t="inlineStr">
        <is>
          <t>9780195071177</t>
        </is>
      </c>
      <c r="BE263" t="inlineStr">
        <is>
          <t>30001002242255</t>
        </is>
      </c>
      <c r="BF263" t="inlineStr">
        <is>
          <t>893820856</t>
        </is>
      </c>
    </row>
    <row r="264">
      <c r="B264" t="inlineStr">
        <is>
          <t>CUHSL</t>
        </is>
      </c>
      <c r="C264" t="inlineStr">
        <is>
          <t>SHELVES</t>
        </is>
      </c>
      <c r="D264" t="inlineStr">
        <is>
          <t>QV 77 D488f 1990</t>
        </is>
      </c>
      <c r="E264" t="inlineStr">
        <is>
          <t>0                      QV 0077000D  488f        1990</t>
        </is>
      </c>
      <c r="F264" t="inlineStr">
        <is>
          <t>Fundamentals of monitoring psychoactive drug therapy / C. Lindsay DeVane.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M264" t="inlineStr">
        <is>
          <t>DeVane, C. Lindsay.</t>
        </is>
      </c>
      <c r="N264" t="inlineStr">
        <is>
          <t>Baltimore : Williams &amp; Wilkins, c1990.</t>
        </is>
      </c>
      <c r="O264" t="inlineStr">
        <is>
          <t>1990</t>
        </is>
      </c>
      <c r="Q264" t="inlineStr">
        <is>
          <t>eng</t>
        </is>
      </c>
      <c r="R264" t="inlineStr">
        <is>
          <t>xxu</t>
        </is>
      </c>
      <c r="T264" t="inlineStr">
        <is>
          <t xml:space="preserve">QV </t>
        </is>
      </c>
      <c r="U264" t="n">
        <v>8</v>
      </c>
      <c r="V264" t="n">
        <v>8</v>
      </c>
      <c r="W264" t="inlineStr">
        <is>
          <t>1998-10-26</t>
        </is>
      </c>
      <c r="X264" t="inlineStr">
        <is>
          <t>1998-10-26</t>
        </is>
      </c>
      <c r="Y264" t="inlineStr">
        <is>
          <t>1990-08-16</t>
        </is>
      </c>
      <c r="Z264" t="inlineStr">
        <is>
          <t>1990-08-16</t>
        </is>
      </c>
      <c r="AA264" t="n">
        <v>102</v>
      </c>
      <c r="AB264" t="n">
        <v>78</v>
      </c>
      <c r="AC264" t="n">
        <v>80</v>
      </c>
      <c r="AD264" t="n">
        <v>1</v>
      </c>
      <c r="AE264" t="n">
        <v>1</v>
      </c>
      <c r="AF264" t="n">
        <v>5</v>
      </c>
      <c r="AG264" t="n">
        <v>5</v>
      </c>
      <c r="AH264" t="n">
        <v>2</v>
      </c>
      <c r="AI264" t="n">
        <v>2</v>
      </c>
      <c r="AJ264" t="n">
        <v>1</v>
      </c>
      <c r="AK264" t="n">
        <v>1</v>
      </c>
      <c r="AL264" t="n">
        <v>2</v>
      </c>
      <c r="AM264" t="n">
        <v>2</v>
      </c>
      <c r="AN264" t="n">
        <v>0</v>
      </c>
      <c r="AO264" t="n">
        <v>0</v>
      </c>
      <c r="AP264" t="n">
        <v>0</v>
      </c>
      <c r="AQ264" t="n">
        <v>0</v>
      </c>
      <c r="AR264" t="inlineStr">
        <is>
          <t>No</t>
        </is>
      </c>
      <c r="AS264" t="inlineStr">
        <is>
          <t>Yes</t>
        </is>
      </c>
      <c r="AT264">
        <f>HYPERLINK("http://catalog.hathitrust.org/Record/001942707","HathiTrust Record")</f>
        <v/>
      </c>
      <c r="AU264">
        <f>HYPERLINK("https://creighton-primo.hosted.exlibrisgroup.com/primo-explore/search?tab=default_tab&amp;search_scope=EVERYTHING&amp;vid=01CRU&amp;lang=en_US&amp;offset=0&amp;query=any,contains,991001453539702656","Catalog Record")</f>
        <v/>
      </c>
      <c r="AV264">
        <f>HYPERLINK("http://www.worldcat.org/oclc/19847368","WorldCat Record")</f>
        <v/>
      </c>
      <c r="AW264" t="inlineStr">
        <is>
          <t>21934187:eng</t>
        </is>
      </c>
      <c r="AX264" t="inlineStr">
        <is>
          <t>19847368</t>
        </is>
      </c>
      <c r="AY264" t="inlineStr">
        <is>
          <t>991001453539702656</t>
        </is>
      </c>
      <c r="AZ264" t="inlineStr">
        <is>
          <t>991001453539702656</t>
        </is>
      </c>
      <c r="BA264" t="inlineStr">
        <is>
          <t>2262997270002656</t>
        </is>
      </c>
      <c r="BB264" t="inlineStr">
        <is>
          <t>BOOK</t>
        </is>
      </c>
      <c r="BD264" t="inlineStr">
        <is>
          <t>9780683024524</t>
        </is>
      </c>
      <c r="BE264" t="inlineStr">
        <is>
          <t>30001001884149</t>
        </is>
      </c>
      <c r="BF264" t="inlineStr">
        <is>
          <t>893546730</t>
        </is>
      </c>
    </row>
    <row r="265">
      <c r="B265" t="inlineStr">
        <is>
          <t>CUHSL</t>
        </is>
      </c>
      <c r="C265" t="inlineStr">
        <is>
          <t>SHELVES</t>
        </is>
      </c>
      <c r="D265" t="inlineStr">
        <is>
          <t>QV 77 D793 1985</t>
        </is>
      </c>
      <c r="E265" t="inlineStr">
        <is>
          <t>0                      QV 0077000D  793         1985</t>
        </is>
      </c>
      <c r="F265" t="inlineStr">
        <is>
          <t>Drugs in central nervous system disorders / edited by David C. Horwell.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0</t>
        </is>
      </c>
      <c r="N265" t="inlineStr">
        <is>
          <t>New York : Dekker, c1985.</t>
        </is>
      </c>
      <c r="O265" t="inlineStr">
        <is>
          <t>1985</t>
        </is>
      </c>
      <c r="Q265" t="inlineStr">
        <is>
          <t>eng</t>
        </is>
      </c>
      <c r="R265" t="inlineStr">
        <is>
          <t>xxu</t>
        </is>
      </c>
      <c r="S265" t="inlineStr">
        <is>
          <t>Clinical pharmacology ; v. 2</t>
        </is>
      </c>
      <c r="T265" t="inlineStr">
        <is>
          <t xml:space="preserve">QV </t>
        </is>
      </c>
      <c r="U265" t="n">
        <v>5</v>
      </c>
      <c r="V265" t="n">
        <v>5</v>
      </c>
      <c r="W265" t="inlineStr">
        <is>
          <t>1995-06-21</t>
        </is>
      </c>
      <c r="X265" t="inlineStr">
        <is>
          <t>1995-06-21</t>
        </is>
      </c>
      <c r="Y265" t="inlineStr">
        <is>
          <t>1988-02-08</t>
        </is>
      </c>
      <c r="Z265" t="inlineStr">
        <is>
          <t>1988-02-08</t>
        </is>
      </c>
      <c r="AA265" t="n">
        <v>151</v>
      </c>
      <c r="AB265" t="n">
        <v>106</v>
      </c>
      <c r="AC265" t="n">
        <v>108</v>
      </c>
      <c r="AD265" t="n">
        <v>1</v>
      </c>
      <c r="AE265" t="n">
        <v>1</v>
      </c>
      <c r="AF265" t="n">
        <v>3</v>
      </c>
      <c r="AG265" t="n">
        <v>3</v>
      </c>
      <c r="AH265" t="n">
        <v>1</v>
      </c>
      <c r="AI265" t="n">
        <v>1</v>
      </c>
      <c r="AJ265" t="n">
        <v>2</v>
      </c>
      <c r="AK265" t="n">
        <v>2</v>
      </c>
      <c r="AL265" t="n">
        <v>1</v>
      </c>
      <c r="AM265" t="n">
        <v>1</v>
      </c>
      <c r="AN265" t="n">
        <v>0</v>
      </c>
      <c r="AO265" t="n">
        <v>0</v>
      </c>
      <c r="AP265" t="n">
        <v>0</v>
      </c>
      <c r="AQ265" t="n">
        <v>0</v>
      </c>
      <c r="AR265" t="inlineStr">
        <is>
          <t>No</t>
        </is>
      </c>
      <c r="AS265" t="inlineStr">
        <is>
          <t>Yes</t>
        </is>
      </c>
      <c r="AT265">
        <f>HYPERLINK("http://catalog.hathitrust.org/Record/000459996","HathiTrust Record")</f>
        <v/>
      </c>
      <c r="AU265">
        <f>HYPERLINK("https://creighton-primo.hosted.exlibrisgroup.com/primo-explore/search?tab=default_tab&amp;search_scope=EVERYTHING&amp;vid=01CRU&amp;lang=en_US&amp;offset=0&amp;query=any,contains,991000957789702656","Catalog Record")</f>
        <v/>
      </c>
      <c r="AV265">
        <f>HYPERLINK("http://www.worldcat.org/oclc/11518064","WorldCat Record")</f>
        <v/>
      </c>
      <c r="AW265" t="inlineStr">
        <is>
          <t>3917375:eng</t>
        </is>
      </c>
      <c r="AX265" t="inlineStr">
        <is>
          <t>11518064</t>
        </is>
      </c>
      <c r="AY265" t="inlineStr">
        <is>
          <t>991000957789702656</t>
        </is>
      </c>
      <c r="AZ265" t="inlineStr">
        <is>
          <t>991000957789702656</t>
        </is>
      </c>
      <c r="BA265" t="inlineStr">
        <is>
          <t>2259622000002656</t>
        </is>
      </c>
      <c r="BB265" t="inlineStr">
        <is>
          <t>BOOK</t>
        </is>
      </c>
      <c r="BD265" t="inlineStr">
        <is>
          <t>9780824771850</t>
        </is>
      </c>
      <c r="BE265" t="inlineStr">
        <is>
          <t>30001000195224</t>
        </is>
      </c>
      <c r="BF265" t="inlineStr">
        <is>
          <t>893148755</t>
        </is>
      </c>
    </row>
    <row r="266">
      <c r="B266" t="inlineStr">
        <is>
          <t>CUHSL</t>
        </is>
      </c>
      <c r="C266" t="inlineStr">
        <is>
          <t>SHELVES</t>
        </is>
      </c>
      <c r="D266" t="inlineStr">
        <is>
          <t>QV 77 E84 1967a</t>
        </is>
      </c>
      <c r="E266" t="inlineStr">
        <is>
          <t>0                      QV 0077000E  84          1967a</t>
        </is>
      </c>
      <c r="F266" t="inlineStr">
        <is>
          <t>Ethnopharmacologic search for psychoactive drugs / Daniel H. Efron, editor-in-chief, Bo Holmstedt, co-editor, Nathan S. Kline, co-editor.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N266" t="inlineStr">
        <is>
          <t>New York : Raven Press, 1979.</t>
        </is>
      </c>
      <c r="O266" t="inlineStr">
        <is>
          <t>1979</t>
        </is>
      </c>
      <c r="Q266" t="inlineStr">
        <is>
          <t>eng</t>
        </is>
      </c>
      <c r="R266" t="inlineStr">
        <is>
          <t>nyu</t>
        </is>
      </c>
      <c r="T266" t="inlineStr">
        <is>
          <t xml:space="preserve">QV </t>
        </is>
      </c>
      <c r="U266" t="n">
        <v>4</v>
      </c>
      <c r="V266" t="n">
        <v>4</v>
      </c>
      <c r="W266" t="inlineStr">
        <is>
          <t>1989-03-01</t>
        </is>
      </c>
      <c r="X266" t="inlineStr">
        <is>
          <t>1989-03-01</t>
        </is>
      </c>
      <c r="Y266" t="inlineStr">
        <is>
          <t>1988-02-08</t>
        </is>
      </c>
      <c r="Z266" t="inlineStr">
        <is>
          <t>1988-02-08</t>
        </is>
      </c>
      <c r="AA266" t="n">
        <v>104</v>
      </c>
      <c r="AB266" t="n">
        <v>71</v>
      </c>
      <c r="AC266" t="n">
        <v>102</v>
      </c>
      <c r="AD266" t="n">
        <v>1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HYPERLINK("http://catalog.hathitrust.org/Record/000300845","HathiTrust Record")</f>
        <v/>
      </c>
      <c r="AU266">
        <f>HYPERLINK("https://creighton-primo.hosted.exlibrisgroup.com/primo-explore/search?tab=default_tab&amp;search_scope=EVERYTHING&amp;vid=01CRU&amp;lang=en_US&amp;offset=0&amp;query=any,contains,991000957829702656","Catalog Record")</f>
        <v/>
      </c>
      <c r="AV266">
        <f>HYPERLINK("http://www.worldcat.org/oclc/4933187","WorldCat Record")</f>
        <v/>
      </c>
      <c r="AW266" t="inlineStr">
        <is>
          <t>5534209208:eng</t>
        </is>
      </c>
      <c r="AX266" t="inlineStr">
        <is>
          <t>4933187</t>
        </is>
      </c>
      <c r="AY266" t="inlineStr">
        <is>
          <t>991000957829702656</t>
        </is>
      </c>
      <c r="AZ266" t="inlineStr">
        <is>
          <t>991000957829702656</t>
        </is>
      </c>
      <c r="BA266" t="inlineStr">
        <is>
          <t>2268937460002656</t>
        </is>
      </c>
      <c r="BB266" t="inlineStr">
        <is>
          <t>BOOK</t>
        </is>
      </c>
      <c r="BD266" t="inlineStr">
        <is>
          <t>9780890040478</t>
        </is>
      </c>
      <c r="BE266" t="inlineStr">
        <is>
          <t>30001000195232</t>
        </is>
      </c>
      <c r="BF266" t="inlineStr">
        <is>
          <t>893134127</t>
        </is>
      </c>
    </row>
    <row r="267">
      <c r="B267" t="inlineStr">
        <is>
          <t>CUHSL</t>
        </is>
      </c>
      <c r="C267" t="inlineStr">
        <is>
          <t>SHELVES</t>
        </is>
      </c>
      <c r="D267" t="inlineStr">
        <is>
          <t>QV 77 H744ca 1990</t>
        </is>
      </c>
      <c r="E267" t="inlineStr">
        <is>
          <t>0                      QV 0077000H  744ca       1990</t>
        </is>
      </c>
      <c r="F267" t="inlineStr">
        <is>
          <t>Clinical pharmacology of psychotherapeutic drugs / Leo E. Hollister, John G. Csernansky.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M267" t="inlineStr">
        <is>
          <t>Hollister, Leo E., 1920-2000.</t>
        </is>
      </c>
      <c r="N267" t="inlineStr">
        <is>
          <t>New York : Churchill Livingstone, c1990.</t>
        </is>
      </c>
      <c r="O267" t="inlineStr">
        <is>
          <t>1990</t>
        </is>
      </c>
      <c r="P267" t="inlineStr">
        <is>
          <t>3rd ed.</t>
        </is>
      </c>
      <c r="Q267" t="inlineStr">
        <is>
          <t>eng</t>
        </is>
      </c>
      <c r="R267" t="inlineStr">
        <is>
          <t>xxu</t>
        </is>
      </c>
      <c r="T267" t="inlineStr">
        <is>
          <t xml:space="preserve">QV </t>
        </is>
      </c>
      <c r="U267" t="n">
        <v>9</v>
      </c>
      <c r="V267" t="n">
        <v>9</v>
      </c>
      <c r="W267" t="inlineStr">
        <is>
          <t>1995-08-22</t>
        </is>
      </c>
      <c r="X267" t="inlineStr">
        <is>
          <t>1995-08-22</t>
        </is>
      </c>
      <c r="Y267" t="inlineStr">
        <is>
          <t>1990-08-16</t>
        </is>
      </c>
      <c r="Z267" t="inlineStr">
        <is>
          <t>1990-08-16</t>
        </is>
      </c>
      <c r="AA267" t="n">
        <v>164</v>
      </c>
      <c r="AB267" t="n">
        <v>112</v>
      </c>
      <c r="AC267" t="n">
        <v>211</v>
      </c>
      <c r="AD267" t="n">
        <v>1</v>
      </c>
      <c r="AE267" t="n">
        <v>1</v>
      </c>
      <c r="AF267" t="n">
        <v>6</v>
      </c>
      <c r="AG267" t="n">
        <v>7</v>
      </c>
      <c r="AH267" t="n">
        <v>3</v>
      </c>
      <c r="AI267" t="n">
        <v>3</v>
      </c>
      <c r="AJ267" t="n">
        <v>1</v>
      </c>
      <c r="AK267" t="n">
        <v>1</v>
      </c>
      <c r="AL267" t="n">
        <v>2</v>
      </c>
      <c r="AM267" t="n">
        <v>3</v>
      </c>
      <c r="AN267" t="n">
        <v>0</v>
      </c>
      <c r="AO267" t="n">
        <v>0</v>
      </c>
      <c r="AP267" t="n">
        <v>0</v>
      </c>
      <c r="AQ267" t="n">
        <v>0</v>
      </c>
      <c r="AR267" t="inlineStr">
        <is>
          <t>No</t>
        </is>
      </c>
      <c r="AS267" t="inlineStr">
        <is>
          <t>Yes</t>
        </is>
      </c>
      <c r="AT267">
        <f>HYPERLINK("http://catalog.hathitrust.org/Record/001842658","HathiTrust Record")</f>
        <v/>
      </c>
      <c r="AU267">
        <f>HYPERLINK("https://creighton-primo.hosted.exlibrisgroup.com/primo-explore/search?tab=default_tab&amp;search_scope=EVERYTHING&amp;vid=01CRU&amp;lang=en_US&amp;offset=0&amp;query=any,contains,991001453609702656","Catalog Record")</f>
        <v/>
      </c>
      <c r="AV267">
        <f>HYPERLINK("http://www.worldcat.org/oclc/20318620","WorldCat Record")</f>
        <v/>
      </c>
      <c r="AW267" t="inlineStr">
        <is>
          <t>3856165056:eng</t>
        </is>
      </c>
      <c r="AX267" t="inlineStr">
        <is>
          <t>20318620</t>
        </is>
      </c>
      <c r="AY267" t="inlineStr">
        <is>
          <t>991001453609702656</t>
        </is>
      </c>
      <c r="AZ267" t="inlineStr">
        <is>
          <t>991001453609702656</t>
        </is>
      </c>
      <c r="BA267" t="inlineStr">
        <is>
          <t>2266305270002656</t>
        </is>
      </c>
      <c r="BB267" t="inlineStr">
        <is>
          <t>BOOK</t>
        </is>
      </c>
      <c r="BD267" t="inlineStr">
        <is>
          <t>9780443086700</t>
        </is>
      </c>
      <c r="BE267" t="inlineStr">
        <is>
          <t>30001001884164</t>
        </is>
      </c>
      <c r="BF267" t="inlineStr">
        <is>
          <t>893633073</t>
        </is>
      </c>
    </row>
    <row r="268">
      <c r="B268" t="inlineStr">
        <is>
          <t>CUHSL</t>
        </is>
      </c>
      <c r="C268" t="inlineStr">
        <is>
          <t>SHELVES</t>
        </is>
      </c>
      <c r="D268" t="inlineStr">
        <is>
          <t>QV 77 J94p 1992</t>
        </is>
      </c>
      <c r="E268" t="inlineStr">
        <is>
          <t>0                      QV 0077000J  94p         1992</t>
        </is>
      </c>
      <c r="F268" t="inlineStr">
        <is>
          <t>A primer of drug action : a concise, nontechnical guide to the actions, uses, and side effects of psychoactive drugs / Robert M. Julien.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M268" t="inlineStr">
        <is>
          <t>Julien, Robert M.</t>
        </is>
      </c>
      <c r="N268" t="inlineStr">
        <is>
          <t>New York : W.H. Freeman, c1992.</t>
        </is>
      </c>
      <c r="O268" t="inlineStr">
        <is>
          <t>1992</t>
        </is>
      </c>
      <c r="P268" t="inlineStr">
        <is>
          <t>6th ed.</t>
        </is>
      </c>
      <c r="Q268" t="inlineStr">
        <is>
          <t>eng</t>
        </is>
      </c>
      <c r="R268" t="inlineStr">
        <is>
          <t>nyu</t>
        </is>
      </c>
      <c r="T268" t="inlineStr">
        <is>
          <t xml:space="preserve">QV </t>
        </is>
      </c>
      <c r="U268" t="n">
        <v>2</v>
      </c>
      <c r="V268" t="n">
        <v>2</v>
      </c>
      <c r="W268" t="inlineStr">
        <is>
          <t>1998-10-26</t>
        </is>
      </c>
      <c r="X268" t="inlineStr">
        <is>
          <t>1998-10-26</t>
        </is>
      </c>
      <c r="Y268" t="inlineStr">
        <is>
          <t>1997-09-23</t>
        </is>
      </c>
      <c r="Z268" t="inlineStr">
        <is>
          <t>1997-09-23</t>
        </is>
      </c>
      <c r="AA268" t="n">
        <v>190</v>
      </c>
      <c r="AB268" t="n">
        <v>133</v>
      </c>
      <c r="AC268" t="n">
        <v>663</v>
      </c>
      <c r="AD268" t="n">
        <v>1</v>
      </c>
      <c r="AE268" t="n">
        <v>1</v>
      </c>
      <c r="AF268" t="n">
        <v>7</v>
      </c>
      <c r="AG268" t="n">
        <v>16</v>
      </c>
      <c r="AH268" t="n">
        <v>3</v>
      </c>
      <c r="AI268" t="n">
        <v>8</v>
      </c>
      <c r="AJ268" t="n">
        <v>2</v>
      </c>
      <c r="AK268" t="n">
        <v>6</v>
      </c>
      <c r="AL268" t="n">
        <v>2</v>
      </c>
      <c r="AM268" t="n">
        <v>6</v>
      </c>
      <c r="AN268" t="n">
        <v>0</v>
      </c>
      <c r="AO268" t="n">
        <v>0</v>
      </c>
      <c r="AP268" t="n">
        <v>0</v>
      </c>
      <c r="AQ268" t="n">
        <v>0</v>
      </c>
      <c r="AR268" t="inlineStr">
        <is>
          <t>No</t>
        </is>
      </c>
      <c r="AS268" t="inlineStr">
        <is>
          <t>No</t>
        </is>
      </c>
      <c r="AU268">
        <f>HYPERLINK("https://creighton-primo.hosted.exlibrisgroup.com/primo-explore/search?tab=default_tab&amp;search_scope=EVERYTHING&amp;vid=01CRU&amp;lang=en_US&amp;offset=0&amp;query=any,contains,991001131009702656","Catalog Record")</f>
        <v/>
      </c>
      <c r="AV268">
        <f>HYPERLINK("http://www.worldcat.org/oclc/23732173","WorldCat Record")</f>
        <v/>
      </c>
      <c r="AW268" t="inlineStr">
        <is>
          <t>3901301026:eng</t>
        </is>
      </c>
      <c r="AX268" t="inlineStr">
        <is>
          <t>23732173</t>
        </is>
      </c>
      <c r="AY268" t="inlineStr">
        <is>
          <t>991001131009702656</t>
        </is>
      </c>
      <c r="AZ268" t="inlineStr">
        <is>
          <t>991001131009702656</t>
        </is>
      </c>
      <c r="BA268" t="inlineStr">
        <is>
          <t>2265328070002656</t>
        </is>
      </c>
      <c r="BB268" t="inlineStr">
        <is>
          <t>BOOK</t>
        </is>
      </c>
      <c r="BD268" t="inlineStr">
        <is>
          <t>9780716722618</t>
        </is>
      </c>
      <c r="BE268" t="inlineStr">
        <is>
          <t>30001003625045</t>
        </is>
      </c>
      <c r="BF268" t="inlineStr">
        <is>
          <t>893736253</t>
        </is>
      </c>
    </row>
    <row r="269">
      <c r="B269" t="inlineStr">
        <is>
          <t>CUHSL</t>
        </is>
      </c>
      <c r="C269" t="inlineStr">
        <is>
          <t>SHELVES</t>
        </is>
      </c>
      <c r="D269" t="inlineStr">
        <is>
          <t>QV 77 K29p 1993</t>
        </is>
      </c>
      <c r="E269" t="inlineStr">
        <is>
          <t>0                      QV 0077000K  29p         1993</t>
        </is>
      </c>
      <c r="F269" t="inlineStr">
        <is>
          <t>Psychotropic drugs / Norman L. Keltner, David G. Folks.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Yes</t>
        </is>
      </c>
      <c r="L269" t="inlineStr">
        <is>
          <t>0</t>
        </is>
      </c>
      <c r="M269" t="inlineStr">
        <is>
          <t>Keltner, Norman L.</t>
        </is>
      </c>
      <c r="N269" t="inlineStr">
        <is>
          <t>St. Louis : Mosby, c1993.</t>
        </is>
      </c>
      <c r="O269" t="inlineStr">
        <is>
          <t>1993</t>
        </is>
      </c>
      <c r="Q269" t="inlineStr">
        <is>
          <t>eng</t>
        </is>
      </c>
      <c r="R269" t="inlineStr">
        <is>
          <t>mou</t>
        </is>
      </c>
      <c r="T269" t="inlineStr">
        <is>
          <t xml:space="preserve">QV </t>
        </is>
      </c>
      <c r="U269" t="n">
        <v>7</v>
      </c>
      <c r="V269" t="n">
        <v>7</v>
      </c>
      <c r="W269" t="inlineStr">
        <is>
          <t>1994-09-07</t>
        </is>
      </c>
      <c r="X269" t="inlineStr">
        <is>
          <t>1994-09-07</t>
        </is>
      </c>
      <c r="Y269" t="inlineStr">
        <is>
          <t>1994-09-07</t>
        </is>
      </c>
      <c r="Z269" t="inlineStr">
        <is>
          <t>1994-09-07</t>
        </is>
      </c>
      <c r="AA269" t="n">
        <v>207</v>
      </c>
      <c r="AB269" t="n">
        <v>176</v>
      </c>
      <c r="AC269" t="n">
        <v>535</v>
      </c>
      <c r="AD269" t="n">
        <v>2</v>
      </c>
      <c r="AE269" t="n">
        <v>2</v>
      </c>
      <c r="AF269" t="n">
        <v>7</v>
      </c>
      <c r="AG269" t="n">
        <v>22</v>
      </c>
      <c r="AH269" t="n">
        <v>3</v>
      </c>
      <c r="AI269" t="n">
        <v>12</v>
      </c>
      <c r="AJ269" t="n">
        <v>1</v>
      </c>
      <c r="AK269" t="n">
        <v>4</v>
      </c>
      <c r="AL269" t="n">
        <v>4</v>
      </c>
      <c r="AM269" t="n">
        <v>12</v>
      </c>
      <c r="AN269" t="n">
        <v>0</v>
      </c>
      <c r="AO269" t="n">
        <v>0</v>
      </c>
      <c r="AP269" t="n">
        <v>0</v>
      </c>
      <c r="AQ269" t="n">
        <v>0</v>
      </c>
      <c r="AR269" t="inlineStr">
        <is>
          <t>No</t>
        </is>
      </c>
      <c r="AS269" t="inlineStr">
        <is>
          <t>Yes</t>
        </is>
      </c>
      <c r="AT269">
        <f>HYPERLINK("http://catalog.hathitrust.org/Record/002630887","HathiTrust Record")</f>
        <v/>
      </c>
      <c r="AU269">
        <f>HYPERLINK("https://creighton-primo.hosted.exlibrisgroup.com/primo-explore/search?tab=default_tab&amp;search_scope=EVERYTHING&amp;vid=01CRU&amp;lang=en_US&amp;offset=0&amp;query=any,contains,991000674619702656","Catalog Record")</f>
        <v/>
      </c>
      <c r="AV269">
        <f>HYPERLINK("http://www.worldcat.org/oclc/27311142","WorldCat Record")</f>
        <v/>
      </c>
      <c r="AW269" t="inlineStr">
        <is>
          <t>14426655:eng</t>
        </is>
      </c>
      <c r="AX269" t="inlineStr">
        <is>
          <t>27311142</t>
        </is>
      </c>
      <c r="AY269" t="inlineStr">
        <is>
          <t>991000674619702656</t>
        </is>
      </c>
      <c r="AZ269" t="inlineStr">
        <is>
          <t>991000674619702656</t>
        </is>
      </c>
      <c r="BA269" t="inlineStr">
        <is>
          <t>2255727260002656</t>
        </is>
      </c>
      <c r="BB269" t="inlineStr">
        <is>
          <t>BOOK</t>
        </is>
      </c>
      <c r="BD269" t="inlineStr">
        <is>
          <t>9780801658402</t>
        </is>
      </c>
      <c r="BE269" t="inlineStr">
        <is>
          <t>30001002696518</t>
        </is>
      </c>
      <c r="BF269" t="inlineStr">
        <is>
          <t>893642319</t>
        </is>
      </c>
    </row>
    <row r="270">
      <c r="B270" t="inlineStr">
        <is>
          <t>CUHSL</t>
        </is>
      </c>
      <c r="C270" t="inlineStr">
        <is>
          <t>SHELVES</t>
        </is>
      </c>
      <c r="D270" t="inlineStr">
        <is>
          <t>QV 77 L154i 1983</t>
        </is>
      </c>
      <c r="E270" t="inlineStr">
        <is>
          <t>0                      QV 0077000L  154i        1983</t>
        </is>
      </c>
      <c r="F270" t="inlineStr">
        <is>
          <t>Introduction to psychopharmacology / Malcolm Lader.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M270" t="inlineStr">
        <is>
          <t>Lader, Malcolm Harold.</t>
        </is>
      </c>
      <c r="N270" t="inlineStr">
        <is>
          <t>Kalamazoo, Mich. : Upjohn, c1983.</t>
        </is>
      </c>
      <c r="O270" t="inlineStr">
        <is>
          <t>1983</t>
        </is>
      </c>
      <c r="Q270" t="inlineStr">
        <is>
          <t>eng</t>
        </is>
      </c>
      <c r="R270" t="inlineStr">
        <is>
          <t>miu</t>
        </is>
      </c>
      <c r="S270" t="inlineStr">
        <is>
          <t>A SCOPE publication</t>
        </is>
      </c>
      <c r="T270" t="inlineStr">
        <is>
          <t xml:space="preserve">QV </t>
        </is>
      </c>
      <c r="U270" t="n">
        <v>5</v>
      </c>
      <c r="V270" t="n">
        <v>5</v>
      </c>
      <c r="W270" t="inlineStr">
        <is>
          <t>1990-11-05</t>
        </is>
      </c>
      <c r="X270" t="inlineStr">
        <is>
          <t>1990-11-05</t>
        </is>
      </c>
      <c r="Y270" t="inlineStr">
        <is>
          <t>1990-11-05</t>
        </is>
      </c>
      <c r="Z270" t="inlineStr">
        <is>
          <t>1990-11-05</t>
        </is>
      </c>
      <c r="AA270" t="n">
        <v>108</v>
      </c>
      <c r="AB270" t="n">
        <v>90</v>
      </c>
      <c r="AC270" t="n">
        <v>140</v>
      </c>
      <c r="AD270" t="n">
        <v>1</v>
      </c>
      <c r="AE270" t="n">
        <v>1</v>
      </c>
      <c r="AF270" t="n">
        <v>3</v>
      </c>
      <c r="AG270" t="n">
        <v>3</v>
      </c>
      <c r="AH270" t="n">
        <v>1</v>
      </c>
      <c r="AI270" t="n">
        <v>1</v>
      </c>
      <c r="AJ270" t="n">
        <v>1</v>
      </c>
      <c r="AK270" t="n">
        <v>1</v>
      </c>
      <c r="AL270" t="n">
        <v>1</v>
      </c>
      <c r="AM270" t="n">
        <v>1</v>
      </c>
      <c r="AN270" t="n">
        <v>0</v>
      </c>
      <c r="AO270" t="n">
        <v>0</v>
      </c>
      <c r="AP270" t="n">
        <v>0</v>
      </c>
      <c r="AQ270" t="n">
        <v>0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HYPERLINK("http://catalog.hathitrust.org/Record/003794824","HathiTrust Record")</f>
        <v/>
      </c>
      <c r="AU270">
        <f>HYPERLINK("https://creighton-primo.hosted.exlibrisgroup.com/primo-explore/search?tab=default_tab&amp;search_scope=EVERYTHING&amp;vid=01CRU&amp;lang=en_US&amp;offset=0&amp;query=any,contains,991000775369702656","Catalog Record")</f>
        <v/>
      </c>
      <c r="AV270">
        <f>HYPERLINK("http://www.worldcat.org/oclc/10268203","WorldCat Record")</f>
        <v/>
      </c>
      <c r="AW270" t="inlineStr">
        <is>
          <t>43522482:eng</t>
        </is>
      </c>
      <c r="AX270" t="inlineStr">
        <is>
          <t>10268203</t>
        </is>
      </c>
      <c r="AY270" t="inlineStr">
        <is>
          <t>991000775369702656</t>
        </is>
      </c>
      <c r="AZ270" t="inlineStr">
        <is>
          <t>991000775369702656</t>
        </is>
      </c>
      <c r="BA270" t="inlineStr">
        <is>
          <t>2268366690002656</t>
        </is>
      </c>
      <c r="BB270" t="inlineStr">
        <is>
          <t>BOOK</t>
        </is>
      </c>
      <c r="BD270" t="inlineStr">
        <is>
          <t>9780895010155</t>
        </is>
      </c>
      <c r="BE270" t="inlineStr">
        <is>
          <t>30001002063008</t>
        </is>
      </c>
      <c r="BF270" t="inlineStr">
        <is>
          <t>893459810</t>
        </is>
      </c>
    </row>
    <row r="271">
      <c r="B271" t="inlineStr">
        <is>
          <t>CUHSL</t>
        </is>
      </c>
      <c r="C271" t="inlineStr">
        <is>
          <t>SHELVES</t>
        </is>
      </c>
      <c r="D271" t="inlineStr">
        <is>
          <t>QV 77 L439d 1982</t>
        </is>
      </c>
      <c r="E271" t="inlineStr">
        <is>
          <t>0                      QV 0077000L  439d        1982</t>
        </is>
      </c>
      <c r="F271" t="inlineStr">
        <is>
          <t>Drugs and behavior / Fred Leavitt.</t>
        </is>
      </c>
      <c r="H271" t="inlineStr">
        <is>
          <t>No</t>
        </is>
      </c>
      <c r="I271" t="inlineStr">
        <is>
          <t>1</t>
        </is>
      </c>
      <c r="J271" t="inlineStr">
        <is>
          <t>Yes</t>
        </is>
      </c>
      <c r="K271" t="inlineStr">
        <is>
          <t>No</t>
        </is>
      </c>
      <c r="L271" t="inlineStr">
        <is>
          <t>0</t>
        </is>
      </c>
      <c r="M271" t="inlineStr">
        <is>
          <t>Leavitt, Fred.</t>
        </is>
      </c>
      <c r="N271" t="inlineStr">
        <is>
          <t>New York : Wiley, c1982.</t>
        </is>
      </c>
      <c r="O271" t="inlineStr">
        <is>
          <t>1982</t>
        </is>
      </c>
      <c r="P271" t="inlineStr">
        <is>
          <t>2nd ed.</t>
        </is>
      </c>
      <c r="Q271" t="inlineStr">
        <is>
          <t>eng</t>
        </is>
      </c>
      <c r="R271" t="inlineStr">
        <is>
          <t>xxu</t>
        </is>
      </c>
      <c r="S271" t="inlineStr">
        <is>
          <t>Wiley series on personality processes</t>
        </is>
      </c>
      <c r="T271" t="inlineStr">
        <is>
          <t xml:space="preserve">QV </t>
        </is>
      </c>
      <c r="U271" t="n">
        <v>6</v>
      </c>
      <c r="V271" t="n">
        <v>6</v>
      </c>
      <c r="W271" t="inlineStr">
        <is>
          <t>2005-10-03</t>
        </is>
      </c>
      <c r="X271" t="inlineStr">
        <is>
          <t>2005-10-03</t>
        </is>
      </c>
      <c r="Y271" t="inlineStr">
        <is>
          <t>1988-02-08</t>
        </is>
      </c>
      <c r="Z271" t="inlineStr">
        <is>
          <t>1988-02-08</t>
        </is>
      </c>
      <c r="AA271" t="n">
        <v>372</v>
      </c>
      <c r="AB271" t="n">
        <v>294</v>
      </c>
      <c r="AC271" t="n">
        <v>578</v>
      </c>
      <c r="AD271" t="n">
        <v>6</v>
      </c>
      <c r="AE271" t="n">
        <v>9</v>
      </c>
      <c r="AF271" t="n">
        <v>18</v>
      </c>
      <c r="AG271" t="n">
        <v>32</v>
      </c>
      <c r="AH271" t="n">
        <v>5</v>
      </c>
      <c r="AI271" t="n">
        <v>9</v>
      </c>
      <c r="AJ271" t="n">
        <v>4</v>
      </c>
      <c r="AK271" t="n">
        <v>7</v>
      </c>
      <c r="AL271" t="n">
        <v>10</v>
      </c>
      <c r="AM271" t="n">
        <v>16</v>
      </c>
      <c r="AN271" t="n">
        <v>4</v>
      </c>
      <c r="AO271" t="n">
        <v>7</v>
      </c>
      <c r="AP271" t="n">
        <v>0</v>
      </c>
      <c r="AQ271" t="n">
        <v>0</v>
      </c>
      <c r="AR271" t="inlineStr">
        <is>
          <t>No</t>
        </is>
      </c>
      <c r="AS271" t="inlineStr">
        <is>
          <t>Yes</t>
        </is>
      </c>
      <c r="AT271">
        <f>HYPERLINK("http://catalog.hathitrust.org/Record/000109633","HathiTrust Record")</f>
        <v/>
      </c>
      <c r="AU271">
        <f>HYPERLINK("https://creighton-primo.hosted.exlibrisgroup.com/primo-explore/search?tab=default_tab&amp;search_scope=EVERYTHING&amp;vid=01CRU&amp;lang=en_US&amp;offset=0&amp;query=any,contains,991000957869702656","Catalog Record")</f>
        <v/>
      </c>
      <c r="AV271">
        <f>HYPERLINK("http://www.worldcat.org/oclc/7925458","WorldCat Record")</f>
        <v/>
      </c>
      <c r="AW271" t="inlineStr">
        <is>
          <t>1925966:eng</t>
        </is>
      </c>
      <c r="AX271" t="inlineStr">
        <is>
          <t>7925458</t>
        </is>
      </c>
      <c r="AY271" t="inlineStr">
        <is>
          <t>991000957869702656</t>
        </is>
      </c>
      <c r="AZ271" t="inlineStr">
        <is>
          <t>991000957869702656</t>
        </is>
      </c>
      <c r="BA271" t="inlineStr">
        <is>
          <t>2260816610002656</t>
        </is>
      </c>
      <c r="BB271" t="inlineStr">
        <is>
          <t>BOOK</t>
        </is>
      </c>
      <c r="BD271" t="inlineStr">
        <is>
          <t>9780471082262</t>
        </is>
      </c>
      <c r="BE271" t="inlineStr">
        <is>
          <t>30001000195315</t>
        </is>
      </c>
      <c r="BF271" t="inlineStr">
        <is>
          <t>893815954</t>
        </is>
      </c>
    </row>
    <row r="272">
      <c r="B272" t="inlineStr">
        <is>
          <t>CUHSL</t>
        </is>
      </c>
      <c r="C272" t="inlineStr">
        <is>
          <t>SHELVES</t>
        </is>
      </c>
      <c r="D272" t="inlineStr">
        <is>
          <t>QV 77 M687o 1989</t>
        </is>
      </c>
      <c r="E272" t="inlineStr">
        <is>
          <t>0                      QV 0077000M  687o        1989</t>
        </is>
      </c>
      <c r="F272" t="inlineStr">
        <is>
          <t>The over-50 guide to psychiatric medications / Gary S. Moak, Elliot M. Stein, Joseph E. V. Rubin.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M272" t="inlineStr">
        <is>
          <t>Moak, Gary S.</t>
        </is>
      </c>
      <c r="O272" t="inlineStr">
        <is>
          <t>1989</t>
        </is>
      </c>
      <c r="Q272" t="inlineStr">
        <is>
          <t>eng</t>
        </is>
      </c>
      <c r="R272" t="inlineStr">
        <is>
          <t>dcu</t>
        </is>
      </c>
      <c r="T272" t="inlineStr">
        <is>
          <t xml:space="preserve">QV </t>
        </is>
      </c>
      <c r="U272" t="n">
        <v>5</v>
      </c>
      <c r="V272" t="n">
        <v>5</v>
      </c>
      <c r="W272" t="inlineStr">
        <is>
          <t>1989-12-08</t>
        </is>
      </c>
      <c r="X272" t="inlineStr">
        <is>
          <t>1989-12-08</t>
        </is>
      </c>
      <c r="Y272" t="inlineStr">
        <is>
          <t>1989-10-20</t>
        </is>
      </c>
      <c r="Z272" t="inlineStr">
        <is>
          <t>1989-10-20</t>
        </is>
      </c>
      <c r="AA272" t="n">
        <v>70</v>
      </c>
      <c r="AB272" t="n">
        <v>64</v>
      </c>
      <c r="AC272" t="n">
        <v>64</v>
      </c>
      <c r="AD272" t="n">
        <v>1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inlineStr">
        <is>
          <t>No</t>
        </is>
      </c>
      <c r="AS272" t="inlineStr">
        <is>
          <t>No</t>
        </is>
      </c>
      <c r="AU272">
        <f>HYPERLINK("https://creighton-primo.hosted.exlibrisgroup.com/primo-explore/search?tab=default_tab&amp;search_scope=EVERYTHING&amp;vid=01CRU&amp;lang=en_US&amp;offset=0&amp;query=any,contains,991001354669702656","Catalog Record")</f>
        <v/>
      </c>
      <c r="AV272">
        <f>HYPERLINK("http://www.worldcat.org/oclc/20494662","WorldCat Record")</f>
        <v/>
      </c>
      <c r="AW272" t="inlineStr">
        <is>
          <t>22714258:eng</t>
        </is>
      </c>
      <c r="AX272" t="inlineStr">
        <is>
          <t>20494662</t>
        </is>
      </c>
      <c r="AY272" t="inlineStr">
        <is>
          <t>991001354669702656</t>
        </is>
      </c>
      <c r="AZ272" t="inlineStr">
        <is>
          <t>991001354669702656</t>
        </is>
      </c>
      <c r="BA272" t="inlineStr">
        <is>
          <t>2269531430002656</t>
        </is>
      </c>
      <c r="BB272" t="inlineStr">
        <is>
          <t>BOOK</t>
        </is>
      </c>
      <c r="BD272" t="inlineStr">
        <is>
          <t>9780890421277</t>
        </is>
      </c>
      <c r="BE272" t="inlineStr">
        <is>
          <t>30001001795576</t>
        </is>
      </c>
      <c r="BF272" t="inlineStr">
        <is>
          <t>893638263</t>
        </is>
      </c>
    </row>
    <row r="273">
      <c r="B273" t="inlineStr">
        <is>
          <t>CUHSL</t>
        </is>
      </c>
      <c r="C273" t="inlineStr">
        <is>
          <t>SHELVES</t>
        </is>
      </c>
      <c r="D273" t="inlineStr">
        <is>
          <t>QV77 N4968 2002</t>
        </is>
      </c>
      <c r="E273" t="inlineStr">
        <is>
          <t>0                      QV 0077000N  4968        2002</t>
        </is>
      </c>
      <c r="F273" t="inlineStr">
        <is>
          <t>Neuropsychopharmacology : the fifth generation of progress : an official publication of the American College of Neuropsychopharmacology / editors, Kenneth L. Davis ... [et al.].</t>
        </is>
      </c>
      <c r="H273" t="inlineStr">
        <is>
          <t>No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N273" t="inlineStr">
        <is>
          <t>Philadelphia : Lippincott/Williams &amp; Wilkins, 2002.</t>
        </is>
      </c>
      <c r="O273" t="inlineStr">
        <is>
          <t>2002</t>
        </is>
      </c>
      <c r="Q273" t="inlineStr">
        <is>
          <t>eng</t>
        </is>
      </c>
      <c r="R273" t="inlineStr">
        <is>
          <t>pau</t>
        </is>
      </c>
      <c r="T273" t="inlineStr">
        <is>
          <t xml:space="preserve">QV </t>
        </is>
      </c>
      <c r="U273" t="n">
        <v>0</v>
      </c>
      <c r="V273" t="n">
        <v>0</v>
      </c>
      <c r="W273" t="inlineStr">
        <is>
          <t>2006-11-14</t>
        </is>
      </c>
      <c r="X273" t="inlineStr">
        <is>
          <t>2006-11-14</t>
        </is>
      </c>
      <c r="Y273" t="inlineStr">
        <is>
          <t>2006-10-06</t>
        </is>
      </c>
      <c r="Z273" t="inlineStr">
        <is>
          <t>2006-10-06</t>
        </is>
      </c>
      <c r="AA273" t="n">
        <v>182</v>
      </c>
      <c r="AB273" t="n">
        <v>121</v>
      </c>
      <c r="AC273" t="n">
        <v>499</v>
      </c>
      <c r="AD273" t="n">
        <v>1</v>
      </c>
      <c r="AE273" t="n">
        <v>5</v>
      </c>
      <c r="AF273" t="n">
        <v>3</v>
      </c>
      <c r="AG273" t="n">
        <v>22</v>
      </c>
      <c r="AH273" t="n">
        <v>0</v>
      </c>
      <c r="AI273" t="n">
        <v>6</v>
      </c>
      <c r="AJ273" t="n">
        <v>2</v>
      </c>
      <c r="AK273" t="n">
        <v>7</v>
      </c>
      <c r="AL273" t="n">
        <v>1</v>
      </c>
      <c r="AM273" t="n">
        <v>6</v>
      </c>
      <c r="AN273" t="n">
        <v>0</v>
      </c>
      <c r="AO273" t="n">
        <v>4</v>
      </c>
      <c r="AP273" t="n">
        <v>0</v>
      </c>
      <c r="AQ273" t="n">
        <v>1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HYPERLINK("https://creighton-primo.hosted.exlibrisgroup.com/primo-explore/search?tab=default_tab&amp;search_scope=EVERYTHING&amp;vid=01CRU&amp;lang=en_US&amp;offset=0&amp;query=any,contains,991000551529702656","Catalog Record")</f>
        <v/>
      </c>
      <c r="AV273">
        <f>HYPERLINK("http://www.worldcat.org/oclc/47659400","WorldCat Record")</f>
        <v/>
      </c>
      <c r="AW273" t="inlineStr">
        <is>
          <t>865282841:eng</t>
        </is>
      </c>
      <c r="AX273" t="inlineStr">
        <is>
          <t>47659400</t>
        </is>
      </c>
      <c r="AY273" t="inlineStr">
        <is>
          <t>991000551529702656</t>
        </is>
      </c>
      <c r="AZ273" t="inlineStr">
        <is>
          <t>991000551529702656</t>
        </is>
      </c>
      <c r="BA273" t="inlineStr">
        <is>
          <t>2264917080002656</t>
        </is>
      </c>
      <c r="BB273" t="inlineStr">
        <is>
          <t>BOOK</t>
        </is>
      </c>
      <c r="BD273" t="inlineStr">
        <is>
          <t>9780781728379</t>
        </is>
      </c>
      <c r="BE273" t="inlineStr">
        <is>
          <t>30001005176039</t>
        </is>
      </c>
      <c r="BF273" t="inlineStr">
        <is>
          <t>893271520</t>
        </is>
      </c>
    </row>
    <row r="274">
      <c r="B274" t="inlineStr">
        <is>
          <t>CUHSL</t>
        </is>
      </c>
      <c r="C274" t="inlineStr">
        <is>
          <t>SHELVES</t>
        </is>
      </c>
      <c r="D274" t="inlineStr">
        <is>
          <t>QV 77 P464p 1991</t>
        </is>
      </c>
      <c r="E274" t="inlineStr">
        <is>
          <t>0                      QV 0077000P  464p        1991</t>
        </is>
      </c>
      <c r="F274" t="inlineStr">
        <is>
          <t>Psychotropic drug handbook / Paul J. Perry, Bruce Alexander, Barry I. Liskow.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Yes</t>
        </is>
      </c>
      <c r="L274" t="inlineStr">
        <is>
          <t>0</t>
        </is>
      </c>
      <c r="M274" t="inlineStr">
        <is>
          <t>Perry, Paul J.</t>
        </is>
      </c>
      <c r="N274" t="inlineStr">
        <is>
          <t>Cincinnati : H. Whitney Books, c1991.</t>
        </is>
      </c>
      <c r="O274" t="inlineStr">
        <is>
          <t>1991</t>
        </is>
      </c>
      <c r="P274" t="inlineStr">
        <is>
          <t>6th ed.</t>
        </is>
      </c>
      <c r="Q274" t="inlineStr">
        <is>
          <t>eng</t>
        </is>
      </c>
      <c r="R274" t="inlineStr">
        <is>
          <t>ohu</t>
        </is>
      </c>
      <c r="T274" t="inlineStr">
        <is>
          <t xml:space="preserve">QV </t>
        </is>
      </c>
      <c r="U274" t="n">
        <v>7</v>
      </c>
      <c r="V274" t="n">
        <v>7</v>
      </c>
      <c r="W274" t="inlineStr">
        <is>
          <t>1994-11-17</t>
        </is>
      </c>
      <c r="X274" t="inlineStr">
        <is>
          <t>1994-11-17</t>
        </is>
      </c>
      <c r="Y274" t="inlineStr">
        <is>
          <t>1992-01-10</t>
        </is>
      </c>
      <c r="Z274" t="inlineStr">
        <is>
          <t>1992-01-10</t>
        </is>
      </c>
      <c r="AA274" t="n">
        <v>32</v>
      </c>
      <c r="AB274" t="n">
        <v>26</v>
      </c>
      <c r="AC274" t="n">
        <v>189</v>
      </c>
      <c r="AD274" t="n">
        <v>1</v>
      </c>
      <c r="AE274" t="n">
        <v>2</v>
      </c>
      <c r="AF274" t="n">
        <v>1</v>
      </c>
      <c r="AG274" t="n">
        <v>6</v>
      </c>
      <c r="AH274" t="n">
        <v>1</v>
      </c>
      <c r="AI274" t="n">
        <v>4</v>
      </c>
      <c r="AJ274" t="n">
        <v>0</v>
      </c>
      <c r="AK274" t="n">
        <v>1</v>
      </c>
      <c r="AL274" t="n">
        <v>0</v>
      </c>
      <c r="AM274" t="n">
        <v>1</v>
      </c>
      <c r="AN274" t="n">
        <v>0</v>
      </c>
      <c r="AO274" t="n">
        <v>1</v>
      </c>
      <c r="AP274" t="n">
        <v>0</v>
      </c>
      <c r="AQ274" t="n">
        <v>0</v>
      </c>
      <c r="AR274" t="inlineStr">
        <is>
          <t>No</t>
        </is>
      </c>
      <c r="AS274" t="inlineStr">
        <is>
          <t>Yes</t>
        </is>
      </c>
      <c r="AT274">
        <f>HYPERLINK("http://catalog.hathitrust.org/Record/002613566","HathiTrust Record")</f>
        <v/>
      </c>
      <c r="AU274">
        <f>HYPERLINK("https://creighton-primo.hosted.exlibrisgroup.com/primo-explore/search?tab=default_tab&amp;search_scope=EVERYTHING&amp;vid=01CRU&amp;lang=en_US&amp;offset=0&amp;query=any,contains,991001026729702656","Catalog Record")</f>
        <v/>
      </c>
      <c r="AV274">
        <f>HYPERLINK("http://www.worldcat.org/oclc/19930415","WorldCat Record")</f>
        <v/>
      </c>
      <c r="AW274" t="inlineStr">
        <is>
          <t>5425039:eng</t>
        </is>
      </c>
      <c r="AX274" t="inlineStr">
        <is>
          <t>19930415</t>
        </is>
      </c>
      <c r="AY274" t="inlineStr">
        <is>
          <t>991001026729702656</t>
        </is>
      </c>
      <c r="AZ274" t="inlineStr">
        <is>
          <t>991001026729702656</t>
        </is>
      </c>
      <c r="BA274" t="inlineStr">
        <is>
          <t>2255566180002656</t>
        </is>
      </c>
      <c r="BB274" t="inlineStr">
        <is>
          <t>BOOK</t>
        </is>
      </c>
      <c r="BD274" t="inlineStr">
        <is>
          <t>9780929375069</t>
        </is>
      </c>
      <c r="BE274" t="inlineStr">
        <is>
          <t>30001002242875</t>
        </is>
      </c>
      <c r="BF274" t="inlineStr">
        <is>
          <t>893278637</t>
        </is>
      </c>
    </row>
    <row r="275">
      <c r="B275" t="inlineStr">
        <is>
          <t>CUHSL</t>
        </is>
      </c>
      <c r="C275" t="inlineStr">
        <is>
          <t>SHELVES</t>
        </is>
      </c>
      <c r="D275" t="inlineStr">
        <is>
          <t>QV 77 P671p 1992</t>
        </is>
      </c>
      <c r="E275" t="inlineStr">
        <is>
          <t>0                      QV 0077000P  671p        1992</t>
        </is>
      </c>
      <c r="F275" t="inlineStr">
        <is>
          <t>Clinical primer of psychopharmacology : a practical guide / Donald M. Pirodsky, Jerry S. Cohn.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M275" t="inlineStr">
        <is>
          <t>Pirodsky, Donald M.</t>
        </is>
      </c>
      <c r="N275" t="inlineStr">
        <is>
          <t>New York : McGraw-Hill, Health Professions Division, c1992.</t>
        </is>
      </c>
      <c r="O275" t="inlineStr">
        <is>
          <t>1992</t>
        </is>
      </c>
      <c r="P275" t="inlineStr">
        <is>
          <t>2nd ed.</t>
        </is>
      </c>
      <c r="Q275" t="inlineStr">
        <is>
          <t>eng</t>
        </is>
      </c>
      <c r="R275" t="inlineStr">
        <is>
          <t>xxu</t>
        </is>
      </c>
      <c r="T275" t="inlineStr">
        <is>
          <t xml:space="preserve">QV </t>
        </is>
      </c>
      <c r="U275" t="n">
        <v>11</v>
      </c>
      <c r="V275" t="n">
        <v>11</v>
      </c>
      <c r="W275" t="inlineStr">
        <is>
          <t>1996-09-05</t>
        </is>
      </c>
      <c r="X275" t="inlineStr">
        <is>
          <t>1996-09-05</t>
        </is>
      </c>
      <c r="Y275" t="inlineStr">
        <is>
          <t>1992-12-10</t>
        </is>
      </c>
      <c r="Z275" t="inlineStr">
        <is>
          <t>1992-12-10</t>
        </is>
      </c>
      <c r="AA275" t="n">
        <v>38</v>
      </c>
      <c r="AB275" t="n">
        <v>33</v>
      </c>
      <c r="AC275" t="n">
        <v>72</v>
      </c>
      <c r="AD275" t="n">
        <v>1</v>
      </c>
      <c r="AE275" t="n">
        <v>1</v>
      </c>
      <c r="AF275" t="n">
        <v>1</v>
      </c>
      <c r="AG275" t="n">
        <v>2</v>
      </c>
      <c r="AH275" t="n">
        <v>1</v>
      </c>
      <c r="AI275" t="n">
        <v>2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inlineStr">
        <is>
          <t>No</t>
        </is>
      </c>
      <c r="AS275" t="inlineStr">
        <is>
          <t>Yes</t>
        </is>
      </c>
      <c r="AT275">
        <f>HYPERLINK("http://catalog.hathitrust.org/Record/002550398","HathiTrust Record")</f>
        <v/>
      </c>
      <c r="AU275">
        <f>HYPERLINK("https://creighton-primo.hosted.exlibrisgroup.com/primo-explore/search?tab=default_tab&amp;search_scope=EVERYTHING&amp;vid=01CRU&amp;lang=en_US&amp;offset=0&amp;query=any,contains,991001350689702656","Catalog Record")</f>
        <v/>
      </c>
      <c r="AV275">
        <f>HYPERLINK("http://www.worldcat.org/oclc/25591456","WorldCat Record")</f>
        <v/>
      </c>
      <c r="AW275" t="inlineStr">
        <is>
          <t>28369557:eng</t>
        </is>
      </c>
      <c r="AX275" t="inlineStr">
        <is>
          <t>25591456</t>
        </is>
      </c>
      <c r="AY275" t="inlineStr">
        <is>
          <t>991001350689702656</t>
        </is>
      </c>
      <c r="AZ275" t="inlineStr">
        <is>
          <t>991001350689702656</t>
        </is>
      </c>
      <c r="BA275" t="inlineStr">
        <is>
          <t>2261501300002656</t>
        </is>
      </c>
      <c r="BB275" t="inlineStr">
        <is>
          <t>BOOK</t>
        </is>
      </c>
      <c r="BD275" t="inlineStr">
        <is>
          <t>9780071053884</t>
        </is>
      </c>
      <c r="BE275" t="inlineStr">
        <is>
          <t>30001002459404</t>
        </is>
      </c>
      <c r="BF275" t="inlineStr">
        <is>
          <t>893651985</t>
        </is>
      </c>
    </row>
    <row r="276">
      <c r="B276" t="inlineStr">
        <is>
          <t>CUHSL</t>
        </is>
      </c>
      <c r="C276" t="inlineStr">
        <is>
          <t>SHELVES</t>
        </is>
      </c>
      <c r="D276" t="inlineStr">
        <is>
          <t>QV 77 P768p 1986</t>
        </is>
      </c>
      <c r="E276" t="inlineStr">
        <is>
          <t>0                      QV 0077000P  768p        1986</t>
        </is>
      </c>
      <c r="F276" t="inlineStr">
        <is>
          <t>A primer of human behavioral pharmacology / Alan Poling.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M276" t="inlineStr">
        <is>
          <t>Poling, Alan D.</t>
        </is>
      </c>
      <c r="N276" t="inlineStr">
        <is>
          <t>New York : Plenum Press, c1986.</t>
        </is>
      </c>
      <c r="O276" t="inlineStr">
        <is>
          <t>1986</t>
        </is>
      </c>
      <c r="Q276" t="inlineStr">
        <is>
          <t>eng</t>
        </is>
      </c>
      <c r="R276" t="inlineStr">
        <is>
          <t>xxu</t>
        </is>
      </c>
      <c r="S276" t="inlineStr">
        <is>
          <t>Applied clinical psychology</t>
        </is>
      </c>
      <c r="T276" t="inlineStr">
        <is>
          <t xml:space="preserve">QV </t>
        </is>
      </c>
      <c r="U276" t="n">
        <v>3</v>
      </c>
      <c r="V276" t="n">
        <v>3</v>
      </c>
      <c r="W276" t="inlineStr">
        <is>
          <t>1996-05-01</t>
        </is>
      </c>
      <c r="X276" t="inlineStr">
        <is>
          <t>1996-05-01</t>
        </is>
      </c>
      <c r="Y276" t="inlineStr">
        <is>
          <t>1988-02-08</t>
        </is>
      </c>
      <c r="Z276" t="inlineStr">
        <is>
          <t>1988-02-08</t>
        </is>
      </c>
      <c r="AA276" t="n">
        <v>259</v>
      </c>
      <c r="AB276" t="n">
        <v>216</v>
      </c>
      <c r="AC276" t="n">
        <v>233</v>
      </c>
      <c r="AD276" t="n">
        <v>1</v>
      </c>
      <c r="AE276" t="n">
        <v>1</v>
      </c>
      <c r="AF276" t="n">
        <v>11</v>
      </c>
      <c r="AG276" t="n">
        <v>11</v>
      </c>
      <c r="AH276" t="n">
        <v>3</v>
      </c>
      <c r="AI276" t="n">
        <v>3</v>
      </c>
      <c r="AJ276" t="n">
        <v>3</v>
      </c>
      <c r="AK276" t="n">
        <v>3</v>
      </c>
      <c r="AL276" t="n">
        <v>10</v>
      </c>
      <c r="AM276" t="n">
        <v>10</v>
      </c>
      <c r="AN276" t="n">
        <v>0</v>
      </c>
      <c r="AO276" t="n">
        <v>0</v>
      </c>
      <c r="AP276" t="n">
        <v>0</v>
      </c>
      <c r="AQ276" t="n">
        <v>0</v>
      </c>
      <c r="AR276" t="inlineStr">
        <is>
          <t>No</t>
        </is>
      </c>
      <c r="AS276" t="inlineStr">
        <is>
          <t>Yes</t>
        </is>
      </c>
      <c r="AT276">
        <f>HYPERLINK("http://catalog.hathitrust.org/Record/000556493","HathiTrust Record")</f>
        <v/>
      </c>
      <c r="AU276">
        <f>HYPERLINK("https://creighton-primo.hosted.exlibrisgroup.com/primo-explore/search?tab=default_tab&amp;search_scope=EVERYTHING&amp;vid=01CRU&amp;lang=en_US&amp;offset=0&amp;query=any,contains,991000957919702656","Catalog Record")</f>
        <v/>
      </c>
      <c r="AV276">
        <f>HYPERLINK("http://www.worldcat.org/oclc/13822758","WorldCat Record")</f>
        <v/>
      </c>
      <c r="AW276" t="inlineStr">
        <is>
          <t>7330638:eng</t>
        </is>
      </c>
      <c r="AX276" t="inlineStr">
        <is>
          <t>13822758</t>
        </is>
      </c>
      <c r="AY276" t="inlineStr">
        <is>
          <t>991000957919702656</t>
        </is>
      </c>
      <c r="AZ276" t="inlineStr">
        <is>
          <t>991000957919702656</t>
        </is>
      </c>
      <c r="BA276" t="inlineStr">
        <is>
          <t>2268231450002656</t>
        </is>
      </c>
      <c r="BB276" t="inlineStr">
        <is>
          <t>BOOK</t>
        </is>
      </c>
      <c r="BD276" t="inlineStr">
        <is>
          <t>9780306421860</t>
        </is>
      </c>
      <c r="BE276" t="inlineStr">
        <is>
          <t>30001000195331</t>
        </is>
      </c>
      <c r="BF276" t="inlineStr">
        <is>
          <t>893358040</t>
        </is>
      </c>
    </row>
    <row r="277">
      <c r="B277" t="inlineStr">
        <is>
          <t>CUHSL</t>
        </is>
      </c>
      <c r="C277" t="inlineStr">
        <is>
          <t>SHELVES</t>
        </is>
      </c>
      <c r="D277" t="inlineStr">
        <is>
          <t>QV 77 P959 1978</t>
        </is>
      </c>
      <c r="E277" t="inlineStr">
        <is>
          <t>0                      QV 0077000P  959         1978</t>
        </is>
      </c>
      <c r="F277" t="inlineStr">
        <is>
          <t>Principles of psychopharmacology / editors, William G. Clark, Joseph del Giudice ; contributors, Gary C. Aden ... [et al.].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N277" t="inlineStr">
        <is>
          <t>New York : Academic Press, 1978.</t>
        </is>
      </c>
      <c r="O277" t="inlineStr">
        <is>
          <t>1978</t>
        </is>
      </c>
      <c r="P277" t="inlineStr">
        <is>
          <t>2d ed.</t>
        </is>
      </c>
      <c r="Q277" t="inlineStr">
        <is>
          <t>eng</t>
        </is>
      </c>
      <c r="R277" t="inlineStr">
        <is>
          <t>nyu</t>
        </is>
      </c>
      <c r="T277" t="inlineStr">
        <is>
          <t xml:space="preserve">QV </t>
        </is>
      </c>
      <c r="U277" t="n">
        <v>6</v>
      </c>
      <c r="V277" t="n">
        <v>6</v>
      </c>
      <c r="W277" t="inlineStr">
        <is>
          <t>1996-11-18</t>
        </is>
      </c>
      <c r="X277" t="inlineStr">
        <is>
          <t>1996-11-18</t>
        </is>
      </c>
      <c r="Y277" t="inlineStr">
        <is>
          <t>1988-02-08</t>
        </is>
      </c>
      <c r="Z277" t="inlineStr">
        <is>
          <t>1988-02-08</t>
        </is>
      </c>
      <c r="AA277" t="n">
        <v>278</v>
      </c>
      <c r="AB277" t="n">
        <v>193</v>
      </c>
      <c r="AC277" t="n">
        <v>200</v>
      </c>
      <c r="AD277" t="n">
        <v>2</v>
      </c>
      <c r="AE277" t="n">
        <v>2</v>
      </c>
      <c r="AF277" t="n">
        <v>8</v>
      </c>
      <c r="AG277" t="n">
        <v>8</v>
      </c>
      <c r="AH277" t="n">
        <v>2</v>
      </c>
      <c r="AI277" t="n">
        <v>2</v>
      </c>
      <c r="AJ277" t="n">
        <v>2</v>
      </c>
      <c r="AK277" t="n">
        <v>2</v>
      </c>
      <c r="AL277" t="n">
        <v>6</v>
      </c>
      <c r="AM277" t="n">
        <v>6</v>
      </c>
      <c r="AN277" t="n">
        <v>1</v>
      </c>
      <c r="AO277" t="n">
        <v>1</v>
      </c>
      <c r="AP277" t="n">
        <v>0</v>
      </c>
      <c r="AQ277" t="n">
        <v>0</v>
      </c>
      <c r="AR277" t="inlineStr">
        <is>
          <t>No</t>
        </is>
      </c>
      <c r="AS277" t="inlineStr">
        <is>
          <t>Yes</t>
        </is>
      </c>
      <c r="AT277">
        <f>HYPERLINK("http://catalog.hathitrust.org/Record/000135552","HathiTrust Record")</f>
        <v/>
      </c>
      <c r="AU277">
        <f>HYPERLINK("https://creighton-primo.hosted.exlibrisgroup.com/primo-explore/search?tab=default_tab&amp;search_scope=EVERYTHING&amp;vid=01CRU&amp;lang=en_US&amp;offset=0&amp;query=any,contains,991000957969702656","Catalog Record")</f>
        <v/>
      </c>
      <c r="AV277">
        <f>HYPERLINK("http://www.worldcat.org/oclc/3844717","WorldCat Record")</f>
        <v/>
      </c>
      <c r="AW277" t="inlineStr">
        <is>
          <t>4924778907:eng</t>
        </is>
      </c>
      <c r="AX277" t="inlineStr">
        <is>
          <t>3844717</t>
        </is>
      </c>
      <c r="AY277" t="inlineStr">
        <is>
          <t>991000957969702656</t>
        </is>
      </c>
      <c r="AZ277" t="inlineStr">
        <is>
          <t>991000957969702656</t>
        </is>
      </c>
      <c r="BA277" t="inlineStr">
        <is>
          <t>2264806210002656</t>
        </is>
      </c>
      <c r="BB277" t="inlineStr">
        <is>
          <t>BOOK</t>
        </is>
      </c>
      <c r="BD277" t="inlineStr">
        <is>
          <t>9780121756604</t>
        </is>
      </c>
      <c r="BE277" t="inlineStr">
        <is>
          <t>30001000195349</t>
        </is>
      </c>
      <c r="BF277" t="inlineStr">
        <is>
          <t>893278524</t>
        </is>
      </c>
    </row>
    <row r="278">
      <c r="B278" t="inlineStr">
        <is>
          <t>CUHSL</t>
        </is>
      </c>
      <c r="C278" t="inlineStr">
        <is>
          <t>SHELVES</t>
        </is>
      </c>
      <c r="D278" t="inlineStr">
        <is>
          <t>QV 77 P972105 1996</t>
        </is>
      </c>
      <c r="E278" t="inlineStr">
        <is>
          <t>0                      QV 0077000P  972105      1996</t>
        </is>
      </c>
      <c r="F278" t="inlineStr">
        <is>
          <t>Psychopharmacology and women : sex, gender, and hormones / edited by Margaret F. Jensvold, Uriel Halbreich, Jean A. Hamilton.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N278" t="inlineStr">
        <is>
          <t>Washington, DC : American Psychiatric Press, c1996.</t>
        </is>
      </c>
      <c r="O278" t="inlineStr">
        <is>
          <t>1996</t>
        </is>
      </c>
      <c r="Q278" t="inlineStr">
        <is>
          <t>eng</t>
        </is>
      </c>
      <c r="R278" t="inlineStr">
        <is>
          <t>dcu</t>
        </is>
      </c>
      <c r="T278" t="inlineStr">
        <is>
          <t xml:space="preserve">QV </t>
        </is>
      </c>
      <c r="U278" t="n">
        <v>1</v>
      </c>
      <c r="V278" t="n">
        <v>1</v>
      </c>
      <c r="W278" t="inlineStr">
        <is>
          <t>1997-03-06</t>
        </is>
      </c>
      <c r="X278" t="inlineStr">
        <is>
          <t>1997-03-06</t>
        </is>
      </c>
      <c r="Y278" t="inlineStr">
        <is>
          <t>1997-02-18</t>
        </is>
      </c>
      <c r="Z278" t="inlineStr">
        <is>
          <t>1997-02-18</t>
        </is>
      </c>
      <c r="AA278" t="n">
        <v>222</v>
      </c>
      <c r="AB278" t="n">
        <v>196</v>
      </c>
      <c r="AC278" t="n">
        <v>203</v>
      </c>
      <c r="AD278" t="n">
        <v>1</v>
      </c>
      <c r="AE278" t="n">
        <v>1</v>
      </c>
      <c r="AF278" t="n">
        <v>5</v>
      </c>
      <c r="AG278" t="n">
        <v>5</v>
      </c>
      <c r="AH278" t="n">
        <v>2</v>
      </c>
      <c r="AI278" t="n">
        <v>2</v>
      </c>
      <c r="AJ278" t="n">
        <v>1</v>
      </c>
      <c r="AK278" t="n">
        <v>1</v>
      </c>
      <c r="AL278" t="n">
        <v>4</v>
      </c>
      <c r="AM278" t="n">
        <v>4</v>
      </c>
      <c r="AN278" t="n">
        <v>0</v>
      </c>
      <c r="AO278" t="n">
        <v>0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HYPERLINK("http://catalog.hathitrust.org/Record/003062356","HathiTrust Record")</f>
        <v/>
      </c>
      <c r="AU278">
        <f>HYPERLINK("https://creighton-primo.hosted.exlibrisgroup.com/primo-explore/search?tab=default_tab&amp;search_scope=EVERYTHING&amp;vid=01CRU&amp;lang=en_US&amp;offset=0&amp;query=any,contains,991001552669702656","Catalog Record")</f>
        <v/>
      </c>
      <c r="AV278">
        <f>HYPERLINK("http://www.worldcat.org/oclc/33440562","WorldCat Record")</f>
        <v/>
      </c>
      <c r="AW278" t="inlineStr">
        <is>
          <t>364588683:eng</t>
        </is>
      </c>
      <c r="AX278" t="inlineStr">
        <is>
          <t>33440562</t>
        </is>
      </c>
      <c r="AY278" t="inlineStr">
        <is>
          <t>991001552669702656</t>
        </is>
      </c>
      <c r="AZ278" t="inlineStr">
        <is>
          <t>991001552669702656</t>
        </is>
      </c>
      <c r="BA278" t="inlineStr">
        <is>
          <t>2265940900002656</t>
        </is>
      </c>
      <c r="BB278" t="inlineStr">
        <is>
          <t>BOOK</t>
        </is>
      </c>
      <c r="BD278" t="inlineStr">
        <is>
          <t>9780880485456</t>
        </is>
      </c>
      <c r="BE278" t="inlineStr">
        <is>
          <t>30001003474709</t>
        </is>
      </c>
      <c r="BF278" t="inlineStr">
        <is>
          <t>893284898</t>
        </is>
      </c>
    </row>
    <row r="279">
      <c r="B279" t="inlineStr">
        <is>
          <t>CUHSL</t>
        </is>
      </c>
      <c r="C279" t="inlineStr">
        <is>
          <t>SHELVES</t>
        </is>
      </c>
      <c r="D279" t="inlineStr">
        <is>
          <t>QV 77 P9733 1987</t>
        </is>
      </c>
      <c r="E279" t="inlineStr">
        <is>
          <t>0                      QV 0077000P  9733        1987</t>
        </is>
      </c>
      <c r="F279" t="inlineStr">
        <is>
          <t>Psychopharmacology : the third generation of progress / editor, Herbert Y. Meltzer ; associate editors, Basic neurobiology, Joseph T. Coyle, Irwin J. Kopin, Biological psychiatry, William E. Bunney, Jr., Kenneth L. Davis, Clinical psychopharmacology, Charles R. Schuster, Richard I. Shader, George M. Simpson.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N279" t="inlineStr">
        <is>
          <t>New York : Raven Press, c1987.</t>
        </is>
      </c>
      <c r="O279" t="inlineStr">
        <is>
          <t>1987</t>
        </is>
      </c>
      <c r="Q279" t="inlineStr">
        <is>
          <t>eng</t>
        </is>
      </c>
      <c r="R279" t="inlineStr">
        <is>
          <t>xxu</t>
        </is>
      </c>
      <c r="T279" t="inlineStr">
        <is>
          <t xml:space="preserve">QV </t>
        </is>
      </c>
      <c r="U279" t="n">
        <v>23</v>
      </c>
      <c r="V279" t="n">
        <v>23</v>
      </c>
      <c r="W279" t="inlineStr">
        <is>
          <t>1991-04-04</t>
        </is>
      </c>
      <c r="X279" t="inlineStr">
        <is>
          <t>1991-04-04</t>
        </is>
      </c>
      <c r="Y279" t="inlineStr">
        <is>
          <t>1988-02-12</t>
        </is>
      </c>
      <c r="Z279" t="inlineStr">
        <is>
          <t>1988-02-12</t>
        </is>
      </c>
      <c r="AA279" t="n">
        <v>329</v>
      </c>
      <c r="AB279" t="n">
        <v>237</v>
      </c>
      <c r="AC279" t="n">
        <v>244</v>
      </c>
      <c r="AD279" t="n">
        <v>2</v>
      </c>
      <c r="AE279" t="n">
        <v>2</v>
      </c>
      <c r="AF279" t="n">
        <v>13</v>
      </c>
      <c r="AG279" t="n">
        <v>14</v>
      </c>
      <c r="AH279" t="n">
        <v>4</v>
      </c>
      <c r="AI279" t="n">
        <v>5</v>
      </c>
      <c r="AJ279" t="n">
        <v>5</v>
      </c>
      <c r="AK279" t="n">
        <v>5</v>
      </c>
      <c r="AL279" t="n">
        <v>6</v>
      </c>
      <c r="AM279" t="n">
        <v>7</v>
      </c>
      <c r="AN279" t="n">
        <v>1</v>
      </c>
      <c r="AO279" t="n">
        <v>1</v>
      </c>
      <c r="AP279" t="n">
        <v>0</v>
      </c>
      <c r="AQ279" t="n">
        <v>0</v>
      </c>
      <c r="AR279" t="inlineStr">
        <is>
          <t>No</t>
        </is>
      </c>
      <c r="AS279" t="inlineStr">
        <is>
          <t>No</t>
        </is>
      </c>
      <c r="AU279">
        <f>HYPERLINK("https://creighton-primo.hosted.exlibrisgroup.com/primo-explore/search?tab=default_tab&amp;search_scope=EVERYTHING&amp;vid=01CRU&amp;lang=en_US&amp;offset=0&amp;query=any,contains,991001537899702656","Catalog Record")</f>
        <v/>
      </c>
      <c r="AV279">
        <f>HYPERLINK("http://www.worldcat.org/oclc/15630691","WorldCat Record")</f>
        <v/>
      </c>
      <c r="AW279" t="inlineStr">
        <is>
          <t>3863714680:eng</t>
        </is>
      </c>
      <c r="AX279" t="inlineStr">
        <is>
          <t>15630691</t>
        </is>
      </c>
      <c r="AY279" t="inlineStr">
        <is>
          <t>991001537899702656</t>
        </is>
      </c>
      <c r="AZ279" t="inlineStr">
        <is>
          <t>991001537899702656</t>
        </is>
      </c>
      <c r="BA279" t="inlineStr">
        <is>
          <t>2256539780002656</t>
        </is>
      </c>
      <c r="BB279" t="inlineStr">
        <is>
          <t>BOOK</t>
        </is>
      </c>
      <c r="BD279" t="inlineStr">
        <is>
          <t>9780881672732</t>
        </is>
      </c>
      <c r="BE279" t="inlineStr">
        <is>
          <t>30001000623787</t>
        </is>
      </c>
      <c r="BF279" t="inlineStr">
        <is>
          <t>893268592</t>
        </is>
      </c>
    </row>
    <row r="280">
      <c r="B280" t="inlineStr">
        <is>
          <t>CUHSL</t>
        </is>
      </c>
      <c r="C280" t="inlineStr">
        <is>
          <t>SHELVES</t>
        </is>
      </c>
      <c r="D280" t="inlineStr">
        <is>
          <t>QV 77 R264d 1990</t>
        </is>
      </c>
      <c r="E280" t="inlineStr">
        <is>
          <t>0                      QV 0077000R  264d        1990</t>
        </is>
      </c>
      <c r="F280" t="inlineStr">
        <is>
          <t>Drugs, society &amp; human behavior / Oakley Ray, Charles Ksir.</t>
        </is>
      </c>
      <c r="H280" t="inlineStr">
        <is>
          <t>No</t>
        </is>
      </c>
      <c r="I280" t="inlineStr">
        <is>
          <t>1</t>
        </is>
      </c>
      <c r="J280" t="inlineStr">
        <is>
          <t>No</t>
        </is>
      </c>
      <c r="K280" t="inlineStr">
        <is>
          <t>Yes</t>
        </is>
      </c>
      <c r="L280" t="inlineStr">
        <is>
          <t>0</t>
        </is>
      </c>
      <c r="M280" t="inlineStr">
        <is>
          <t>Ray, Oakley Stern.</t>
        </is>
      </c>
      <c r="N280" t="inlineStr">
        <is>
          <t>St. Louis : Times Mirror/Mosby College Pub., c1990.</t>
        </is>
      </c>
      <c r="O280" t="inlineStr">
        <is>
          <t>1990</t>
        </is>
      </c>
      <c r="P280" t="inlineStr">
        <is>
          <t>5th ed.</t>
        </is>
      </c>
      <c r="Q280" t="inlineStr">
        <is>
          <t>eng</t>
        </is>
      </c>
      <c r="R280" t="inlineStr">
        <is>
          <t>mou</t>
        </is>
      </c>
      <c r="T280" t="inlineStr">
        <is>
          <t xml:space="preserve">QV </t>
        </is>
      </c>
      <c r="U280" t="n">
        <v>15</v>
      </c>
      <c r="V280" t="n">
        <v>15</v>
      </c>
      <c r="W280" t="inlineStr">
        <is>
          <t>2005-08-10</t>
        </is>
      </c>
      <c r="X280" t="inlineStr">
        <is>
          <t>2005-08-10</t>
        </is>
      </c>
      <c r="Y280" t="inlineStr">
        <is>
          <t>1990-01-19</t>
        </is>
      </c>
      <c r="Z280" t="inlineStr">
        <is>
          <t>1990-01-19</t>
        </is>
      </c>
      <c r="AA280" t="n">
        <v>216</v>
      </c>
      <c r="AB280" t="n">
        <v>185</v>
      </c>
      <c r="AC280" t="n">
        <v>1409</v>
      </c>
      <c r="AD280" t="n">
        <v>1</v>
      </c>
      <c r="AE280" t="n">
        <v>12</v>
      </c>
      <c r="AF280" t="n">
        <v>5</v>
      </c>
      <c r="AG280" t="n">
        <v>49</v>
      </c>
      <c r="AH280" t="n">
        <v>2</v>
      </c>
      <c r="AI280" t="n">
        <v>22</v>
      </c>
      <c r="AJ280" t="n">
        <v>0</v>
      </c>
      <c r="AK280" t="n">
        <v>9</v>
      </c>
      <c r="AL280" t="n">
        <v>3</v>
      </c>
      <c r="AM280" t="n">
        <v>20</v>
      </c>
      <c r="AN280" t="n">
        <v>0</v>
      </c>
      <c r="AO280" t="n">
        <v>9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HYPERLINK("http://catalog.hathitrust.org/Record/001944436","HathiTrust Record")</f>
        <v/>
      </c>
      <c r="AU280">
        <f>HYPERLINK("https://creighton-primo.hosted.exlibrisgroup.com/primo-explore/search?tab=default_tab&amp;search_scope=EVERYTHING&amp;vid=01CRU&amp;lang=en_US&amp;offset=0&amp;query=any,contains,991001356379702656","Catalog Record")</f>
        <v/>
      </c>
      <c r="AV280">
        <f>HYPERLINK("http://www.worldcat.org/oclc/20261584","WorldCat Record")</f>
        <v/>
      </c>
      <c r="AW280" t="inlineStr">
        <is>
          <t>654525:eng</t>
        </is>
      </c>
      <c r="AX280" t="inlineStr">
        <is>
          <t>20261584</t>
        </is>
      </c>
      <c r="AY280" t="inlineStr">
        <is>
          <t>991001356379702656</t>
        </is>
      </c>
      <c r="AZ280" t="inlineStr">
        <is>
          <t>991001356379702656</t>
        </is>
      </c>
      <c r="BA280" t="inlineStr">
        <is>
          <t>2261600290002656</t>
        </is>
      </c>
      <c r="BB280" t="inlineStr">
        <is>
          <t>BOOK</t>
        </is>
      </c>
      <c r="BD280" t="inlineStr">
        <is>
          <t>9780801650482</t>
        </is>
      </c>
      <c r="BE280" t="inlineStr">
        <is>
          <t>30001001796137</t>
        </is>
      </c>
      <c r="BF280" t="inlineStr">
        <is>
          <t>893168148</t>
        </is>
      </c>
    </row>
    <row r="281">
      <c r="B281" t="inlineStr">
        <is>
          <t>CUHSL</t>
        </is>
      </c>
      <c r="C281" t="inlineStr">
        <is>
          <t>SHELVES</t>
        </is>
      </c>
      <c r="D281" t="inlineStr">
        <is>
          <t>QV 77 S312m 1997</t>
        </is>
      </c>
      <c r="E281" t="inlineStr">
        <is>
          <t>0                      QV 0077000S  312m        1997</t>
        </is>
      </c>
      <c r="F281" t="inlineStr">
        <is>
          <t>Manual of clinical psychopharmacology / Alan F. Schatzberg, Jonathan O. Cole, Charles DeBattista.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Yes</t>
        </is>
      </c>
      <c r="L281" t="inlineStr">
        <is>
          <t>1</t>
        </is>
      </c>
      <c r="M281" t="inlineStr">
        <is>
          <t>Schatzberg, Alan F.</t>
        </is>
      </c>
      <c r="N281" t="inlineStr">
        <is>
          <t>Washington, DC : American Psychiatric Press, c1997.</t>
        </is>
      </c>
      <c r="O281" t="inlineStr">
        <is>
          <t>1997</t>
        </is>
      </c>
      <c r="P281" t="inlineStr">
        <is>
          <t>3rd ed.</t>
        </is>
      </c>
      <c r="Q281" t="inlineStr">
        <is>
          <t>eng</t>
        </is>
      </c>
      <c r="R281" t="inlineStr">
        <is>
          <t>dcu</t>
        </is>
      </c>
      <c r="T281" t="inlineStr">
        <is>
          <t xml:space="preserve">QV </t>
        </is>
      </c>
      <c r="U281" t="n">
        <v>6</v>
      </c>
      <c r="V281" t="n">
        <v>6</v>
      </c>
      <c r="W281" t="inlineStr">
        <is>
          <t>2004-04-19</t>
        </is>
      </c>
      <c r="X281" t="inlineStr">
        <is>
          <t>2004-04-19</t>
        </is>
      </c>
      <c r="Y281" t="inlineStr">
        <is>
          <t>1998-02-23</t>
        </is>
      </c>
      <c r="Z281" t="inlineStr">
        <is>
          <t>1998-02-23</t>
        </is>
      </c>
      <c r="AA281" t="n">
        <v>141</v>
      </c>
      <c r="AB281" t="n">
        <v>119</v>
      </c>
      <c r="AC281" t="n">
        <v>602</v>
      </c>
      <c r="AD281" t="n">
        <v>1</v>
      </c>
      <c r="AE281" t="n">
        <v>2</v>
      </c>
      <c r="AF281" t="n">
        <v>2</v>
      </c>
      <c r="AG281" t="n">
        <v>28</v>
      </c>
      <c r="AH281" t="n">
        <v>1</v>
      </c>
      <c r="AI281" t="n">
        <v>12</v>
      </c>
      <c r="AJ281" t="n">
        <v>0</v>
      </c>
      <c r="AK281" t="n">
        <v>5</v>
      </c>
      <c r="AL281" t="n">
        <v>1</v>
      </c>
      <c r="AM281" t="n">
        <v>16</v>
      </c>
      <c r="AN281" t="n">
        <v>0</v>
      </c>
      <c r="AO281" t="n">
        <v>1</v>
      </c>
      <c r="AP281" t="n">
        <v>0</v>
      </c>
      <c r="AQ281" t="n">
        <v>1</v>
      </c>
      <c r="AR281" t="inlineStr">
        <is>
          <t>No</t>
        </is>
      </c>
      <c r="AS281" t="inlineStr">
        <is>
          <t>No</t>
        </is>
      </c>
      <c r="AU281">
        <f>HYPERLINK("https://creighton-primo.hosted.exlibrisgroup.com/primo-explore/search?tab=default_tab&amp;search_scope=EVERYTHING&amp;vid=01CRU&amp;lang=en_US&amp;offset=0&amp;query=any,contains,991001263119702656","Catalog Record")</f>
        <v/>
      </c>
      <c r="AV281">
        <f>HYPERLINK("http://www.worldcat.org/oclc/34990004","WorldCat Record")</f>
        <v/>
      </c>
      <c r="AW281" t="inlineStr">
        <is>
          <t>939270:eng</t>
        </is>
      </c>
      <c r="AX281" t="inlineStr">
        <is>
          <t>34990004</t>
        </is>
      </c>
      <c r="AY281" t="inlineStr">
        <is>
          <t>991001263119702656</t>
        </is>
      </c>
      <c r="AZ281" t="inlineStr">
        <is>
          <t>991001263119702656</t>
        </is>
      </c>
      <c r="BA281" t="inlineStr">
        <is>
          <t>2268120750002656</t>
        </is>
      </c>
      <c r="BB281" t="inlineStr">
        <is>
          <t>BOOK</t>
        </is>
      </c>
      <c r="BD281" t="inlineStr">
        <is>
          <t>9780880489218</t>
        </is>
      </c>
      <c r="BE281" t="inlineStr">
        <is>
          <t>30001003691773</t>
        </is>
      </c>
      <c r="BF281" t="inlineStr">
        <is>
          <t>893358401</t>
        </is>
      </c>
    </row>
    <row r="282">
      <c r="B282" t="inlineStr">
        <is>
          <t>CUHSL</t>
        </is>
      </c>
      <c r="C282" t="inlineStr">
        <is>
          <t>SHELVES</t>
        </is>
      </c>
      <c r="D282" t="inlineStr">
        <is>
          <t>QV77 S312m 2003</t>
        </is>
      </c>
      <c r="E282" t="inlineStr">
        <is>
          <t>0                      QV 0077000S  312m        2003</t>
        </is>
      </c>
      <c r="F282" t="inlineStr">
        <is>
          <t>Manual of clinical psychopharmacology / Alan F. Schatzberg, Jonathan O. Cole, Charles DeBattista.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Yes</t>
        </is>
      </c>
      <c r="L282" t="inlineStr">
        <is>
          <t>1</t>
        </is>
      </c>
      <c r="M282" t="inlineStr">
        <is>
          <t>Schatzberg, Alan F.</t>
        </is>
      </c>
      <c r="N282" t="inlineStr">
        <is>
          <t>Washington, D.C. : American Psychiatric Pub., c2003.</t>
        </is>
      </c>
      <c r="O282" t="inlineStr">
        <is>
          <t>2003</t>
        </is>
      </c>
      <c r="P282" t="inlineStr">
        <is>
          <t>4th ed.</t>
        </is>
      </c>
      <c r="Q282" t="inlineStr">
        <is>
          <t>eng</t>
        </is>
      </c>
      <c r="R282" t="inlineStr">
        <is>
          <t>dcu</t>
        </is>
      </c>
      <c r="T282" t="inlineStr">
        <is>
          <t xml:space="preserve">QV </t>
        </is>
      </c>
      <c r="U282" t="n">
        <v>2</v>
      </c>
      <c r="V282" t="n">
        <v>2</v>
      </c>
      <c r="W282" t="inlineStr">
        <is>
          <t>2004-07-25</t>
        </is>
      </c>
      <c r="X282" t="inlineStr">
        <is>
          <t>2004-07-25</t>
        </is>
      </c>
      <c r="Y282" t="inlineStr">
        <is>
          <t>2004-04-01</t>
        </is>
      </c>
      <c r="Z282" t="inlineStr">
        <is>
          <t>2004-04-01</t>
        </is>
      </c>
      <c r="AA282" t="n">
        <v>195</v>
      </c>
      <c r="AB282" t="n">
        <v>163</v>
      </c>
      <c r="AC282" t="n">
        <v>602</v>
      </c>
      <c r="AD282" t="n">
        <v>1</v>
      </c>
      <c r="AE282" t="n">
        <v>2</v>
      </c>
      <c r="AF282" t="n">
        <v>8</v>
      </c>
      <c r="AG282" t="n">
        <v>28</v>
      </c>
      <c r="AH282" t="n">
        <v>4</v>
      </c>
      <c r="AI282" t="n">
        <v>12</v>
      </c>
      <c r="AJ282" t="n">
        <v>0</v>
      </c>
      <c r="AK282" t="n">
        <v>5</v>
      </c>
      <c r="AL282" t="n">
        <v>6</v>
      </c>
      <c r="AM282" t="n">
        <v>16</v>
      </c>
      <c r="AN282" t="n">
        <v>0</v>
      </c>
      <c r="AO282" t="n">
        <v>1</v>
      </c>
      <c r="AP282" t="n">
        <v>0</v>
      </c>
      <c r="AQ282" t="n">
        <v>1</v>
      </c>
      <c r="AR282" t="inlineStr">
        <is>
          <t>No</t>
        </is>
      </c>
      <c r="AS282" t="inlineStr">
        <is>
          <t>Yes</t>
        </is>
      </c>
      <c r="AT282">
        <f>HYPERLINK("http://catalog.hathitrust.org/Record/004295665","HathiTrust Record")</f>
        <v/>
      </c>
      <c r="AU282">
        <f>HYPERLINK("https://creighton-primo.hosted.exlibrisgroup.com/primo-explore/search?tab=default_tab&amp;search_scope=EVERYTHING&amp;vid=01CRU&amp;lang=en_US&amp;offset=0&amp;query=any,contains,991000369099702656","Catalog Record")</f>
        <v/>
      </c>
      <c r="AV282">
        <f>HYPERLINK("http://www.worldcat.org/oclc/49512675","WorldCat Record")</f>
        <v/>
      </c>
      <c r="AW282" t="inlineStr">
        <is>
          <t>939270:eng</t>
        </is>
      </c>
      <c r="AX282" t="inlineStr">
        <is>
          <t>49512675</t>
        </is>
      </c>
      <c r="AY282" t="inlineStr">
        <is>
          <t>991000369099702656</t>
        </is>
      </c>
      <c r="AZ282" t="inlineStr">
        <is>
          <t>991000369099702656</t>
        </is>
      </c>
      <c r="BA282" t="inlineStr">
        <is>
          <t>2269748950002656</t>
        </is>
      </c>
      <c r="BB282" t="inlineStr">
        <is>
          <t>BOOK</t>
        </is>
      </c>
      <c r="BD282" t="inlineStr">
        <is>
          <t>9780880488655</t>
        </is>
      </c>
      <c r="BE282" t="inlineStr">
        <is>
          <t>30001004920379</t>
        </is>
      </c>
      <c r="BF282" t="inlineStr">
        <is>
          <t>893279957</t>
        </is>
      </c>
    </row>
    <row r="283">
      <c r="B283" t="inlineStr">
        <is>
          <t>CUHSL</t>
        </is>
      </c>
      <c r="C283" t="inlineStr">
        <is>
          <t>SHELVES</t>
        </is>
      </c>
      <c r="D283" t="inlineStr">
        <is>
          <t>QV77 S312m 2005</t>
        </is>
      </c>
      <c r="E283" t="inlineStr">
        <is>
          <t>0                      QV 0077000S  312m        2005</t>
        </is>
      </c>
      <c r="F283" t="inlineStr">
        <is>
          <t>Manual of clinical psychopharmacology / Alan F. Schatzberg, Jonathan O. Cole, Charles DeBattista.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Yes</t>
        </is>
      </c>
      <c r="L283" t="inlineStr">
        <is>
          <t>1</t>
        </is>
      </c>
      <c r="M283" t="inlineStr">
        <is>
          <t>Schatzberg, Alan F.</t>
        </is>
      </c>
      <c r="N283" t="inlineStr">
        <is>
          <t>Washington, DC : American Psychiatric Pub., c2005.</t>
        </is>
      </c>
      <c r="O283" t="inlineStr">
        <is>
          <t>2005</t>
        </is>
      </c>
      <c r="P283" t="inlineStr">
        <is>
          <t>5th ed.</t>
        </is>
      </c>
      <c r="Q283" t="inlineStr">
        <is>
          <t>eng</t>
        </is>
      </c>
      <c r="R283" t="inlineStr">
        <is>
          <t>dcu</t>
        </is>
      </c>
      <c r="T283" t="inlineStr">
        <is>
          <t xml:space="preserve">QV </t>
        </is>
      </c>
      <c r="U283" t="n">
        <v>0</v>
      </c>
      <c r="V283" t="n">
        <v>0</v>
      </c>
      <c r="W283" t="inlineStr">
        <is>
          <t>2007-04-04</t>
        </is>
      </c>
      <c r="X283" t="inlineStr">
        <is>
          <t>2007-04-04</t>
        </is>
      </c>
      <c r="Y283" t="inlineStr">
        <is>
          <t>2006-02-09</t>
        </is>
      </c>
      <c r="Z283" t="inlineStr">
        <is>
          <t>2006-02-09</t>
        </is>
      </c>
      <c r="AA283" t="n">
        <v>135</v>
      </c>
      <c r="AB283" t="n">
        <v>108</v>
      </c>
      <c r="AC283" t="n">
        <v>602</v>
      </c>
      <c r="AD283" t="n">
        <v>1</v>
      </c>
      <c r="AE283" t="n">
        <v>2</v>
      </c>
      <c r="AF283" t="n">
        <v>4</v>
      </c>
      <c r="AG283" t="n">
        <v>28</v>
      </c>
      <c r="AH283" t="n">
        <v>2</v>
      </c>
      <c r="AI283" t="n">
        <v>12</v>
      </c>
      <c r="AJ283" t="n">
        <v>1</v>
      </c>
      <c r="AK283" t="n">
        <v>5</v>
      </c>
      <c r="AL283" t="n">
        <v>2</v>
      </c>
      <c r="AM283" t="n">
        <v>16</v>
      </c>
      <c r="AN283" t="n">
        <v>0</v>
      </c>
      <c r="AO283" t="n">
        <v>1</v>
      </c>
      <c r="AP283" t="n">
        <v>0</v>
      </c>
      <c r="AQ283" t="n">
        <v>1</v>
      </c>
      <c r="AR283" t="inlineStr">
        <is>
          <t>No</t>
        </is>
      </c>
      <c r="AS283" t="inlineStr">
        <is>
          <t>Yes</t>
        </is>
      </c>
      <c r="AT283">
        <f>HYPERLINK("http://catalog.hathitrust.org/Record/005029798","HathiTrust Record")</f>
        <v/>
      </c>
      <c r="AU283">
        <f>HYPERLINK("https://creighton-primo.hosted.exlibrisgroup.com/primo-explore/search?tab=default_tab&amp;search_scope=EVERYTHING&amp;vid=01CRU&amp;lang=en_US&amp;offset=0&amp;query=any,contains,991000463229702656","Catalog Record")</f>
        <v/>
      </c>
      <c r="AV283">
        <f>HYPERLINK("http://www.worldcat.org/oclc/57514997","WorldCat Record")</f>
        <v/>
      </c>
      <c r="AW283" t="inlineStr">
        <is>
          <t>939270:eng</t>
        </is>
      </c>
      <c r="AX283" t="inlineStr">
        <is>
          <t>57514997</t>
        </is>
      </c>
      <c r="AY283" t="inlineStr">
        <is>
          <t>991000463229702656</t>
        </is>
      </c>
      <c r="AZ283" t="inlineStr">
        <is>
          <t>991000463229702656</t>
        </is>
      </c>
      <c r="BA283" t="inlineStr">
        <is>
          <t>2254904920002656</t>
        </is>
      </c>
      <c r="BB283" t="inlineStr">
        <is>
          <t>BOOK</t>
        </is>
      </c>
      <c r="BD283" t="inlineStr">
        <is>
          <t>9781585622092</t>
        </is>
      </c>
      <c r="BE283" t="inlineStr">
        <is>
          <t>30001004913085</t>
        </is>
      </c>
      <c r="BF283" t="inlineStr">
        <is>
          <t>893365493</t>
        </is>
      </c>
    </row>
    <row r="284">
      <c r="B284" t="inlineStr">
        <is>
          <t>CUHSL</t>
        </is>
      </c>
      <c r="C284" t="inlineStr">
        <is>
          <t>SHELVES</t>
        </is>
      </c>
      <c r="D284" t="inlineStr">
        <is>
          <t>QV 77 S979d 1983</t>
        </is>
      </c>
      <c r="E284" t="inlineStr">
        <is>
          <t>0                      QV 0077000S  979d        1983</t>
        </is>
      </c>
      <c r="F284" t="inlineStr">
        <is>
          <t>Drugs and therapy : a handbook of psychotropic drugs / Alvin K. Swonger, Larry L. Constantine.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M284" t="inlineStr">
        <is>
          <t>Swonger, Alvin K.</t>
        </is>
      </c>
      <c r="N284" t="inlineStr">
        <is>
          <t>Boston : Little, Brown, c1983.</t>
        </is>
      </c>
      <c r="O284" t="inlineStr">
        <is>
          <t>1983</t>
        </is>
      </c>
      <c r="P284" t="inlineStr">
        <is>
          <t>2nd ed.</t>
        </is>
      </c>
      <c r="Q284" t="inlineStr">
        <is>
          <t>eng</t>
        </is>
      </c>
      <c r="R284" t="inlineStr">
        <is>
          <t>mau</t>
        </is>
      </c>
      <c r="T284" t="inlineStr">
        <is>
          <t xml:space="preserve">QV </t>
        </is>
      </c>
      <c r="U284" t="n">
        <v>15</v>
      </c>
      <c r="V284" t="n">
        <v>15</v>
      </c>
      <c r="W284" t="inlineStr">
        <is>
          <t>1998-10-26</t>
        </is>
      </c>
      <c r="X284" t="inlineStr">
        <is>
          <t>1998-10-26</t>
        </is>
      </c>
      <c r="Y284" t="inlineStr">
        <is>
          <t>1987-08-20</t>
        </is>
      </c>
      <c r="Z284" t="inlineStr">
        <is>
          <t>1987-08-20</t>
        </is>
      </c>
      <c r="AA284" t="n">
        <v>151</v>
      </c>
      <c r="AB284" t="n">
        <v>124</v>
      </c>
      <c r="AC284" t="n">
        <v>205</v>
      </c>
      <c r="AD284" t="n">
        <v>1</v>
      </c>
      <c r="AE284" t="n">
        <v>2</v>
      </c>
      <c r="AF284" t="n">
        <v>9</v>
      </c>
      <c r="AG284" t="n">
        <v>12</v>
      </c>
      <c r="AH284" t="n">
        <v>4</v>
      </c>
      <c r="AI284" t="n">
        <v>5</v>
      </c>
      <c r="AJ284" t="n">
        <v>2</v>
      </c>
      <c r="AK284" t="n">
        <v>2</v>
      </c>
      <c r="AL284" t="n">
        <v>6</v>
      </c>
      <c r="AM284" t="n">
        <v>7</v>
      </c>
      <c r="AN284" t="n">
        <v>0</v>
      </c>
      <c r="AO284" t="n">
        <v>1</v>
      </c>
      <c r="AP284" t="n">
        <v>0</v>
      </c>
      <c r="AQ284" t="n">
        <v>0</v>
      </c>
      <c r="AR284" t="inlineStr">
        <is>
          <t>No</t>
        </is>
      </c>
      <c r="AS284" t="inlineStr">
        <is>
          <t>Yes</t>
        </is>
      </c>
      <c r="AT284">
        <f>HYPERLINK("http://catalog.hathitrust.org/Record/008513909","HathiTrust Record")</f>
        <v/>
      </c>
      <c r="AU284">
        <f>HYPERLINK("https://creighton-primo.hosted.exlibrisgroup.com/primo-explore/search?tab=default_tab&amp;search_scope=EVERYTHING&amp;vid=01CRU&amp;lang=en_US&amp;offset=0&amp;query=any,contains,991000747989702656","Catalog Record")</f>
        <v/>
      </c>
      <c r="AV284">
        <f>HYPERLINK("http://www.worldcat.org/oclc/9875221","WorldCat Record")</f>
        <v/>
      </c>
      <c r="AW284" t="inlineStr">
        <is>
          <t>43062089:eng</t>
        </is>
      </c>
      <c r="AX284" t="inlineStr">
        <is>
          <t>9875221</t>
        </is>
      </c>
      <c r="AY284" t="inlineStr">
        <is>
          <t>991000747989702656</t>
        </is>
      </c>
      <c r="AZ284" t="inlineStr">
        <is>
          <t>991000747989702656</t>
        </is>
      </c>
      <c r="BA284" t="inlineStr">
        <is>
          <t>2271574330002656</t>
        </is>
      </c>
      <c r="BB284" t="inlineStr">
        <is>
          <t>BOOK</t>
        </is>
      </c>
      <c r="BD284" t="inlineStr">
        <is>
          <t>9780316825511</t>
        </is>
      </c>
      <c r="BE284" t="inlineStr">
        <is>
          <t>30001000046476</t>
        </is>
      </c>
      <c r="BF284" t="inlineStr">
        <is>
          <t>893740094</t>
        </is>
      </c>
    </row>
    <row r="285">
      <c r="B285" t="inlineStr">
        <is>
          <t>CUHSL</t>
        </is>
      </c>
      <c r="C285" t="inlineStr">
        <is>
          <t>SHELVES</t>
        </is>
      </c>
      <c r="D285" t="inlineStr">
        <is>
          <t>QV 77 S987c 1973</t>
        </is>
      </c>
      <c r="E285" t="inlineStr">
        <is>
          <t>0                      QV 0077000S  987c        1973</t>
        </is>
      </c>
      <c r="F285" t="inlineStr">
        <is>
          <t>Clinical pharmacology of psychoactive drugs / edited by E.M. Sellers ; general editor, S.L. Lambert.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N285" t="inlineStr">
        <is>
          <t>Toronto : Alcoholism and Drug Addiction Research Foundation : [distributed by Marketing Services, Addiction Research Foundation], 1975.</t>
        </is>
      </c>
      <c r="O285" t="inlineStr">
        <is>
          <t>1975</t>
        </is>
      </c>
      <c r="Q285" t="inlineStr">
        <is>
          <t>eng</t>
        </is>
      </c>
      <c r="R285" t="inlineStr">
        <is>
          <t>onc</t>
        </is>
      </c>
      <c r="T285" t="inlineStr">
        <is>
          <t xml:space="preserve">QV </t>
        </is>
      </c>
      <c r="U285" t="n">
        <v>3</v>
      </c>
      <c r="V285" t="n">
        <v>3</v>
      </c>
      <c r="W285" t="inlineStr">
        <is>
          <t>1989-11-22</t>
        </is>
      </c>
      <c r="X285" t="inlineStr">
        <is>
          <t>1989-11-22</t>
        </is>
      </c>
      <c r="Y285" t="inlineStr">
        <is>
          <t>1988-03-02</t>
        </is>
      </c>
      <c r="Z285" t="inlineStr">
        <is>
          <t>1988-03-02</t>
        </is>
      </c>
      <c r="AA285" t="n">
        <v>101</v>
      </c>
      <c r="AB285" t="n">
        <v>73</v>
      </c>
      <c r="AC285" t="n">
        <v>83</v>
      </c>
      <c r="AD285" t="n">
        <v>1</v>
      </c>
      <c r="AE285" t="n">
        <v>1</v>
      </c>
      <c r="AF285" t="n">
        <v>2</v>
      </c>
      <c r="AG285" t="n">
        <v>2</v>
      </c>
      <c r="AH285" t="n">
        <v>0</v>
      </c>
      <c r="AI285" t="n">
        <v>0</v>
      </c>
      <c r="AJ285" t="n">
        <v>1</v>
      </c>
      <c r="AK285" t="n">
        <v>1</v>
      </c>
      <c r="AL285" t="n">
        <v>1</v>
      </c>
      <c r="AM285" t="n">
        <v>1</v>
      </c>
      <c r="AN285" t="n">
        <v>0</v>
      </c>
      <c r="AO285" t="n">
        <v>0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HYPERLINK("http://catalog.hathitrust.org/Record/000725100","HathiTrust Record")</f>
        <v/>
      </c>
      <c r="AU285">
        <f>HYPERLINK("https://creighton-primo.hosted.exlibrisgroup.com/primo-explore/search?tab=default_tab&amp;search_scope=EVERYTHING&amp;vid=01CRU&amp;lang=en_US&amp;offset=0&amp;query=any,contains,991000958049702656","Catalog Record")</f>
        <v/>
      </c>
      <c r="AV285">
        <f>HYPERLINK("http://www.worldcat.org/oclc/2425565","WorldCat Record")</f>
        <v/>
      </c>
      <c r="AW285" t="inlineStr">
        <is>
          <t>5081464:eng</t>
        </is>
      </c>
      <c r="AX285" t="inlineStr">
        <is>
          <t>2425565</t>
        </is>
      </c>
      <c r="AY285" t="inlineStr">
        <is>
          <t>991000958049702656</t>
        </is>
      </c>
      <c r="AZ285" t="inlineStr">
        <is>
          <t>991000958049702656</t>
        </is>
      </c>
      <c r="BA285" t="inlineStr">
        <is>
          <t>2264416330002656</t>
        </is>
      </c>
      <c r="BB285" t="inlineStr">
        <is>
          <t>BOOK</t>
        </is>
      </c>
      <c r="BE285" t="inlineStr">
        <is>
          <t>30001000195406</t>
        </is>
      </c>
      <c r="BF285" t="inlineStr">
        <is>
          <t>893358041</t>
        </is>
      </c>
    </row>
    <row r="286">
      <c r="B286" t="inlineStr">
        <is>
          <t>CUHSL</t>
        </is>
      </c>
      <c r="C286" t="inlineStr">
        <is>
          <t>SHELVES</t>
        </is>
      </c>
      <c r="D286" t="inlineStr">
        <is>
          <t>QV 77 W585p 1977</t>
        </is>
      </c>
      <c r="E286" t="inlineStr">
        <is>
          <t>0                      QV 0077000W  585p        1977</t>
        </is>
      </c>
      <c r="F286" t="inlineStr">
        <is>
          <t>Pediatric psychopharmacology : a practical guide to clinical application / James H. White.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White, James Harrison, 1943-</t>
        </is>
      </c>
      <c r="N286" t="inlineStr">
        <is>
          <t>Baltimore : Williams &amp; Wilkins Co., c1977.</t>
        </is>
      </c>
      <c r="O286" t="inlineStr">
        <is>
          <t>1977</t>
        </is>
      </c>
      <c r="Q286" t="inlineStr">
        <is>
          <t>eng</t>
        </is>
      </c>
      <c r="R286" t="inlineStr">
        <is>
          <t>mdu</t>
        </is>
      </c>
      <c r="T286" t="inlineStr">
        <is>
          <t xml:space="preserve">QV </t>
        </is>
      </c>
      <c r="U286" t="n">
        <v>4</v>
      </c>
      <c r="V286" t="n">
        <v>4</v>
      </c>
      <c r="W286" t="inlineStr">
        <is>
          <t>2002-04-25</t>
        </is>
      </c>
      <c r="X286" t="inlineStr">
        <is>
          <t>2002-04-25</t>
        </is>
      </c>
      <c r="Y286" t="inlineStr">
        <is>
          <t>1988-02-08</t>
        </is>
      </c>
      <c r="Z286" t="inlineStr">
        <is>
          <t>1988-02-08</t>
        </is>
      </c>
      <c r="AA286" t="n">
        <v>135</v>
      </c>
      <c r="AB286" t="n">
        <v>103</v>
      </c>
      <c r="AC286" t="n">
        <v>103</v>
      </c>
      <c r="AD286" t="n">
        <v>2</v>
      </c>
      <c r="AE286" t="n">
        <v>2</v>
      </c>
      <c r="AF286" t="n">
        <v>4</v>
      </c>
      <c r="AG286" t="n">
        <v>4</v>
      </c>
      <c r="AH286" t="n">
        <v>1</v>
      </c>
      <c r="AI286" t="n">
        <v>1</v>
      </c>
      <c r="AJ286" t="n">
        <v>2</v>
      </c>
      <c r="AK286" t="n">
        <v>2</v>
      </c>
      <c r="AL286" t="n">
        <v>1</v>
      </c>
      <c r="AM286" t="n">
        <v>1</v>
      </c>
      <c r="AN286" t="n">
        <v>1</v>
      </c>
      <c r="AO286" t="n">
        <v>1</v>
      </c>
      <c r="AP286" t="n">
        <v>0</v>
      </c>
      <c r="AQ286" t="n">
        <v>0</v>
      </c>
      <c r="AR286" t="inlineStr">
        <is>
          <t>No</t>
        </is>
      </c>
      <c r="AS286" t="inlineStr">
        <is>
          <t>No</t>
        </is>
      </c>
      <c r="AU286">
        <f>HYPERLINK("https://creighton-primo.hosted.exlibrisgroup.com/primo-explore/search?tab=default_tab&amp;search_scope=EVERYTHING&amp;vid=01CRU&amp;lang=en_US&amp;offset=0&amp;query=any,contains,991000958089702656","Catalog Record")</f>
        <v/>
      </c>
      <c r="AV286">
        <f>HYPERLINK("http://www.worldcat.org/oclc/2542655","WorldCat Record")</f>
        <v/>
      </c>
      <c r="AW286" t="inlineStr">
        <is>
          <t>1104293215:eng</t>
        </is>
      </c>
      <c r="AX286" t="inlineStr">
        <is>
          <t>2542655</t>
        </is>
      </c>
      <c r="AY286" t="inlineStr">
        <is>
          <t>991000958089702656</t>
        </is>
      </c>
      <c r="AZ286" t="inlineStr">
        <is>
          <t>991000958089702656</t>
        </is>
      </c>
      <c r="BA286" t="inlineStr">
        <is>
          <t>2272112020002656</t>
        </is>
      </c>
      <c r="BB286" t="inlineStr">
        <is>
          <t>BOOK</t>
        </is>
      </c>
      <c r="BD286" t="inlineStr">
        <is>
          <t>9780683090062</t>
        </is>
      </c>
      <c r="BE286" t="inlineStr">
        <is>
          <t>30001000195448</t>
        </is>
      </c>
      <c r="BF286" t="inlineStr">
        <is>
          <t>893540863</t>
        </is>
      </c>
    </row>
    <row r="287">
      <c r="B287" t="inlineStr">
        <is>
          <t>CUHSL</t>
        </is>
      </c>
      <c r="C287" t="inlineStr">
        <is>
          <t>SHELVES</t>
        </is>
      </c>
      <c r="D287" t="inlineStr">
        <is>
          <t>QV 77.2 A512 1998</t>
        </is>
      </c>
      <c r="E287" t="inlineStr">
        <is>
          <t>0                      QV 0077200A  512         1998</t>
        </is>
      </c>
      <c r="F287" t="inlineStr">
        <is>
          <t>The American Psychiatric Press textbook of psychopharmacology / edited by Alan F. Schatzberg and Charles B. Nemeroff.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Yes</t>
        </is>
      </c>
      <c r="L287" t="inlineStr">
        <is>
          <t>0</t>
        </is>
      </c>
      <c r="N287" t="inlineStr">
        <is>
          <t>Washington, DC. : American Psychiatric Press, c1998.</t>
        </is>
      </c>
      <c r="O287" t="inlineStr">
        <is>
          <t>1998</t>
        </is>
      </c>
      <c r="P287" t="inlineStr">
        <is>
          <t>2nd ed.</t>
        </is>
      </c>
      <c r="Q287" t="inlineStr">
        <is>
          <t>eng</t>
        </is>
      </c>
      <c r="R287" t="inlineStr">
        <is>
          <t>dcu</t>
        </is>
      </c>
      <c r="T287" t="inlineStr">
        <is>
          <t xml:space="preserve">QV </t>
        </is>
      </c>
      <c r="U287" t="n">
        <v>10</v>
      </c>
      <c r="V287" t="n">
        <v>10</v>
      </c>
      <c r="W287" t="inlineStr">
        <is>
          <t>2006-03-15</t>
        </is>
      </c>
      <c r="X287" t="inlineStr">
        <is>
          <t>2006-03-15</t>
        </is>
      </c>
      <c r="Y287" t="inlineStr">
        <is>
          <t>2000-02-10</t>
        </is>
      </c>
      <c r="Z287" t="inlineStr">
        <is>
          <t>2000-02-10</t>
        </is>
      </c>
      <c r="AA287" t="n">
        <v>274</v>
      </c>
      <c r="AB287" t="n">
        <v>224</v>
      </c>
      <c r="AC287" t="n">
        <v>391</v>
      </c>
      <c r="AD287" t="n">
        <v>2</v>
      </c>
      <c r="AE287" t="n">
        <v>3</v>
      </c>
      <c r="AF287" t="n">
        <v>14</v>
      </c>
      <c r="AG287" t="n">
        <v>18</v>
      </c>
      <c r="AH287" t="n">
        <v>4</v>
      </c>
      <c r="AI287" t="n">
        <v>6</v>
      </c>
      <c r="AJ287" t="n">
        <v>3</v>
      </c>
      <c r="AK287" t="n">
        <v>4</v>
      </c>
      <c r="AL287" t="n">
        <v>9</v>
      </c>
      <c r="AM287" t="n">
        <v>12</v>
      </c>
      <c r="AN287" t="n">
        <v>1</v>
      </c>
      <c r="AO287" t="n">
        <v>1</v>
      </c>
      <c r="AP287" t="n">
        <v>1</v>
      </c>
      <c r="AQ287" t="n">
        <v>1</v>
      </c>
      <c r="AR287" t="inlineStr">
        <is>
          <t>No</t>
        </is>
      </c>
      <c r="AS287" t="inlineStr">
        <is>
          <t>No</t>
        </is>
      </c>
      <c r="AU287">
        <f>HYPERLINK("https://creighton-primo.hosted.exlibrisgroup.com/primo-explore/search?tab=default_tab&amp;search_scope=EVERYTHING&amp;vid=01CRU&amp;lang=en_US&amp;offset=0&amp;query=any,contains,991001412079702656","Catalog Record")</f>
        <v/>
      </c>
      <c r="AV287">
        <f>HYPERLINK("http://www.worldcat.org/oclc/38249490","WorldCat Record")</f>
        <v/>
      </c>
      <c r="AW287" t="inlineStr">
        <is>
          <t>3856829768:eng</t>
        </is>
      </c>
      <c r="AX287" t="inlineStr">
        <is>
          <t>38249490</t>
        </is>
      </c>
      <c r="AY287" t="inlineStr">
        <is>
          <t>991001412079702656</t>
        </is>
      </c>
      <c r="AZ287" t="inlineStr">
        <is>
          <t>991001412079702656</t>
        </is>
      </c>
      <c r="BA287" t="inlineStr">
        <is>
          <t>2272305780002656</t>
        </is>
      </c>
      <c r="BB287" t="inlineStr">
        <is>
          <t>BOOK</t>
        </is>
      </c>
      <c r="BD287" t="inlineStr">
        <is>
          <t>9780880488174</t>
        </is>
      </c>
      <c r="BE287" t="inlineStr">
        <is>
          <t>30001003832328</t>
        </is>
      </c>
      <c r="BF287" t="inlineStr">
        <is>
          <t>893121470</t>
        </is>
      </c>
    </row>
    <row r="288">
      <c r="B288" t="inlineStr">
        <is>
          <t>CUHSL</t>
        </is>
      </c>
      <c r="C288" t="inlineStr">
        <is>
          <t>SHELVES</t>
        </is>
      </c>
      <c r="D288" t="inlineStr">
        <is>
          <t>QV77.2 A512 2004</t>
        </is>
      </c>
      <c r="E288" t="inlineStr">
        <is>
          <t>0                      QV 0077200A  512         2004</t>
        </is>
      </c>
      <c r="F288" t="inlineStr">
        <is>
          <t>The American Psychiatric Publishing textbook of psychopharmacology / edited by Alan F. Schatzberg, Charles B. Nemeroff.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2</t>
        </is>
      </c>
      <c r="N288" t="inlineStr">
        <is>
          <t>Washington, DC : American Psychiatric Pub., c2004.</t>
        </is>
      </c>
      <c r="O288" t="inlineStr">
        <is>
          <t>2004</t>
        </is>
      </c>
      <c r="P288" t="inlineStr">
        <is>
          <t>3rd ed.</t>
        </is>
      </c>
      <c r="Q288" t="inlineStr">
        <is>
          <t>eng</t>
        </is>
      </c>
      <c r="R288" t="inlineStr">
        <is>
          <t>dcu</t>
        </is>
      </c>
      <c r="T288" t="inlineStr">
        <is>
          <t xml:space="preserve">QV </t>
        </is>
      </c>
      <c r="U288" t="n">
        <v>3</v>
      </c>
      <c r="V288" t="n">
        <v>3</v>
      </c>
      <c r="W288" t="inlineStr">
        <is>
          <t>2007-02-21</t>
        </is>
      </c>
      <c r="X288" t="inlineStr">
        <is>
          <t>2007-02-21</t>
        </is>
      </c>
      <c r="Y288" t="inlineStr">
        <is>
          <t>2005-11-21</t>
        </is>
      </c>
      <c r="Z288" t="inlineStr">
        <is>
          <t>2005-11-21</t>
        </is>
      </c>
      <c r="AA288" t="n">
        <v>291</v>
      </c>
      <c r="AB288" t="n">
        <v>239</v>
      </c>
      <c r="AC288" t="n">
        <v>440</v>
      </c>
      <c r="AD288" t="n">
        <v>1</v>
      </c>
      <c r="AE288" t="n">
        <v>2</v>
      </c>
      <c r="AF288" t="n">
        <v>12</v>
      </c>
      <c r="AG288" t="n">
        <v>19</v>
      </c>
      <c r="AH288" t="n">
        <v>7</v>
      </c>
      <c r="AI288" t="n">
        <v>8</v>
      </c>
      <c r="AJ288" t="n">
        <v>3</v>
      </c>
      <c r="AK288" t="n">
        <v>5</v>
      </c>
      <c r="AL288" t="n">
        <v>3</v>
      </c>
      <c r="AM288" t="n">
        <v>8</v>
      </c>
      <c r="AN288" t="n">
        <v>0</v>
      </c>
      <c r="AO288" t="n">
        <v>1</v>
      </c>
      <c r="AP288" t="n">
        <v>0</v>
      </c>
      <c r="AQ288" t="n">
        <v>0</v>
      </c>
      <c r="AR288" t="inlineStr">
        <is>
          <t>No</t>
        </is>
      </c>
      <c r="AS288" t="inlineStr">
        <is>
          <t>No</t>
        </is>
      </c>
      <c r="AU288">
        <f>HYPERLINK("https://creighton-primo.hosted.exlibrisgroup.com/primo-explore/search?tab=default_tab&amp;search_scope=EVERYTHING&amp;vid=01CRU&amp;lang=en_US&amp;offset=0&amp;query=any,contains,991000450179702656","Catalog Record")</f>
        <v/>
      </c>
      <c r="AV288">
        <f>HYPERLINK("http://www.worldcat.org/oclc/51096022","WorldCat Record")</f>
        <v/>
      </c>
      <c r="AW288" t="inlineStr">
        <is>
          <t>570502860:eng</t>
        </is>
      </c>
      <c r="AX288" t="inlineStr">
        <is>
          <t>51096022</t>
        </is>
      </c>
      <c r="AY288" t="inlineStr">
        <is>
          <t>991000450179702656</t>
        </is>
      </c>
      <c r="AZ288" t="inlineStr">
        <is>
          <t>991000450179702656</t>
        </is>
      </c>
      <c r="BA288" t="inlineStr">
        <is>
          <t>2269211140002656</t>
        </is>
      </c>
      <c r="BB288" t="inlineStr">
        <is>
          <t>BOOK</t>
        </is>
      </c>
      <c r="BD288" t="inlineStr">
        <is>
          <t>9781585620609</t>
        </is>
      </c>
      <c r="BE288" t="inlineStr">
        <is>
          <t>30001004910925</t>
        </is>
      </c>
      <c r="BF288" t="inlineStr">
        <is>
          <t>893737368</t>
        </is>
      </c>
    </row>
    <row r="289">
      <c r="B289" t="inlineStr">
        <is>
          <t>CUHSL</t>
        </is>
      </c>
      <c r="C289" t="inlineStr">
        <is>
          <t>SHELVES</t>
        </is>
      </c>
      <c r="D289" t="inlineStr">
        <is>
          <t>QV77.2 C641 2002</t>
        </is>
      </c>
      <c r="E289" t="inlineStr">
        <is>
          <t>0                      QV 0077200C  641         2002</t>
        </is>
      </c>
      <c r="F289" t="inlineStr">
        <is>
          <t>Clinical handbook of psychotropic drugs / Kalyna Z. Bezchlibnyk-Butler, principal editor ; J. Joel Jeffries, co-editor.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Yes</t>
        </is>
      </c>
      <c r="L289" t="inlineStr">
        <is>
          <t>0</t>
        </is>
      </c>
      <c r="N289" t="inlineStr">
        <is>
          <t>Seattle : Hogrefe &amp; Huber Publishers, c2002.</t>
        </is>
      </c>
      <c r="O289" t="inlineStr">
        <is>
          <t>2002</t>
        </is>
      </c>
      <c r="P289" t="inlineStr">
        <is>
          <t>12th rev. ed.</t>
        </is>
      </c>
      <c r="Q289" t="inlineStr">
        <is>
          <t>eng</t>
        </is>
      </c>
      <c r="R289" t="inlineStr">
        <is>
          <t>wau</t>
        </is>
      </c>
      <c r="T289" t="inlineStr">
        <is>
          <t xml:space="preserve">QV </t>
        </is>
      </c>
      <c r="U289" t="n">
        <v>3</v>
      </c>
      <c r="V289" t="n">
        <v>3</v>
      </c>
      <c r="W289" t="inlineStr">
        <is>
          <t>2006-03-15</t>
        </is>
      </c>
      <c r="X289" t="inlineStr">
        <is>
          <t>2006-03-15</t>
        </is>
      </c>
      <c r="Y289" t="inlineStr">
        <is>
          <t>2003-03-26</t>
        </is>
      </c>
      <c r="Z289" t="inlineStr">
        <is>
          <t>2003-03-26</t>
        </is>
      </c>
      <c r="AA289" t="n">
        <v>48</v>
      </c>
      <c r="AB289" t="n">
        <v>29</v>
      </c>
      <c r="AC289" t="n">
        <v>557</v>
      </c>
      <c r="AD289" t="n">
        <v>1</v>
      </c>
      <c r="AE289" t="n">
        <v>3</v>
      </c>
      <c r="AF289" t="n">
        <v>0</v>
      </c>
      <c r="AG289" t="n">
        <v>20</v>
      </c>
      <c r="AH289" t="n">
        <v>0</v>
      </c>
      <c r="AI289" t="n">
        <v>11</v>
      </c>
      <c r="AJ289" t="n">
        <v>0</v>
      </c>
      <c r="AK289" t="n">
        <v>2</v>
      </c>
      <c r="AL289" t="n">
        <v>0</v>
      </c>
      <c r="AM289" t="n">
        <v>10</v>
      </c>
      <c r="AN289" t="n">
        <v>0</v>
      </c>
      <c r="AO289" t="n">
        <v>2</v>
      </c>
      <c r="AP289" t="n">
        <v>0</v>
      </c>
      <c r="AQ289" t="n">
        <v>0</v>
      </c>
      <c r="AR289" t="inlineStr">
        <is>
          <t>No</t>
        </is>
      </c>
      <c r="AS289" t="inlineStr">
        <is>
          <t>Yes</t>
        </is>
      </c>
      <c r="AT289">
        <f>HYPERLINK("http://catalog.hathitrust.org/Record/004271576","HathiTrust Record")</f>
        <v/>
      </c>
      <c r="AU289">
        <f>HYPERLINK("https://creighton-primo.hosted.exlibrisgroup.com/primo-explore/search?tab=default_tab&amp;search_scope=EVERYTHING&amp;vid=01CRU&amp;lang=en_US&amp;offset=0&amp;query=any,contains,991000342779702656","Catalog Record")</f>
        <v/>
      </c>
      <c r="AV289">
        <f>HYPERLINK("http://www.worldcat.org/oclc/50439458","WorldCat Record")</f>
        <v/>
      </c>
      <c r="AW289" t="inlineStr">
        <is>
          <t>364596318:eng</t>
        </is>
      </c>
      <c r="AX289" t="inlineStr">
        <is>
          <t>50439458</t>
        </is>
      </c>
      <c r="AY289" t="inlineStr">
        <is>
          <t>991000342779702656</t>
        </is>
      </c>
      <c r="AZ289" t="inlineStr">
        <is>
          <t>991000342779702656</t>
        </is>
      </c>
      <c r="BA289" t="inlineStr">
        <is>
          <t>2269943380002656</t>
        </is>
      </c>
      <c r="BB289" t="inlineStr">
        <is>
          <t>BOOK</t>
        </is>
      </c>
      <c r="BD289" t="inlineStr">
        <is>
          <t>9780889372580</t>
        </is>
      </c>
      <c r="BE289" t="inlineStr">
        <is>
          <t>30001004502250</t>
        </is>
      </c>
      <c r="BF289" t="inlineStr">
        <is>
          <t>893279937</t>
        </is>
      </c>
    </row>
    <row r="290">
      <c r="B290" t="inlineStr">
        <is>
          <t>CUHSL</t>
        </is>
      </c>
      <c r="C290" t="inlineStr">
        <is>
          <t>SHELVES</t>
        </is>
      </c>
      <c r="D290" t="inlineStr">
        <is>
          <t>QV 77.2 I35u 1997</t>
        </is>
      </c>
      <c r="E290" t="inlineStr">
        <is>
          <t>0                      QV 0077200I  35u         1997</t>
        </is>
      </c>
      <c r="F290" t="inlineStr">
        <is>
          <t>Uppers, downers, all arounders : physical and mental effects of psychoactive drugs / Darryl S. Inaba, William E. Cohen, Michael E. Holstein.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Inaba, Darryl.</t>
        </is>
      </c>
      <c r="N290" t="inlineStr">
        <is>
          <t>Ashland, Or. : CNS Publications, c1997.</t>
        </is>
      </c>
      <c r="O290" t="inlineStr">
        <is>
          <t>1997</t>
        </is>
      </c>
      <c r="P290" t="inlineStr">
        <is>
          <t>3rd ed.</t>
        </is>
      </c>
      <c r="Q290" t="inlineStr">
        <is>
          <t>eng</t>
        </is>
      </c>
      <c r="R290" t="inlineStr">
        <is>
          <t>oru</t>
        </is>
      </c>
      <c r="T290" t="inlineStr">
        <is>
          <t xml:space="preserve">QV </t>
        </is>
      </c>
      <c r="U290" t="n">
        <v>5</v>
      </c>
      <c r="V290" t="n">
        <v>5</v>
      </c>
      <c r="W290" t="inlineStr">
        <is>
          <t>2004-08-26</t>
        </is>
      </c>
      <c r="X290" t="inlineStr">
        <is>
          <t>2004-08-26</t>
        </is>
      </c>
      <c r="Y290" t="inlineStr">
        <is>
          <t>1999-10-28</t>
        </is>
      </c>
      <c r="Z290" t="inlineStr">
        <is>
          <t>1999-10-28</t>
        </is>
      </c>
      <c r="AA290" t="n">
        <v>295</v>
      </c>
      <c r="AB290" t="n">
        <v>271</v>
      </c>
      <c r="AC290" t="n">
        <v>908</v>
      </c>
      <c r="AD290" t="n">
        <v>1</v>
      </c>
      <c r="AE290" t="n">
        <v>7</v>
      </c>
      <c r="AF290" t="n">
        <v>6</v>
      </c>
      <c r="AG290" t="n">
        <v>26</v>
      </c>
      <c r="AH290" t="n">
        <v>2</v>
      </c>
      <c r="AI290" t="n">
        <v>10</v>
      </c>
      <c r="AJ290" t="n">
        <v>1</v>
      </c>
      <c r="AK290" t="n">
        <v>5</v>
      </c>
      <c r="AL290" t="n">
        <v>4</v>
      </c>
      <c r="AM290" t="n">
        <v>12</v>
      </c>
      <c r="AN290" t="n">
        <v>0</v>
      </c>
      <c r="AO290" t="n">
        <v>5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HYPERLINK("http://catalog.hathitrust.org/Record/003950415","HathiTrust Record")</f>
        <v/>
      </c>
      <c r="AU290">
        <f>HYPERLINK("https://creighton-primo.hosted.exlibrisgroup.com/primo-explore/search?tab=default_tab&amp;search_scope=EVERYTHING&amp;vid=01CRU&amp;lang=en_US&amp;offset=0&amp;query=any,contains,991001571689702656","Catalog Record")</f>
        <v/>
      </c>
      <c r="AV290">
        <f>HYPERLINK("http://www.worldcat.org/oclc/36662705","WorldCat Record")</f>
        <v/>
      </c>
      <c r="AW290" t="inlineStr">
        <is>
          <t>791077:eng</t>
        </is>
      </c>
      <c r="AX290" t="inlineStr">
        <is>
          <t>36662705</t>
        </is>
      </c>
      <c r="AY290" t="inlineStr">
        <is>
          <t>991001571689702656</t>
        </is>
      </c>
      <c r="AZ290" t="inlineStr">
        <is>
          <t>991001571689702656</t>
        </is>
      </c>
      <c r="BA290" t="inlineStr">
        <is>
          <t>2258304140002656</t>
        </is>
      </c>
      <c r="BB290" t="inlineStr">
        <is>
          <t>BOOK</t>
        </is>
      </c>
      <c r="BD290" t="inlineStr">
        <is>
          <t>9780926544253</t>
        </is>
      </c>
      <c r="BE290" t="inlineStr">
        <is>
          <t>30001004080257</t>
        </is>
      </c>
      <c r="BF290" t="inlineStr">
        <is>
          <t>893364275</t>
        </is>
      </c>
    </row>
    <row r="291">
      <c r="B291" t="inlineStr">
        <is>
          <t>CUHSL</t>
        </is>
      </c>
      <c r="C291" t="inlineStr">
        <is>
          <t>SHELVES</t>
        </is>
      </c>
      <c r="D291" t="inlineStr">
        <is>
          <t>QV 77.2 J17c 2007</t>
        </is>
      </c>
      <c r="E291" t="inlineStr">
        <is>
          <t>0                      QV 0077200J  17c         2007</t>
        </is>
      </c>
      <c r="F291" t="inlineStr">
        <is>
          <t>Clinical manual of geriatric psychopharmacology / Sandra A. Jacobson, Ronald W. Pies, Ira R. Katz.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1</t>
        </is>
      </c>
      <c r="M291" t="inlineStr">
        <is>
          <t>Jacobson, Sandra A., 1953-</t>
        </is>
      </c>
      <c r="N291" t="inlineStr">
        <is>
          <t>Washington, DC : American Psychiatric Pub., c2007.</t>
        </is>
      </c>
      <c r="O291" t="inlineStr">
        <is>
          <t>2007</t>
        </is>
      </c>
      <c r="P291" t="inlineStr">
        <is>
          <t>1st ed.</t>
        </is>
      </c>
      <c r="Q291" t="inlineStr">
        <is>
          <t>eng</t>
        </is>
      </c>
      <c r="R291" t="inlineStr">
        <is>
          <t>dcu</t>
        </is>
      </c>
      <c r="T291" t="inlineStr">
        <is>
          <t xml:space="preserve">QV </t>
        </is>
      </c>
      <c r="U291" t="n">
        <v>1</v>
      </c>
      <c r="V291" t="n">
        <v>1</v>
      </c>
      <c r="W291" t="inlineStr">
        <is>
          <t>2009-03-31</t>
        </is>
      </c>
      <c r="X291" t="inlineStr">
        <is>
          <t>2009-03-31</t>
        </is>
      </c>
      <c r="Y291" t="inlineStr">
        <is>
          <t>2009-02-12</t>
        </is>
      </c>
      <c r="Z291" t="inlineStr">
        <is>
          <t>2009-02-12</t>
        </is>
      </c>
      <c r="AA291" t="n">
        <v>160</v>
      </c>
      <c r="AB291" t="n">
        <v>110</v>
      </c>
      <c r="AC291" t="n">
        <v>863</v>
      </c>
      <c r="AD291" t="n">
        <v>1</v>
      </c>
      <c r="AE291" t="n">
        <v>13</v>
      </c>
      <c r="AF291" t="n">
        <v>6</v>
      </c>
      <c r="AG291" t="n">
        <v>42</v>
      </c>
      <c r="AH291" t="n">
        <v>4</v>
      </c>
      <c r="AI291" t="n">
        <v>14</v>
      </c>
      <c r="AJ291" t="n">
        <v>0</v>
      </c>
      <c r="AK291" t="n">
        <v>10</v>
      </c>
      <c r="AL291" t="n">
        <v>4</v>
      </c>
      <c r="AM291" t="n">
        <v>13</v>
      </c>
      <c r="AN291" t="n">
        <v>0</v>
      </c>
      <c r="AO291" t="n">
        <v>11</v>
      </c>
      <c r="AP291" t="n">
        <v>0</v>
      </c>
      <c r="AQ291" t="n">
        <v>1</v>
      </c>
      <c r="AR291" t="inlineStr">
        <is>
          <t>No</t>
        </is>
      </c>
      <c r="AS291" t="inlineStr">
        <is>
          <t>No</t>
        </is>
      </c>
      <c r="AU291">
        <f>HYPERLINK("https://creighton-primo.hosted.exlibrisgroup.com/primo-explore/search?tab=default_tab&amp;search_scope=EVERYTHING&amp;vid=01CRU&amp;lang=en_US&amp;offset=0&amp;query=any,contains,991001362799702656","Catalog Record")</f>
        <v/>
      </c>
      <c r="AV291">
        <f>HYPERLINK("http://www.worldcat.org/oclc/70867055","WorldCat Record")</f>
        <v/>
      </c>
      <c r="AW291" t="inlineStr">
        <is>
          <t>149262787:eng</t>
        </is>
      </c>
      <c r="AX291" t="inlineStr">
        <is>
          <t>70867055</t>
        </is>
      </c>
      <c r="AY291" t="inlineStr">
        <is>
          <t>991001362799702656</t>
        </is>
      </c>
      <c r="AZ291" t="inlineStr">
        <is>
          <t>991001362799702656</t>
        </is>
      </c>
      <c r="BA291" t="inlineStr">
        <is>
          <t>2266652940002656</t>
        </is>
      </c>
      <c r="BB291" t="inlineStr">
        <is>
          <t>BOOK</t>
        </is>
      </c>
      <c r="BD291" t="inlineStr">
        <is>
          <t>9781585622528</t>
        </is>
      </c>
      <c r="BE291" t="inlineStr">
        <is>
          <t>30001005389962</t>
        </is>
      </c>
      <c r="BF291" t="inlineStr">
        <is>
          <t>893374476</t>
        </is>
      </c>
    </row>
    <row r="292">
      <c r="B292" t="inlineStr">
        <is>
          <t>CUHSL</t>
        </is>
      </c>
      <c r="C292" t="inlineStr">
        <is>
          <t>SHELVES</t>
        </is>
      </c>
      <c r="D292" t="inlineStr">
        <is>
          <t>QV 77.2 K29p 1997</t>
        </is>
      </c>
      <c r="E292" t="inlineStr">
        <is>
          <t>0                      QV 0077200K  29p         1997</t>
        </is>
      </c>
      <c r="F292" t="inlineStr">
        <is>
          <t>Psychotropic drugs / Norman L. Keltner, David G. Folks.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Yes</t>
        </is>
      </c>
      <c r="L292" t="inlineStr">
        <is>
          <t>0</t>
        </is>
      </c>
      <c r="M292" t="inlineStr">
        <is>
          <t>Keltner, Norman L.</t>
        </is>
      </c>
      <c r="N292" t="inlineStr">
        <is>
          <t>St. Louis : Mosby, c1997.</t>
        </is>
      </c>
      <c r="O292" t="inlineStr">
        <is>
          <t>1997</t>
        </is>
      </c>
      <c r="P292" t="inlineStr">
        <is>
          <t>2nd ed.</t>
        </is>
      </c>
      <c r="Q292" t="inlineStr">
        <is>
          <t>eng</t>
        </is>
      </c>
      <c r="R292" t="inlineStr">
        <is>
          <t>mou</t>
        </is>
      </c>
      <c r="T292" t="inlineStr">
        <is>
          <t xml:space="preserve">QV </t>
        </is>
      </c>
      <c r="U292" t="n">
        <v>12</v>
      </c>
      <c r="V292" t="n">
        <v>12</v>
      </c>
      <c r="W292" t="inlineStr">
        <is>
          <t>2005-08-10</t>
        </is>
      </c>
      <c r="X292" t="inlineStr">
        <is>
          <t>2005-08-10</t>
        </is>
      </c>
      <c r="Y292" t="inlineStr">
        <is>
          <t>1997-10-31</t>
        </is>
      </c>
      <c r="Z292" t="inlineStr">
        <is>
          <t>1997-10-31</t>
        </is>
      </c>
      <c r="AA292" t="n">
        <v>211</v>
      </c>
      <c r="AB292" t="n">
        <v>178</v>
      </c>
      <c r="AC292" t="n">
        <v>535</v>
      </c>
      <c r="AD292" t="n">
        <v>1</v>
      </c>
      <c r="AE292" t="n">
        <v>2</v>
      </c>
      <c r="AF292" t="n">
        <v>5</v>
      </c>
      <c r="AG292" t="n">
        <v>22</v>
      </c>
      <c r="AH292" t="n">
        <v>1</v>
      </c>
      <c r="AI292" t="n">
        <v>12</v>
      </c>
      <c r="AJ292" t="n">
        <v>2</v>
      </c>
      <c r="AK292" t="n">
        <v>4</v>
      </c>
      <c r="AL292" t="n">
        <v>3</v>
      </c>
      <c r="AM292" t="n">
        <v>12</v>
      </c>
      <c r="AN292" t="n">
        <v>0</v>
      </c>
      <c r="AO292" t="n">
        <v>0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HYPERLINK("http://catalog.hathitrust.org/Record/003110346","HathiTrust Record")</f>
        <v/>
      </c>
      <c r="AU292">
        <f>HYPERLINK("https://creighton-primo.hosted.exlibrisgroup.com/primo-explore/search?tab=default_tab&amp;search_scope=EVERYTHING&amp;vid=01CRU&amp;lang=en_US&amp;offset=0&amp;query=any,contains,991001558779702656","Catalog Record")</f>
        <v/>
      </c>
      <c r="AV292">
        <f>HYPERLINK("http://www.worldcat.org/oclc/34283728","WorldCat Record")</f>
        <v/>
      </c>
      <c r="AW292" t="inlineStr">
        <is>
          <t>14426655:eng</t>
        </is>
      </c>
      <c r="AX292" t="inlineStr">
        <is>
          <t>34283728</t>
        </is>
      </c>
      <c r="AY292" t="inlineStr">
        <is>
          <t>991001558779702656</t>
        </is>
      </c>
      <c r="AZ292" t="inlineStr">
        <is>
          <t>991001558779702656</t>
        </is>
      </c>
      <c r="BA292" t="inlineStr">
        <is>
          <t>2257568840002656</t>
        </is>
      </c>
      <c r="BB292" t="inlineStr">
        <is>
          <t>BOOK</t>
        </is>
      </c>
      <c r="BD292" t="inlineStr">
        <is>
          <t>9780815149682</t>
        </is>
      </c>
      <c r="BE292" t="inlineStr">
        <is>
          <t>30001003603679</t>
        </is>
      </c>
      <c r="BF292" t="inlineStr">
        <is>
          <t>893274294</t>
        </is>
      </c>
    </row>
    <row r="293">
      <c r="B293" t="inlineStr">
        <is>
          <t>CUHSL</t>
        </is>
      </c>
      <c r="C293" t="inlineStr">
        <is>
          <t>SHELVES</t>
        </is>
      </c>
      <c r="D293" t="inlineStr">
        <is>
          <t>QV 77.2 T375h 1995</t>
        </is>
      </c>
      <c r="E293" t="inlineStr">
        <is>
          <t>0                      QV 0077200T  375h        1995</t>
        </is>
      </c>
      <c r="F293" t="inlineStr">
        <is>
          <t>The handbook of psychiatric drug therapy for children and adolescents / Karen A. Theesen.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Theesen, Karen A.</t>
        </is>
      </c>
      <c r="N293" t="inlineStr">
        <is>
          <t>New York : Pharmaceutical Products Press, c1995.</t>
        </is>
      </c>
      <c r="O293" t="inlineStr">
        <is>
          <t>1995</t>
        </is>
      </c>
      <c r="Q293" t="inlineStr">
        <is>
          <t>eng</t>
        </is>
      </c>
      <c r="R293" t="inlineStr">
        <is>
          <t>nyu</t>
        </is>
      </c>
      <c r="T293" t="inlineStr">
        <is>
          <t xml:space="preserve">QV </t>
        </is>
      </c>
      <c r="U293" t="n">
        <v>7</v>
      </c>
      <c r="V293" t="n">
        <v>7</v>
      </c>
      <c r="W293" t="inlineStr">
        <is>
          <t>1997-06-08</t>
        </is>
      </c>
      <c r="X293" t="inlineStr">
        <is>
          <t>1997-06-08</t>
        </is>
      </c>
      <c r="Y293" t="inlineStr">
        <is>
          <t>1997-01-20</t>
        </is>
      </c>
      <c r="Z293" t="inlineStr">
        <is>
          <t>1997-01-20</t>
        </is>
      </c>
      <c r="AA293" t="n">
        <v>95</v>
      </c>
      <c r="AB293" t="n">
        <v>83</v>
      </c>
      <c r="AC293" t="n">
        <v>91</v>
      </c>
      <c r="AD293" t="n">
        <v>1</v>
      </c>
      <c r="AE293" t="n">
        <v>1</v>
      </c>
      <c r="AF293" t="n">
        <v>2</v>
      </c>
      <c r="AG293" t="n">
        <v>3</v>
      </c>
      <c r="AH293" t="n">
        <v>0</v>
      </c>
      <c r="AI293" t="n">
        <v>1</v>
      </c>
      <c r="AJ293" t="n">
        <v>1</v>
      </c>
      <c r="AK293" t="n">
        <v>1</v>
      </c>
      <c r="AL293" t="n">
        <v>1</v>
      </c>
      <c r="AM293" t="n">
        <v>1</v>
      </c>
      <c r="AN293" t="n">
        <v>0</v>
      </c>
      <c r="AO293" t="n">
        <v>0</v>
      </c>
      <c r="AP293" t="n">
        <v>0</v>
      </c>
      <c r="AQ293" t="n">
        <v>0</v>
      </c>
      <c r="AR293" t="inlineStr">
        <is>
          <t>No</t>
        </is>
      </c>
      <c r="AS293" t="inlineStr">
        <is>
          <t>Yes</t>
        </is>
      </c>
      <c r="AT293">
        <f>HYPERLINK("http://catalog.hathitrust.org/Record/003101882","HathiTrust Record")</f>
        <v/>
      </c>
      <c r="AU293">
        <f>HYPERLINK("https://creighton-primo.hosted.exlibrisgroup.com/primo-explore/search?tab=default_tab&amp;search_scope=EVERYTHING&amp;vid=01CRU&amp;lang=en_US&amp;offset=0&amp;query=any,contains,991000853149702656","Catalog Record")</f>
        <v/>
      </c>
      <c r="AV293">
        <f>HYPERLINK("http://www.worldcat.org/oclc/32205567","WorldCat Record")</f>
        <v/>
      </c>
      <c r="AW293" t="inlineStr">
        <is>
          <t>604314:eng</t>
        </is>
      </c>
      <c r="AX293" t="inlineStr">
        <is>
          <t>32205567</t>
        </is>
      </c>
      <c r="AY293" t="inlineStr">
        <is>
          <t>991000853149702656</t>
        </is>
      </c>
      <c r="AZ293" t="inlineStr">
        <is>
          <t>991000853149702656</t>
        </is>
      </c>
      <c r="BA293" t="inlineStr">
        <is>
          <t>2270115030002656</t>
        </is>
      </c>
      <c r="BB293" t="inlineStr">
        <is>
          <t>BOOK</t>
        </is>
      </c>
      <c r="BD293" t="inlineStr">
        <is>
          <t>9781560249290</t>
        </is>
      </c>
      <c r="BE293" t="inlineStr">
        <is>
          <t>30001003474394</t>
        </is>
      </c>
      <c r="BF293" t="inlineStr">
        <is>
          <t>893363383</t>
        </is>
      </c>
    </row>
    <row r="294">
      <c r="B294" t="inlineStr">
        <is>
          <t>CUHSL</t>
        </is>
      </c>
      <c r="C294" t="inlineStr">
        <is>
          <t>SHELVES</t>
        </is>
      </c>
      <c r="D294" t="inlineStr">
        <is>
          <t>QV 77.7 C22475 2002</t>
        </is>
      </c>
      <c r="E294" t="inlineStr">
        <is>
          <t>0                      QV 0077700C  22475       2002</t>
        </is>
      </c>
      <c r="F294" t="inlineStr">
        <is>
          <t>Cannabis and cannabinoids : pharmacology, toxicology, and therapeutic potential / Franjo Grotenhermen, Ethan Russo, editors.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N294" t="inlineStr">
        <is>
          <t>New York : Haworth Integrative Healing Press, c2002.</t>
        </is>
      </c>
      <c r="O294" t="inlineStr">
        <is>
          <t>2002</t>
        </is>
      </c>
      <c r="Q294" t="inlineStr">
        <is>
          <t>eng</t>
        </is>
      </c>
      <c r="R294" t="inlineStr">
        <is>
          <t>nyu</t>
        </is>
      </c>
      <c r="T294" t="inlineStr">
        <is>
          <t xml:space="preserve">QV </t>
        </is>
      </c>
      <c r="U294" t="n">
        <v>7</v>
      </c>
      <c r="V294" t="n">
        <v>7</v>
      </c>
      <c r="W294" t="inlineStr">
        <is>
          <t>2010-05-03</t>
        </is>
      </c>
      <c r="X294" t="inlineStr">
        <is>
          <t>2010-05-03</t>
        </is>
      </c>
      <c r="Y294" t="inlineStr">
        <is>
          <t>2004-09-16</t>
        </is>
      </c>
      <c r="Z294" t="inlineStr">
        <is>
          <t>2004-09-16</t>
        </is>
      </c>
      <c r="AA294" t="n">
        <v>369</v>
      </c>
      <c r="AB294" t="n">
        <v>307</v>
      </c>
      <c r="AC294" t="n">
        <v>334</v>
      </c>
      <c r="AD294" t="n">
        <v>3</v>
      </c>
      <c r="AE294" t="n">
        <v>3</v>
      </c>
      <c r="AF294" t="n">
        <v>20</v>
      </c>
      <c r="AG294" t="n">
        <v>20</v>
      </c>
      <c r="AH294" t="n">
        <v>8</v>
      </c>
      <c r="AI294" t="n">
        <v>8</v>
      </c>
      <c r="AJ294" t="n">
        <v>7</v>
      </c>
      <c r="AK294" t="n">
        <v>7</v>
      </c>
      <c r="AL294" t="n">
        <v>8</v>
      </c>
      <c r="AM294" t="n">
        <v>8</v>
      </c>
      <c r="AN294" t="n">
        <v>1</v>
      </c>
      <c r="AO294" t="n">
        <v>1</v>
      </c>
      <c r="AP294" t="n">
        <v>1</v>
      </c>
      <c r="AQ294" t="n">
        <v>1</v>
      </c>
      <c r="AR294" t="inlineStr">
        <is>
          <t>No</t>
        </is>
      </c>
      <c r="AS294" t="inlineStr">
        <is>
          <t>Yes</t>
        </is>
      </c>
      <c r="AT294">
        <f>HYPERLINK("http://catalog.hathitrust.org/Record/004270230","HathiTrust Record")</f>
        <v/>
      </c>
      <c r="AU294">
        <f>HYPERLINK("https://creighton-primo.hosted.exlibrisgroup.com/primo-explore/search?tab=default_tab&amp;search_scope=EVERYTHING&amp;vid=01CRU&amp;lang=en_US&amp;offset=0&amp;query=any,contains,991000392689702656","Catalog Record")</f>
        <v/>
      </c>
      <c r="AV294">
        <f>HYPERLINK("http://www.worldcat.org/oclc/47049973","WorldCat Record")</f>
        <v/>
      </c>
      <c r="AW294" t="inlineStr">
        <is>
          <t>836998442:eng</t>
        </is>
      </c>
      <c r="AX294" t="inlineStr">
        <is>
          <t>47049973</t>
        </is>
      </c>
      <c r="AY294" t="inlineStr">
        <is>
          <t>991000392689702656</t>
        </is>
      </c>
      <c r="AZ294" t="inlineStr">
        <is>
          <t>991000392689702656</t>
        </is>
      </c>
      <c r="BA294" t="inlineStr">
        <is>
          <t>2263839840002656</t>
        </is>
      </c>
      <c r="BB294" t="inlineStr">
        <is>
          <t>BOOK</t>
        </is>
      </c>
      <c r="BD294" t="inlineStr">
        <is>
          <t>9780789015075</t>
        </is>
      </c>
      <c r="BE294" t="inlineStr">
        <is>
          <t>30001004840981</t>
        </is>
      </c>
      <c r="BF294" t="inlineStr">
        <is>
          <t>893447260</t>
        </is>
      </c>
    </row>
    <row r="295">
      <c r="B295" t="inlineStr">
        <is>
          <t>CUHSL</t>
        </is>
      </c>
      <c r="C295" t="inlineStr">
        <is>
          <t>SHELVES</t>
        </is>
      </c>
      <c r="D295" t="inlineStr">
        <is>
          <t>QV 77.7 C609 1959</t>
        </is>
      </c>
      <c r="E295" t="inlineStr">
        <is>
          <t>0                      QV 0077700C  609         1959</t>
        </is>
      </c>
      <c r="F295" t="inlineStr">
        <is>
          <t>The use of LSD in psychotherapy : transactions / Edited by Harold A. Abramson.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M295" t="inlineStr">
        <is>
          <t>Conference on d-Lysergic Acid Diethylamide (LSD-25) (1959 : Princeton, N.J.)</t>
        </is>
      </c>
      <c r="N295" t="inlineStr">
        <is>
          <t>New York : Josiah Macy, Jr. Foundation, 1960.</t>
        </is>
      </c>
      <c r="O295" t="inlineStr">
        <is>
          <t>1960</t>
        </is>
      </c>
      <c r="Q295" t="inlineStr">
        <is>
          <t>eng</t>
        </is>
      </c>
      <c r="R295" t="inlineStr">
        <is>
          <t>nyu</t>
        </is>
      </c>
      <c r="T295" t="inlineStr">
        <is>
          <t xml:space="preserve">QV </t>
        </is>
      </c>
      <c r="U295" t="n">
        <v>2</v>
      </c>
      <c r="V295" t="n">
        <v>2</v>
      </c>
      <c r="W295" t="inlineStr">
        <is>
          <t>2007-11-15</t>
        </is>
      </c>
      <c r="X295" t="inlineStr">
        <is>
          <t>2007-11-15</t>
        </is>
      </c>
      <c r="Y295" t="inlineStr">
        <is>
          <t>1988-03-17</t>
        </is>
      </c>
      <c r="Z295" t="inlineStr">
        <is>
          <t>1988-03-17</t>
        </is>
      </c>
      <c r="AA295" t="n">
        <v>124</v>
      </c>
      <c r="AB295" t="n">
        <v>107</v>
      </c>
      <c r="AC295" t="n">
        <v>109</v>
      </c>
      <c r="AD295" t="n">
        <v>1</v>
      </c>
      <c r="AE295" t="n">
        <v>1</v>
      </c>
      <c r="AF295" t="n">
        <v>4</v>
      </c>
      <c r="AG295" t="n">
        <v>4</v>
      </c>
      <c r="AH295" t="n">
        <v>0</v>
      </c>
      <c r="AI295" t="n">
        <v>0</v>
      </c>
      <c r="AJ295" t="n">
        <v>2</v>
      </c>
      <c r="AK295" t="n">
        <v>2</v>
      </c>
      <c r="AL295" t="n">
        <v>3</v>
      </c>
      <c r="AM295" t="n">
        <v>3</v>
      </c>
      <c r="AN295" t="n">
        <v>0</v>
      </c>
      <c r="AO295" t="n">
        <v>0</v>
      </c>
      <c r="AP295" t="n">
        <v>0</v>
      </c>
      <c r="AQ295" t="n">
        <v>0</v>
      </c>
      <c r="AR295" t="inlineStr">
        <is>
          <t>No</t>
        </is>
      </c>
      <c r="AS295" t="inlineStr">
        <is>
          <t>No</t>
        </is>
      </c>
      <c r="AT295">
        <f>HYPERLINK("http://catalog.hathitrust.org/Record/001564600","HathiTrust Record")</f>
        <v/>
      </c>
      <c r="AU295">
        <f>HYPERLINK("https://creighton-primo.hosted.exlibrisgroup.com/primo-explore/search?tab=default_tab&amp;search_scope=EVERYTHING&amp;vid=01CRU&amp;lang=en_US&amp;offset=0&amp;query=any,contains,991000958169702656","Catalog Record")</f>
        <v/>
      </c>
      <c r="AV295">
        <f>HYPERLINK("http://www.worldcat.org/oclc/522421","WorldCat Record")</f>
        <v/>
      </c>
      <c r="AW295" t="inlineStr">
        <is>
          <t>8888951614:eng</t>
        </is>
      </c>
      <c r="AX295" t="inlineStr">
        <is>
          <t>522421</t>
        </is>
      </c>
      <c r="AY295" t="inlineStr">
        <is>
          <t>991000958169702656</t>
        </is>
      </c>
      <c r="AZ295" t="inlineStr">
        <is>
          <t>991000958169702656</t>
        </is>
      </c>
      <c r="BA295" t="inlineStr">
        <is>
          <t>2260050660002656</t>
        </is>
      </c>
      <c r="BB295" t="inlineStr">
        <is>
          <t>BOOK</t>
        </is>
      </c>
      <c r="BE295" t="inlineStr">
        <is>
          <t>30001000195455</t>
        </is>
      </c>
      <c r="BF295" t="inlineStr">
        <is>
          <t>893632567</t>
        </is>
      </c>
    </row>
    <row r="296">
      <c r="B296" t="inlineStr">
        <is>
          <t>CUHSL</t>
        </is>
      </c>
      <c r="C296" t="inlineStr">
        <is>
          <t>SHELVES</t>
        </is>
      </c>
      <c r="D296" t="inlineStr">
        <is>
          <t>QV 77.7 H193 1984</t>
        </is>
      </c>
      <c r="E296" t="inlineStr">
        <is>
          <t>0                      QV 0077700H  193         1984</t>
        </is>
      </c>
      <c r="F296" t="inlineStr">
        <is>
          <t>Hallucinogens--neurochemical, behavioral, and clinical perspectives / volume editor, Barry L. Jacobs.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N296" t="inlineStr">
        <is>
          <t>New York : Raven, c1984.</t>
        </is>
      </c>
      <c r="O296" t="inlineStr">
        <is>
          <t>1984</t>
        </is>
      </c>
      <c r="Q296" t="inlineStr">
        <is>
          <t>eng</t>
        </is>
      </c>
      <c r="R296" t="inlineStr">
        <is>
          <t>xxu</t>
        </is>
      </c>
      <c r="S296" t="inlineStr">
        <is>
          <t>Central nervous system pharmacology</t>
        </is>
      </c>
      <c r="T296" t="inlineStr">
        <is>
          <t xml:space="preserve">QV </t>
        </is>
      </c>
      <c r="U296" t="n">
        <v>19</v>
      </c>
      <c r="V296" t="n">
        <v>19</v>
      </c>
      <c r="W296" t="inlineStr">
        <is>
          <t>1996-09-20</t>
        </is>
      </c>
      <c r="X296" t="inlineStr">
        <is>
          <t>1996-09-20</t>
        </is>
      </c>
      <c r="Y296" t="inlineStr">
        <is>
          <t>1988-02-08</t>
        </is>
      </c>
      <c r="Z296" t="inlineStr">
        <is>
          <t>1988-02-08</t>
        </is>
      </c>
      <c r="AA296" t="n">
        <v>180</v>
      </c>
      <c r="AB296" t="n">
        <v>139</v>
      </c>
      <c r="AC296" t="n">
        <v>142</v>
      </c>
      <c r="AD296" t="n">
        <v>2</v>
      </c>
      <c r="AE296" t="n">
        <v>2</v>
      </c>
      <c r="AF296" t="n">
        <v>4</v>
      </c>
      <c r="AG296" t="n">
        <v>5</v>
      </c>
      <c r="AH296" t="n">
        <v>1</v>
      </c>
      <c r="AI296" t="n">
        <v>2</v>
      </c>
      <c r="AJ296" t="n">
        <v>2</v>
      </c>
      <c r="AK296" t="n">
        <v>2</v>
      </c>
      <c r="AL296" t="n">
        <v>2</v>
      </c>
      <c r="AM296" t="n">
        <v>3</v>
      </c>
      <c r="AN296" t="n">
        <v>1</v>
      </c>
      <c r="AO296" t="n">
        <v>1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HYPERLINK("http://catalog.hathitrust.org/Record/000119913","HathiTrust Record")</f>
        <v/>
      </c>
      <c r="AU296">
        <f>HYPERLINK("https://creighton-primo.hosted.exlibrisgroup.com/primo-explore/search?tab=default_tab&amp;search_scope=EVERYTHING&amp;vid=01CRU&amp;lang=en_US&amp;offset=0&amp;query=any,contains,991000958129702656","Catalog Record")</f>
        <v/>
      </c>
      <c r="AV296">
        <f>HYPERLINK("http://www.worldcat.org/oclc/10324237","WorldCat Record")</f>
        <v/>
      </c>
      <c r="AW296" t="inlineStr">
        <is>
          <t>3381356:eng</t>
        </is>
      </c>
      <c r="AX296" t="inlineStr">
        <is>
          <t>10324237</t>
        </is>
      </c>
      <c r="AY296" t="inlineStr">
        <is>
          <t>991000958129702656</t>
        </is>
      </c>
      <c r="AZ296" t="inlineStr">
        <is>
          <t>991000958129702656</t>
        </is>
      </c>
      <c r="BA296" t="inlineStr">
        <is>
          <t>2267429220002656</t>
        </is>
      </c>
      <c r="BB296" t="inlineStr">
        <is>
          <t>BOOK</t>
        </is>
      </c>
      <c r="BD296" t="inlineStr">
        <is>
          <t>9780890049907</t>
        </is>
      </c>
      <c r="BE296" t="inlineStr">
        <is>
          <t>30001000195463</t>
        </is>
      </c>
      <c r="BF296" t="inlineStr">
        <is>
          <t>893148757</t>
        </is>
      </c>
    </row>
    <row r="297">
      <c r="B297" t="inlineStr">
        <is>
          <t>CUHSL</t>
        </is>
      </c>
      <c r="C297" t="inlineStr">
        <is>
          <t>SHELVES</t>
        </is>
      </c>
      <c r="D297" t="inlineStr">
        <is>
          <t>QV 77.7 N153m 1984</t>
        </is>
      </c>
      <c r="E297" t="inlineStr">
        <is>
          <t>0                      QV 0077700N  153m        1984</t>
        </is>
      </c>
      <c r="F297" t="inlineStr">
        <is>
          <t>Marihuana in science and medicine / Gabriel G. Nahas, with contributions by David J. Harvey, Michel Paris, Henry Brill.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Nahas, Gabriel G., 1920-2012.</t>
        </is>
      </c>
      <c r="N297" t="inlineStr">
        <is>
          <t>New York : Raven Press, c1984.</t>
        </is>
      </c>
      <c r="O297" t="inlineStr">
        <is>
          <t>1984</t>
        </is>
      </c>
      <c r="Q297" t="inlineStr">
        <is>
          <t>eng</t>
        </is>
      </c>
      <c r="R297" t="inlineStr">
        <is>
          <t xml:space="preserve">aa </t>
        </is>
      </c>
      <c r="T297" t="inlineStr">
        <is>
          <t xml:space="preserve">QV </t>
        </is>
      </c>
      <c r="U297" t="n">
        <v>13</v>
      </c>
      <c r="V297" t="n">
        <v>13</v>
      </c>
      <c r="W297" t="inlineStr">
        <is>
          <t>2010-05-03</t>
        </is>
      </c>
      <c r="X297" t="inlineStr">
        <is>
          <t>2010-05-03</t>
        </is>
      </c>
      <c r="Y297" t="inlineStr">
        <is>
          <t>1988-02-08</t>
        </is>
      </c>
      <c r="Z297" t="inlineStr">
        <is>
          <t>1988-02-08</t>
        </is>
      </c>
      <c r="AA297" t="n">
        <v>236</v>
      </c>
      <c r="AB297" t="n">
        <v>185</v>
      </c>
      <c r="AC297" t="n">
        <v>189</v>
      </c>
      <c r="AD297" t="n">
        <v>2</v>
      </c>
      <c r="AE297" t="n">
        <v>2</v>
      </c>
      <c r="AF297" t="n">
        <v>6</v>
      </c>
      <c r="AG297" t="n">
        <v>6</v>
      </c>
      <c r="AH297" t="n">
        <v>2</v>
      </c>
      <c r="AI297" t="n">
        <v>2</v>
      </c>
      <c r="AJ297" t="n">
        <v>2</v>
      </c>
      <c r="AK297" t="n">
        <v>2</v>
      </c>
      <c r="AL297" t="n">
        <v>4</v>
      </c>
      <c r="AM297" t="n">
        <v>4</v>
      </c>
      <c r="AN297" t="n">
        <v>1</v>
      </c>
      <c r="AO297" t="n">
        <v>1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HYPERLINK("http://catalog.hathitrust.org/Record/000166420","HathiTrust Record")</f>
        <v/>
      </c>
      <c r="AU297">
        <f>HYPERLINK("https://creighton-primo.hosted.exlibrisgroup.com/primo-explore/search?tab=default_tab&amp;search_scope=EVERYTHING&amp;vid=01CRU&amp;lang=en_US&amp;offset=0&amp;query=any,contains,991000958209702656","Catalog Record")</f>
        <v/>
      </c>
      <c r="AV297">
        <f>HYPERLINK("http://www.worldcat.org/oclc/10876194","WorldCat Record")</f>
        <v/>
      </c>
      <c r="AW297" t="inlineStr">
        <is>
          <t>3855331755:eng</t>
        </is>
      </c>
      <c r="AX297" t="inlineStr">
        <is>
          <t>10876194</t>
        </is>
      </c>
      <c r="AY297" t="inlineStr">
        <is>
          <t>991000958209702656</t>
        </is>
      </c>
      <c r="AZ297" t="inlineStr">
        <is>
          <t>991000958209702656</t>
        </is>
      </c>
      <c r="BA297" t="inlineStr">
        <is>
          <t>2262618370002656</t>
        </is>
      </c>
      <c r="BB297" t="inlineStr">
        <is>
          <t>BOOK</t>
        </is>
      </c>
      <c r="BD297" t="inlineStr">
        <is>
          <t>9780881670141</t>
        </is>
      </c>
      <c r="BE297" t="inlineStr">
        <is>
          <t>30001000195471</t>
        </is>
      </c>
      <c r="BF297" t="inlineStr">
        <is>
          <t>893284176</t>
        </is>
      </c>
    </row>
    <row r="298">
      <c r="B298" t="inlineStr">
        <is>
          <t>CUHSL</t>
        </is>
      </c>
      <c r="C298" t="inlineStr">
        <is>
          <t>SHELVES</t>
        </is>
      </c>
      <c r="D298" t="inlineStr">
        <is>
          <t>QV 77.9 A633 1985</t>
        </is>
      </c>
      <c r="E298" t="inlineStr">
        <is>
          <t>0                      QV 0077900A  633         1985</t>
        </is>
      </c>
      <c r="F298" t="inlineStr">
        <is>
          <t>Antipsychotics / edited by Graham D. Burrows, Trevor R. Norman, and Brian Davies.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N298" t="inlineStr">
        <is>
          <t>Amsterdam ; New York : Elsevier ; New York, NY, USA : Sole distributors for the U.S.A. and Canada, Elsevier Science Pub. Co., c1985.</t>
        </is>
      </c>
      <c r="O298" t="inlineStr">
        <is>
          <t>1985</t>
        </is>
      </c>
      <c r="Q298" t="inlineStr">
        <is>
          <t>eng</t>
        </is>
      </c>
      <c r="R298" t="inlineStr">
        <is>
          <t xml:space="preserve">ne </t>
        </is>
      </c>
      <c r="S298" t="inlineStr">
        <is>
          <t>Drugs in psychiatry ; v. 3</t>
        </is>
      </c>
      <c r="T298" t="inlineStr">
        <is>
          <t xml:space="preserve">QV </t>
        </is>
      </c>
      <c r="U298" t="n">
        <v>5</v>
      </c>
      <c r="V298" t="n">
        <v>5</v>
      </c>
      <c r="W298" t="inlineStr">
        <is>
          <t>1989-11-05</t>
        </is>
      </c>
      <c r="X298" t="inlineStr">
        <is>
          <t>1989-11-05</t>
        </is>
      </c>
      <c r="Y298" t="inlineStr">
        <is>
          <t>1988-02-08</t>
        </is>
      </c>
      <c r="Z298" t="inlineStr">
        <is>
          <t>1988-02-08</t>
        </is>
      </c>
      <c r="AA298" t="n">
        <v>130</v>
      </c>
      <c r="AB298" t="n">
        <v>90</v>
      </c>
      <c r="AC298" t="n">
        <v>92</v>
      </c>
      <c r="AD298" t="n">
        <v>1</v>
      </c>
      <c r="AE298" t="n">
        <v>1</v>
      </c>
      <c r="AF298" t="n">
        <v>1</v>
      </c>
      <c r="AG298" t="n">
        <v>1</v>
      </c>
      <c r="AH298" t="n">
        <v>0</v>
      </c>
      <c r="AI298" t="n">
        <v>0</v>
      </c>
      <c r="AJ298" t="n">
        <v>0</v>
      </c>
      <c r="AK298" t="n">
        <v>0</v>
      </c>
      <c r="AL298" t="n">
        <v>1</v>
      </c>
      <c r="AM298" t="n">
        <v>1</v>
      </c>
      <c r="AN298" t="n">
        <v>0</v>
      </c>
      <c r="AO298" t="n">
        <v>0</v>
      </c>
      <c r="AP298" t="n">
        <v>0</v>
      </c>
      <c r="AQ298" t="n">
        <v>0</v>
      </c>
      <c r="AR298" t="inlineStr">
        <is>
          <t>No</t>
        </is>
      </c>
      <c r="AS298" t="inlineStr">
        <is>
          <t>Yes</t>
        </is>
      </c>
      <c r="AT298">
        <f>HYPERLINK("http://catalog.hathitrust.org/Record/000352179","HathiTrust Record")</f>
        <v/>
      </c>
      <c r="AU298">
        <f>HYPERLINK("https://creighton-primo.hosted.exlibrisgroup.com/primo-explore/search?tab=default_tab&amp;search_scope=EVERYTHING&amp;vid=01CRU&amp;lang=en_US&amp;offset=0&amp;query=any,contains,991000958249702656","Catalog Record")</f>
        <v/>
      </c>
      <c r="AV298">
        <f>HYPERLINK("http://www.worldcat.org/oclc/11550436","WorldCat Record")</f>
        <v/>
      </c>
      <c r="AW298" t="inlineStr">
        <is>
          <t>355955795:eng</t>
        </is>
      </c>
      <c r="AX298" t="inlineStr">
        <is>
          <t>11550436</t>
        </is>
      </c>
      <c r="AY298" t="inlineStr">
        <is>
          <t>991000958249702656</t>
        </is>
      </c>
      <c r="AZ298" t="inlineStr">
        <is>
          <t>991000958249702656</t>
        </is>
      </c>
      <c r="BA298" t="inlineStr">
        <is>
          <t>2265535400002656</t>
        </is>
      </c>
      <c r="BB298" t="inlineStr">
        <is>
          <t>BOOK</t>
        </is>
      </c>
      <c r="BD298" t="inlineStr">
        <is>
          <t>9780444806352</t>
        </is>
      </c>
      <c r="BE298" t="inlineStr">
        <is>
          <t>30001000195489</t>
        </is>
      </c>
      <c r="BF298" t="inlineStr">
        <is>
          <t>893363584</t>
        </is>
      </c>
    </row>
    <row r="299">
      <c r="B299" t="inlineStr">
        <is>
          <t>CUHSL</t>
        </is>
      </c>
      <c r="C299" t="inlineStr">
        <is>
          <t>SHELVES</t>
        </is>
      </c>
      <c r="D299" t="inlineStr">
        <is>
          <t>QV 77.9 B4785 1990</t>
        </is>
      </c>
      <c r="E299" t="inlineStr">
        <is>
          <t>0                      QV 0077900B  4785        1990</t>
        </is>
      </c>
      <c r="F299" t="inlineStr">
        <is>
          <t>Benzodiazepine dependence, toxicity, and abuse : a task force report of the American Psychiatric Association / American Psychiatric Association Task Force on Benzodiazepine Dependence, Toxicity, and Abuse.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N299" t="inlineStr">
        <is>
          <t>Washington, DC : American Psychiatric Association, c1990.</t>
        </is>
      </c>
      <c r="O299" t="inlineStr">
        <is>
          <t>1990</t>
        </is>
      </c>
      <c r="Q299" t="inlineStr">
        <is>
          <t>eng</t>
        </is>
      </c>
      <c r="R299" t="inlineStr">
        <is>
          <t>xxu</t>
        </is>
      </c>
      <c r="T299" t="inlineStr">
        <is>
          <t xml:space="preserve">QV </t>
        </is>
      </c>
      <c r="U299" t="n">
        <v>12</v>
      </c>
      <c r="V299" t="n">
        <v>12</v>
      </c>
      <c r="W299" t="inlineStr">
        <is>
          <t>1997-11-18</t>
        </is>
      </c>
      <c r="X299" t="inlineStr">
        <is>
          <t>1997-11-18</t>
        </is>
      </c>
      <c r="Y299" t="inlineStr">
        <is>
          <t>1990-11-02</t>
        </is>
      </c>
      <c r="Z299" t="inlineStr">
        <is>
          <t>1990-11-02</t>
        </is>
      </c>
      <c r="AA299" t="n">
        <v>196</v>
      </c>
      <c r="AB299" t="n">
        <v>152</v>
      </c>
      <c r="AC299" t="n">
        <v>159</v>
      </c>
      <c r="AD299" t="n">
        <v>1</v>
      </c>
      <c r="AE299" t="n">
        <v>1</v>
      </c>
      <c r="AF299" t="n">
        <v>6</v>
      </c>
      <c r="AG299" t="n">
        <v>6</v>
      </c>
      <c r="AH299" t="n">
        <v>3</v>
      </c>
      <c r="AI299" t="n">
        <v>3</v>
      </c>
      <c r="AJ299" t="n">
        <v>1</v>
      </c>
      <c r="AK299" t="n">
        <v>1</v>
      </c>
      <c r="AL299" t="n">
        <v>3</v>
      </c>
      <c r="AM299" t="n">
        <v>3</v>
      </c>
      <c r="AN299" t="n">
        <v>0</v>
      </c>
      <c r="AO299" t="n">
        <v>0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HYPERLINK("http://catalog.hathitrust.org/Record/002424172","HathiTrust Record")</f>
        <v/>
      </c>
      <c r="AU299">
        <f>HYPERLINK("https://creighton-primo.hosted.exlibrisgroup.com/primo-explore/search?tab=default_tab&amp;search_scope=EVERYTHING&amp;vid=01CRU&amp;lang=en_US&amp;offset=0&amp;query=any,contains,991000775869702656","Catalog Record")</f>
        <v/>
      </c>
      <c r="AV299">
        <f>HYPERLINK("http://www.worldcat.org/oclc/21408616","WorldCat Record")</f>
        <v/>
      </c>
      <c r="AW299" t="inlineStr">
        <is>
          <t>22936217:eng</t>
        </is>
      </c>
      <c r="AX299" t="inlineStr">
        <is>
          <t>21408616</t>
        </is>
      </c>
      <c r="AY299" t="inlineStr">
        <is>
          <t>991000775869702656</t>
        </is>
      </c>
      <c r="AZ299" t="inlineStr">
        <is>
          <t>991000775869702656</t>
        </is>
      </c>
      <c r="BA299" t="inlineStr">
        <is>
          <t>2258522010002656</t>
        </is>
      </c>
      <c r="BB299" t="inlineStr">
        <is>
          <t>BOOK</t>
        </is>
      </c>
      <c r="BD299" t="inlineStr">
        <is>
          <t>9780890422281</t>
        </is>
      </c>
      <c r="BE299" t="inlineStr">
        <is>
          <t>30001002063123</t>
        </is>
      </c>
      <c r="BF299" t="inlineStr">
        <is>
          <t>893376843</t>
        </is>
      </c>
    </row>
    <row r="300">
      <c r="B300" t="inlineStr">
        <is>
          <t>CUHSL</t>
        </is>
      </c>
      <c r="C300" t="inlineStr">
        <is>
          <t>SHELVES</t>
        </is>
      </c>
      <c r="D300" t="inlineStr">
        <is>
          <t>QV 77.9 L431e 1986</t>
        </is>
      </c>
      <c r="E300" t="inlineStr">
        <is>
          <t>0                      QV 0077900L  431e        1986</t>
        </is>
      </c>
      <c r="F300" t="inlineStr">
        <is>
          <t>Endocrine and metabolic effects of lithium / John H. Lazarus ; with a chapter by Keith J. Collard.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M300" t="inlineStr">
        <is>
          <t>Lazarus, J. H. (John H.)</t>
        </is>
      </c>
      <c r="N300" t="inlineStr">
        <is>
          <t>New York : Plenum Medical Book Co., c1986.</t>
        </is>
      </c>
      <c r="O300" t="inlineStr">
        <is>
          <t>1986</t>
        </is>
      </c>
      <c r="Q300" t="inlineStr">
        <is>
          <t>eng</t>
        </is>
      </c>
      <c r="R300" t="inlineStr">
        <is>
          <t>xxu</t>
        </is>
      </c>
      <c r="T300" t="inlineStr">
        <is>
          <t xml:space="preserve">QV </t>
        </is>
      </c>
      <c r="U300" t="n">
        <v>6</v>
      </c>
      <c r="V300" t="n">
        <v>6</v>
      </c>
      <c r="W300" t="inlineStr">
        <is>
          <t>1995-03-14</t>
        </is>
      </c>
      <c r="X300" t="inlineStr">
        <is>
          <t>1995-03-14</t>
        </is>
      </c>
      <c r="Y300" t="inlineStr">
        <is>
          <t>1988-02-08</t>
        </is>
      </c>
      <c r="Z300" t="inlineStr">
        <is>
          <t>1988-02-08</t>
        </is>
      </c>
      <c r="AA300" t="n">
        <v>152</v>
      </c>
      <c r="AB300" t="n">
        <v>116</v>
      </c>
      <c r="AC300" t="n">
        <v>132</v>
      </c>
      <c r="AD300" t="n">
        <v>1</v>
      </c>
      <c r="AE300" t="n">
        <v>1</v>
      </c>
      <c r="AF300" t="n">
        <v>4</v>
      </c>
      <c r="AG300" t="n">
        <v>4</v>
      </c>
      <c r="AH300" t="n">
        <v>1</v>
      </c>
      <c r="AI300" t="n">
        <v>1</v>
      </c>
      <c r="AJ300" t="n">
        <v>1</v>
      </c>
      <c r="AK300" t="n">
        <v>1</v>
      </c>
      <c r="AL300" t="n">
        <v>3</v>
      </c>
      <c r="AM300" t="n">
        <v>3</v>
      </c>
      <c r="AN300" t="n">
        <v>0</v>
      </c>
      <c r="AO300" t="n">
        <v>0</v>
      </c>
      <c r="AP300" t="n">
        <v>0</v>
      </c>
      <c r="AQ300" t="n">
        <v>0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HYPERLINK("https://creighton-primo.hosted.exlibrisgroup.com/primo-explore/search?tab=default_tab&amp;search_scope=EVERYTHING&amp;vid=01CRU&amp;lang=en_US&amp;offset=0&amp;query=any,contains,991000958289702656","Catalog Record")</f>
        <v/>
      </c>
      <c r="AV300">
        <f>HYPERLINK("http://www.worldcat.org/oclc/12943514","WorldCat Record")</f>
        <v/>
      </c>
      <c r="AW300" t="inlineStr">
        <is>
          <t>5835385:eng</t>
        </is>
      </c>
      <c r="AX300" t="inlineStr">
        <is>
          <t>12943514</t>
        </is>
      </c>
      <c r="AY300" t="inlineStr">
        <is>
          <t>991000958289702656</t>
        </is>
      </c>
      <c r="AZ300" t="inlineStr">
        <is>
          <t>991000958289702656</t>
        </is>
      </c>
      <c r="BA300" t="inlineStr">
        <is>
          <t>2257655480002656</t>
        </is>
      </c>
      <c r="BB300" t="inlineStr">
        <is>
          <t>BOOK</t>
        </is>
      </c>
      <c r="BD300" t="inlineStr">
        <is>
          <t>9780306420573</t>
        </is>
      </c>
      <c r="BE300" t="inlineStr">
        <is>
          <t>30001000195513</t>
        </is>
      </c>
      <c r="BF300" t="inlineStr">
        <is>
          <t>893465045</t>
        </is>
      </c>
    </row>
    <row r="301">
      <c r="B301" t="inlineStr">
        <is>
          <t>CUHSL</t>
        </is>
      </c>
      <c r="C301" t="inlineStr">
        <is>
          <t>SHELVES</t>
        </is>
      </c>
      <c r="D301" t="inlineStr">
        <is>
          <t>QV 77.9 M345b 1985</t>
        </is>
      </c>
      <c r="E301" t="inlineStr">
        <is>
          <t>0                      QV 0077900M  345b        1985</t>
        </is>
      </c>
      <c r="F301" t="inlineStr">
        <is>
          <t>The benzodiazepines : use, overuse, misuse, abuse / by John Marks.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Marks, John, 1924-</t>
        </is>
      </c>
      <c r="N301" t="inlineStr">
        <is>
          <t>Lancaster, England ; Boston : MTP Press, c1985.</t>
        </is>
      </c>
      <c r="O301" t="inlineStr">
        <is>
          <t>1985</t>
        </is>
      </c>
      <c r="P301" t="inlineStr">
        <is>
          <t>2nd ed.</t>
        </is>
      </c>
      <c r="Q301" t="inlineStr">
        <is>
          <t>eng</t>
        </is>
      </c>
      <c r="R301" t="inlineStr">
        <is>
          <t>enk</t>
        </is>
      </c>
      <c r="T301" t="inlineStr">
        <is>
          <t xml:space="preserve">QV </t>
        </is>
      </c>
      <c r="U301" t="n">
        <v>9</v>
      </c>
      <c r="V301" t="n">
        <v>9</v>
      </c>
      <c r="W301" t="inlineStr">
        <is>
          <t>1997-11-18</t>
        </is>
      </c>
      <c r="X301" t="inlineStr">
        <is>
          <t>1997-11-18</t>
        </is>
      </c>
      <c r="Y301" t="inlineStr">
        <is>
          <t>1988-02-08</t>
        </is>
      </c>
      <c r="Z301" t="inlineStr">
        <is>
          <t>1988-02-08</t>
        </is>
      </c>
      <c r="AA301" t="n">
        <v>159</v>
      </c>
      <c r="AB301" t="n">
        <v>97</v>
      </c>
      <c r="AC301" t="n">
        <v>235</v>
      </c>
      <c r="AD301" t="n">
        <v>1</v>
      </c>
      <c r="AE301" t="n">
        <v>2</v>
      </c>
      <c r="AF301" t="n">
        <v>4</v>
      </c>
      <c r="AG301" t="n">
        <v>8</v>
      </c>
      <c r="AH301" t="n">
        <v>1</v>
      </c>
      <c r="AI301" t="n">
        <v>3</v>
      </c>
      <c r="AJ301" t="n">
        <v>1</v>
      </c>
      <c r="AK301" t="n">
        <v>2</v>
      </c>
      <c r="AL301" t="n">
        <v>2</v>
      </c>
      <c r="AM301" t="n">
        <v>4</v>
      </c>
      <c r="AN301" t="n">
        <v>0</v>
      </c>
      <c r="AO301" t="n">
        <v>1</v>
      </c>
      <c r="AP301" t="n">
        <v>0</v>
      </c>
      <c r="AQ301" t="n">
        <v>0</v>
      </c>
      <c r="AR301" t="inlineStr">
        <is>
          <t>No</t>
        </is>
      </c>
      <c r="AS301" t="inlineStr">
        <is>
          <t>Yes</t>
        </is>
      </c>
      <c r="AT301">
        <f>HYPERLINK("http://catalog.hathitrust.org/Record/000377162","HathiTrust Record")</f>
        <v/>
      </c>
      <c r="AU301">
        <f>HYPERLINK("https://creighton-primo.hosted.exlibrisgroup.com/primo-explore/search?tab=default_tab&amp;search_scope=EVERYTHING&amp;vid=01CRU&amp;lang=en_US&amp;offset=0&amp;query=any,contains,991000958329702656","Catalog Record")</f>
        <v/>
      </c>
      <c r="AV301">
        <f>HYPERLINK("http://www.worldcat.org/oclc/12050786","WorldCat Record")</f>
        <v/>
      </c>
      <c r="AW301" t="inlineStr">
        <is>
          <t>471402226:eng</t>
        </is>
      </c>
      <c r="AX301" t="inlineStr">
        <is>
          <t>12050786</t>
        </is>
      </c>
      <c r="AY301" t="inlineStr">
        <is>
          <t>991000958329702656</t>
        </is>
      </c>
      <c r="AZ301" t="inlineStr">
        <is>
          <t>991000958329702656</t>
        </is>
      </c>
      <c r="BA301" t="inlineStr">
        <is>
          <t>2266790140002656</t>
        </is>
      </c>
      <c r="BB301" t="inlineStr">
        <is>
          <t>BOOK</t>
        </is>
      </c>
      <c r="BD301" t="inlineStr">
        <is>
          <t>9780852008706</t>
        </is>
      </c>
      <c r="BE301" t="inlineStr">
        <is>
          <t>30001000195521</t>
        </is>
      </c>
      <c r="BF301" t="inlineStr">
        <is>
          <t>893161563</t>
        </is>
      </c>
    </row>
    <row r="302">
      <c r="B302" t="inlineStr">
        <is>
          <t>CUHSL</t>
        </is>
      </c>
      <c r="C302" t="inlineStr">
        <is>
          <t>SHELVES</t>
        </is>
      </c>
      <c r="D302" t="inlineStr">
        <is>
          <t>QV 77.9 N532 1992</t>
        </is>
      </c>
      <c r="E302" t="inlineStr">
        <is>
          <t>0                      QV 0077900N  532         1992</t>
        </is>
      </c>
      <c r="F302" t="inlineStr">
        <is>
          <t>New generation of antipsychotic drugs : novel mechanisms of action : workshop, Monte Carlo, March 16-18, 1982 / volume editors, N. Brunello, J. Mendlewicz, G. Racagni.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N302" t="inlineStr">
        <is>
          <t>Basel ; New York : Karger, c1993.</t>
        </is>
      </c>
      <c r="O302" t="inlineStr">
        <is>
          <t>1993</t>
        </is>
      </c>
      <c r="Q302" t="inlineStr">
        <is>
          <t>eng</t>
        </is>
      </c>
      <c r="R302" t="inlineStr">
        <is>
          <t xml:space="preserve">sz </t>
        </is>
      </c>
      <c r="S302" t="inlineStr">
        <is>
          <t>International Academy for Biomedical and Drug Research ; vol. 4</t>
        </is>
      </c>
      <c r="T302" t="inlineStr">
        <is>
          <t xml:space="preserve">QV </t>
        </is>
      </c>
      <c r="U302" t="n">
        <v>6</v>
      </c>
      <c r="V302" t="n">
        <v>6</v>
      </c>
      <c r="W302" t="inlineStr">
        <is>
          <t>2002-11-24</t>
        </is>
      </c>
      <c r="X302" t="inlineStr">
        <is>
          <t>2002-11-24</t>
        </is>
      </c>
      <c r="Y302" t="inlineStr">
        <is>
          <t>1993-08-31</t>
        </is>
      </c>
      <c r="Z302" t="inlineStr">
        <is>
          <t>1993-08-31</t>
        </is>
      </c>
      <c r="AA302" t="n">
        <v>52</v>
      </c>
      <c r="AB302" t="n">
        <v>29</v>
      </c>
      <c r="AC302" t="n">
        <v>34</v>
      </c>
      <c r="AD302" t="n">
        <v>1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inlineStr">
        <is>
          <t>No</t>
        </is>
      </c>
      <c r="AS302" t="inlineStr">
        <is>
          <t>No</t>
        </is>
      </c>
      <c r="AU302">
        <f>HYPERLINK("https://creighton-primo.hosted.exlibrisgroup.com/primo-explore/search?tab=default_tab&amp;search_scope=EVERYTHING&amp;vid=01CRU&amp;lang=en_US&amp;offset=0&amp;query=any,contains,991001511559702656","Catalog Record")</f>
        <v/>
      </c>
      <c r="AV302">
        <f>HYPERLINK("http://www.worldcat.org/oclc/27034241","WorldCat Record")</f>
        <v/>
      </c>
      <c r="AW302" t="inlineStr">
        <is>
          <t>393905:eng</t>
        </is>
      </c>
      <c r="AX302" t="inlineStr">
        <is>
          <t>27034241</t>
        </is>
      </c>
      <c r="AY302" t="inlineStr">
        <is>
          <t>991001511559702656</t>
        </is>
      </c>
      <c r="AZ302" t="inlineStr">
        <is>
          <t>991001511559702656</t>
        </is>
      </c>
      <c r="BA302" t="inlineStr">
        <is>
          <t>2267354660002656</t>
        </is>
      </c>
      <c r="BB302" t="inlineStr">
        <is>
          <t>BOOK</t>
        </is>
      </c>
      <c r="BD302" t="inlineStr">
        <is>
          <t>9783805556545</t>
        </is>
      </c>
      <c r="BE302" t="inlineStr">
        <is>
          <t>30001002600908</t>
        </is>
      </c>
      <c r="BF302" t="inlineStr">
        <is>
          <t>893465582</t>
        </is>
      </c>
    </row>
    <row r="303">
      <c r="B303" t="inlineStr">
        <is>
          <t>CUHSL</t>
        </is>
      </c>
      <c r="C303" t="inlineStr">
        <is>
          <t>SHELVES</t>
        </is>
      </c>
      <c r="D303" t="inlineStr">
        <is>
          <t>QV 80 T755 1987</t>
        </is>
      </c>
      <c r="E303" t="inlineStr">
        <is>
          <t>0                      QV 0080000T  755         1987</t>
        </is>
      </c>
      <c r="F303" t="inlineStr">
        <is>
          <t>Toxicology of CNS depressants / editor, I.K. Ho.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N303" t="inlineStr">
        <is>
          <t>Boca Raton, Fla. : CRC Press, 1987.</t>
        </is>
      </c>
      <c r="O303" t="inlineStr">
        <is>
          <t>1987</t>
        </is>
      </c>
      <c r="Q303" t="inlineStr">
        <is>
          <t>eng</t>
        </is>
      </c>
      <c r="R303" t="inlineStr">
        <is>
          <t>xxu</t>
        </is>
      </c>
      <c r="T303" t="inlineStr">
        <is>
          <t xml:space="preserve">QV </t>
        </is>
      </c>
      <c r="U303" t="n">
        <v>6</v>
      </c>
      <c r="V303" t="n">
        <v>6</v>
      </c>
      <c r="W303" t="inlineStr">
        <is>
          <t>1990-05-14</t>
        </is>
      </c>
      <c r="X303" t="inlineStr">
        <is>
          <t>1990-05-14</t>
        </is>
      </c>
      <c r="Y303" t="inlineStr">
        <is>
          <t>1988-01-05</t>
        </is>
      </c>
      <c r="Z303" t="inlineStr">
        <is>
          <t>1988-01-05</t>
        </is>
      </c>
      <c r="AA303" t="n">
        <v>99</v>
      </c>
      <c r="AB303" t="n">
        <v>79</v>
      </c>
      <c r="AC303" t="n">
        <v>81</v>
      </c>
      <c r="AD303" t="n">
        <v>1</v>
      </c>
      <c r="AE303" t="n">
        <v>1</v>
      </c>
      <c r="AF303" t="n">
        <v>2</v>
      </c>
      <c r="AG303" t="n">
        <v>2</v>
      </c>
      <c r="AH303" t="n">
        <v>0</v>
      </c>
      <c r="AI303" t="n">
        <v>0</v>
      </c>
      <c r="AJ303" t="n">
        <v>2</v>
      </c>
      <c r="AK303" t="n">
        <v>2</v>
      </c>
      <c r="AL303" t="n">
        <v>1</v>
      </c>
      <c r="AM303" t="n">
        <v>1</v>
      </c>
      <c r="AN303" t="n">
        <v>0</v>
      </c>
      <c r="AO303" t="n">
        <v>0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HYPERLINK("http://catalog.hathitrust.org/Record/000836215","HathiTrust Record")</f>
        <v/>
      </c>
      <c r="AU303">
        <f>HYPERLINK("https://creighton-primo.hosted.exlibrisgroup.com/primo-explore/search?tab=default_tab&amp;search_scope=EVERYTHING&amp;vid=01CRU&amp;lang=en_US&amp;offset=0&amp;query=any,contains,991001536739702656","Catalog Record")</f>
        <v/>
      </c>
      <c r="AV303">
        <f>HYPERLINK("http://www.worldcat.org/oclc/15588697","WorldCat Record")</f>
        <v/>
      </c>
      <c r="AW303" t="inlineStr">
        <is>
          <t>10552771:eng</t>
        </is>
      </c>
      <c r="AX303" t="inlineStr">
        <is>
          <t>15588697</t>
        </is>
      </c>
      <c r="AY303" t="inlineStr">
        <is>
          <t>991001536739702656</t>
        </is>
      </c>
      <c r="AZ303" t="inlineStr">
        <is>
          <t>991001536739702656</t>
        </is>
      </c>
      <c r="BA303" t="inlineStr">
        <is>
          <t>2255179510002656</t>
        </is>
      </c>
      <c r="BB303" t="inlineStr">
        <is>
          <t>BOOK</t>
        </is>
      </c>
      <c r="BD303" t="inlineStr">
        <is>
          <t>9780849364778</t>
        </is>
      </c>
      <c r="BE303" t="inlineStr">
        <is>
          <t>30001000623233</t>
        </is>
      </c>
      <c r="BF303" t="inlineStr">
        <is>
          <t>893268589</t>
        </is>
      </c>
    </row>
    <row r="304">
      <c r="B304" t="inlineStr">
        <is>
          <t>CUHSL</t>
        </is>
      </c>
      <c r="C304" t="inlineStr">
        <is>
          <t>SHELVES</t>
        </is>
      </c>
      <c r="D304" t="inlineStr">
        <is>
          <t>QV81 A5787 2004</t>
        </is>
      </c>
      <c r="E304" t="inlineStr">
        <is>
          <t>0                      QV 0081000A  5787        2004</t>
        </is>
      </c>
      <c r="F304" t="inlineStr">
        <is>
          <t>Anesthetic pharmacology : physiologic principles and clinical practice : a companion to Miller's Anesthesia / [edited by] Alex S. Evers, Mervyn Maze.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N304" t="inlineStr">
        <is>
          <t>New York : Churchill Livingstone, c2004.</t>
        </is>
      </c>
      <c r="O304" t="inlineStr">
        <is>
          <t>2004</t>
        </is>
      </c>
      <c r="Q304" t="inlineStr">
        <is>
          <t>eng</t>
        </is>
      </c>
      <c r="R304" t="inlineStr">
        <is>
          <t>nyu</t>
        </is>
      </c>
      <c r="T304" t="inlineStr">
        <is>
          <t xml:space="preserve">QV </t>
        </is>
      </c>
      <c r="U304" t="n">
        <v>0</v>
      </c>
      <c r="V304" t="n">
        <v>0</v>
      </c>
      <c r="W304" t="inlineStr">
        <is>
          <t>2006-01-30</t>
        </is>
      </c>
      <c r="X304" t="inlineStr">
        <is>
          <t>2006-01-30</t>
        </is>
      </c>
      <c r="Y304" t="inlineStr">
        <is>
          <t>2006-01-19</t>
        </is>
      </c>
      <c r="Z304" t="inlineStr">
        <is>
          <t>2006-01-19</t>
        </is>
      </c>
      <c r="AA304" t="n">
        <v>181</v>
      </c>
      <c r="AB304" t="n">
        <v>106</v>
      </c>
      <c r="AC304" t="n">
        <v>111</v>
      </c>
      <c r="AD304" t="n">
        <v>1</v>
      </c>
      <c r="AE304" t="n">
        <v>1</v>
      </c>
      <c r="AF304" t="n">
        <v>7</v>
      </c>
      <c r="AG304" t="n">
        <v>7</v>
      </c>
      <c r="AH304" t="n">
        <v>4</v>
      </c>
      <c r="AI304" t="n">
        <v>4</v>
      </c>
      <c r="AJ304" t="n">
        <v>0</v>
      </c>
      <c r="AK304" t="n">
        <v>0</v>
      </c>
      <c r="AL304" t="n">
        <v>4</v>
      </c>
      <c r="AM304" t="n">
        <v>4</v>
      </c>
      <c r="AN304" t="n">
        <v>0</v>
      </c>
      <c r="AO304" t="n">
        <v>0</v>
      </c>
      <c r="AP304" t="n">
        <v>0</v>
      </c>
      <c r="AQ304" t="n">
        <v>0</v>
      </c>
      <c r="AR304" t="inlineStr">
        <is>
          <t>No</t>
        </is>
      </c>
      <c r="AS304" t="inlineStr">
        <is>
          <t>No</t>
        </is>
      </c>
      <c r="AU304">
        <f>HYPERLINK("https://creighton-primo.hosted.exlibrisgroup.com/primo-explore/search?tab=default_tab&amp;search_scope=EVERYTHING&amp;vid=01CRU&amp;lang=en_US&amp;offset=0&amp;query=any,contains,991000456199702656","Catalog Record")</f>
        <v/>
      </c>
      <c r="AV304">
        <f>HYPERLINK("http://www.worldcat.org/oclc/52424678","WorldCat Record")</f>
        <v/>
      </c>
      <c r="AW304" t="inlineStr">
        <is>
          <t>9657913368:eng</t>
        </is>
      </c>
      <c r="AX304" t="inlineStr">
        <is>
          <t>52424678</t>
        </is>
      </c>
      <c r="AY304" t="inlineStr">
        <is>
          <t>991000456199702656</t>
        </is>
      </c>
      <c r="AZ304" t="inlineStr">
        <is>
          <t>991000456199702656</t>
        </is>
      </c>
      <c r="BA304" t="inlineStr">
        <is>
          <t>2265285240002656</t>
        </is>
      </c>
      <c r="BB304" t="inlineStr">
        <is>
          <t>BOOK</t>
        </is>
      </c>
      <c r="BD304" t="inlineStr">
        <is>
          <t>9780443065798</t>
        </is>
      </c>
      <c r="BE304" t="inlineStr">
        <is>
          <t>30001004910545</t>
        </is>
      </c>
      <c r="BF304" t="inlineStr">
        <is>
          <t>893832816</t>
        </is>
      </c>
    </row>
    <row r="305">
      <c r="B305" t="inlineStr">
        <is>
          <t>CUHSL</t>
        </is>
      </c>
      <c r="C305" t="inlineStr">
        <is>
          <t>SHELVES</t>
        </is>
      </c>
      <c r="D305" t="inlineStr">
        <is>
          <t>QV 81 M972a 1991</t>
        </is>
      </c>
      <c r="E305" t="inlineStr">
        <is>
          <t>0                      QV 0081000M  972a        1991</t>
        </is>
      </c>
      <c r="F305" t="inlineStr">
        <is>
          <t>The anesthetic plan : from physiologic principles to clinical strategies / Stanley Muravchick.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M305" t="inlineStr">
        <is>
          <t>Muravchick, Stanley.</t>
        </is>
      </c>
      <c r="N305" t="inlineStr">
        <is>
          <t>St. Louis : Mosby Year Book, c1991.</t>
        </is>
      </c>
      <c r="O305" t="inlineStr">
        <is>
          <t>1991</t>
        </is>
      </c>
      <c r="Q305" t="inlineStr">
        <is>
          <t>eng</t>
        </is>
      </c>
      <c r="R305" t="inlineStr">
        <is>
          <t>mou</t>
        </is>
      </c>
      <c r="T305" t="inlineStr">
        <is>
          <t xml:space="preserve">QV </t>
        </is>
      </c>
      <c r="U305" t="n">
        <v>4</v>
      </c>
      <c r="V305" t="n">
        <v>4</v>
      </c>
      <c r="W305" t="inlineStr">
        <is>
          <t>1998-02-22</t>
        </is>
      </c>
      <c r="X305" t="inlineStr">
        <is>
          <t>1998-02-22</t>
        </is>
      </c>
      <c r="Y305" t="inlineStr">
        <is>
          <t>1992-06-04</t>
        </is>
      </c>
      <c r="Z305" t="inlineStr">
        <is>
          <t>1992-06-04</t>
        </is>
      </c>
      <c r="AA305" t="n">
        <v>110</v>
      </c>
      <c r="AB305" t="n">
        <v>81</v>
      </c>
      <c r="AC305" t="n">
        <v>83</v>
      </c>
      <c r="AD305" t="n">
        <v>1</v>
      </c>
      <c r="AE305" t="n">
        <v>1</v>
      </c>
      <c r="AF305" t="n">
        <v>2</v>
      </c>
      <c r="AG305" t="n">
        <v>2</v>
      </c>
      <c r="AH305" t="n">
        <v>0</v>
      </c>
      <c r="AI305" t="n">
        <v>0</v>
      </c>
      <c r="AJ305" t="n">
        <v>1</v>
      </c>
      <c r="AK305" t="n">
        <v>1</v>
      </c>
      <c r="AL305" t="n">
        <v>2</v>
      </c>
      <c r="AM305" t="n">
        <v>2</v>
      </c>
      <c r="AN305" t="n">
        <v>0</v>
      </c>
      <c r="AO305" t="n">
        <v>0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HYPERLINK("http://catalog.hathitrust.org/Record/002216158","HathiTrust Record")</f>
        <v/>
      </c>
      <c r="AU305">
        <f>HYPERLINK("https://creighton-primo.hosted.exlibrisgroup.com/primo-explore/search?tab=default_tab&amp;search_scope=EVERYTHING&amp;vid=01CRU&amp;lang=en_US&amp;offset=0&amp;query=any,contains,991001305309702656","Catalog Record")</f>
        <v/>
      </c>
      <c r="AV305">
        <f>HYPERLINK("http://www.worldcat.org/oclc/22006068","WorldCat Record")</f>
        <v/>
      </c>
      <c r="AW305" t="inlineStr">
        <is>
          <t>365250026:eng</t>
        </is>
      </c>
      <c r="AX305" t="inlineStr">
        <is>
          <t>22006068</t>
        </is>
      </c>
      <c r="AY305" t="inlineStr">
        <is>
          <t>991001305309702656</t>
        </is>
      </c>
      <c r="AZ305" t="inlineStr">
        <is>
          <t>991001305309702656</t>
        </is>
      </c>
      <c r="BA305" t="inlineStr">
        <is>
          <t>2265088370002656</t>
        </is>
      </c>
      <c r="BB305" t="inlineStr">
        <is>
          <t>BOOK</t>
        </is>
      </c>
      <c r="BD305" t="inlineStr">
        <is>
          <t>9780815162414</t>
        </is>
      </c>
      <c r="BE305" t="inlineStr">
        <is>
          <t>30001002413591</t>
        </is>
      </c>
      <c r="BF305" t="inlineStr">
        <is>
          <t>893557814</t>
        </is>
      </c>
    </row>
    <row r="306">
      <c r="B306" t="inlineStr">
        <is>
          <t>CUHSL</t>
        </is>
      </c>
      <c r="C306" t="inlineStr">
        <is>
          <t>SHELVES</t>
        </is>
      </c>
      <c r="D306" t="inlineStr">
        <is>
          <t>QV 81 N731 1985</t>
        </is>
      </c>
      <c r="E306" t="inlineStr">
        <is>
          <t>0                      QV 0081000N  731         1985</t>
        </is>
      </c>
      <c r="F306" t="inlineStr">
        <is>
          <t>Nitrous oxide/NO2 / edited by Edmond I. Eger II.</t>
        </is>
      </c>
      <c r="H306" t="inlineStr">
        <is>
          <t>No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N306" t="inlineStr">
        <is>
          <t>New York : Elsevier, c1985.</t>
        </is>
      </c>
      <c r="O306" t="inlineStr">
        <is>
          <t>1985</t>
        </is>
      </c>
      <c r="Q306" t="inlineStr">
        <is>
          <t>eng</t>
        </is>
      </c>
      <c r="R306" t="inlineStr">
        <is>
          <t xml:space="preserve">xx </t>
        </is>
      </c>
      <c r="T306" t="inlineStr">
        <is>
          <t xml:space="preserve">QV </t>
        </is>
      </c>
      <c r="U306" t="n">
        <v>11</v>
      </c>
      <c r="V306" t="n">
        <v>11</v>
      </c>
      <c r="W306" t="inlineStr">
        <is>
          <t>2009-05-18</t>
        </is>
      </c>
      <c r="X306" t="inlineStr">
        <is>
          <t>2009-05-18</t>
        </is>
      </c>
      <c r="Y306" t="inlineStr">
        <is>
          <t>1988-02-08</t>
        </is>
      </c>
      <c r="Z306" t="inlineStr">
        <is>
          <t>1988-02-08</t>
        </is>
      </c>
      <c r="AA306" t="n">
        <v>141</v>
      </c>
      <c r="AB306" t="n">
        <v>126</v>
      </c>
      <c r="AC306" t="n">
        <v>133</v>
      </c>
      <c r="AD306" t="n">
        <v>1</v>
      </c>
      <c r="AE306" t="n">
        <v>1</v>
      </c>
      <c r="AF306" t="n">
        <v>2</v>
      </c>
      <c r="AG306" t="n">
        <v>2</v>
      </c>
      <c r="AH306" t="n">
        <v>1</v>
      </c>
      <c r="AI306" t="n">
        <v>1</v>
      </c>
      <c r="AJ306" t="n">
        <v>0</v>
      </c>
      <c r="AK306" t="n">
        <v>0</v>
      </c>
      <c r="AL306" t="n">
        <v>1</v>
      </c>
      <c r="AM306" t="n">
        <v>1</v>
      </c>
      <c r="AN306" t="n">
        <v>0</v>
      </c>
      <c r="AO306" t="n">
        <v>0</v>
      </c>
      <c r="AP306" t="n">
        <v>0</v>
      </c>
      <c r="AQ306" t="n">
        <v>0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HYPERLINK("http://catalog.hathitrust.org/Record/000286979","HathiTrust Record")</f>
        <v/>
      </c>
      <c r="AU306">
        <f>HYPERLINK("https://creighton-primo.hosted.exlibrisgroup.com/primo-explore/search?tab=default_tab&amp;search_scope=EVERYTHING&amp;vid=01CRU&amp;lang=en_US&amp;offset=0&amp;query=any,contains,991000958779702656","Catalog Record")</f>
        <v/>
      </c>
      <c r="AV306">
        <f>HYPERLINK("http://www.worldcat.org/oclc/10726873","WorldCat Record")</f>
        <v/>
      </c>
      <c r="AW306" t="inlineStr">
        <is>
          <t>54636557:eng</t>
        </is>
      </c>
      <c r="AX306" t="inlineStr">
        <is>
          <t>10726873</t>
        </is>
      </c>
      <c r="AY306" t="inlineStr">
        <is>
          <t>991000958779702656</t>
        </is>
      </c>
      <c r="AZ306" t="inlineStr">
        <is>
          <t>991000958779702656</t>
        </is>
      </c>
      <c r="BA306" t="inlineStr">
        <is>
          <t>2259149190002656</t>
        </is>
      </c>
      <c r="BB306" t="inlineStr">
        <is>
          <t>BOOK</t>
        </is>
      </c>
      <c r="BD306" t="inlineStr">
        <is>
          <t>9780444008602</t>
        </is>
      </c>
      <c r="BE306" t="inlineStr">
        <is>
          <t>30001000195687</t>
        </is>
      </c>
      <c r="BF306" t="inlineStr">
        <is>
          <t>893740611</t>
        </is>
      </c>
    </row>
    <row r="307">
      <c r="B307" t="inlineStr">
        <is>
          <t>CUHSL</t>
        </is>
      </c>
      <c r="C307" t="inlineStr">
        <is>
          <t>SHELVES</t>
        </is>
      </c>
      <c r="D307" t="inlineStr">
        <is>
          <t>QV 81 S872p 1999</t>
        </is>
      </c>
      <c r="E307" t="inlineStr">
        <is>
          <t>0                      QV 0081000S  872p        1999</t>
        </is>
      </c>
      <c r="F307" t="inlineStr">
        <is>
          <t>Pharmacology and physiology in anesthetic practice / Robert K. Stoelting.</t>
        </is>
      </c>
      <c r="H307" t="inlineStr">
        <is>
          <t>No</t>
        </is>
      </c>
      <c r="I307" t="inlineStr">
        <is>
          <t>1</t>
        </is>
      </c>
      <c r="J307" t="inlineStr">
        <is>
          <t>No</t>
        </is>
      </c>
      <c r="K307" t="inlineStr">
        <is>
          <t>Yes</t>
        </is>
      </c>
      <c r="L307" t="inlineStr">
        <is>
          <t>0</t>
        </is>
      </c>
      <c r="M307" t="inlineStr">
        <is>
          <t>Stoelting, Robert K.</t>
        </is>
      </c>
      <c r="N307" t="inlineStr">
        <is>
          <t>Philadelphia : Lippincott-Raven, c1999.</t>
        </is>
      </c>
      <c r="O307" t="inlineStr">
        <is>
          <t>1999</t>
        </is>
      </c>
      <c r="P307" t="inlineStr">
        <is>
          <t>3rd ed.</t>
        </is>
      </c>
      <c r="Q307" t="inlineStr">
        <is>
          <t>eng</t>
        </is>
      </c>
      <c r="R307" t="inlineStr">
        <is>
          <t>pau</t>
        </is>
      </c>
      <c r="T307" t="inlineStr">
        <is>
          <t xml:space="preserve">QV </t>
        </is>
      </c>
      <c r="U307" t="n">
        <v>4</v>
      </c>
      <c r="V307" t="n">
        <v>4</v>
      </c>
      <c r="W307" t="inlineStr">
        <is>
          <t>1999-11-04</t>
        </is>
      </c>
      <c r="X307" t="inlineStr">
        <is>
          <t>1999-11-04</t>
        </is>
      </c>
      <c r="Y307" t="inlineStr">
        <is>
          <t>1999-11-04</t>
        </is>
      </c>
      <c r="Z307" t="inlineStr">
        <is>
          <t>1999-11-04</t>
        </is>
      </c>
      <c r="AA307" t="n">
        <v>159</v>
      </c>
      <c r="AB307" t="n">
        <v>118</v>
      </c>
      <c r="AC307" t="n">
        <v>298</v>
      </c>
      <c r="AD307" t="n">
        <v>1</v>
      </c>
      <c r="AE307" t="n">
        <v>3</v>
      </c>
      <c r="AF307" t="n">
        <v>3</v>
      </c>
      <c r="AG307" t="n">
        <v>13</v>
      </c>
      <c r="AH307" t="n">
        <v>0</v>
      </c>
      <c r="AI307" t="n">
        <v>5</v>
      </c>
      <c r="AJ307" t="n">
        <v>1</v>
      </c>
      <c r="AK307" t="n">
        <v>3</v>
      </c>
      <c r="AL307" t="n">
        <v>2</v>
      </c>
      <c r="AM307" t="n">
        <v>4</v>
      </c>
      <c r="AN307" t="n">
        <v>0</v>
      </c>
      <c r="AO307" t="n">
        <v>2</v>
      </c>
      <c r="AP307" t="n">
        <v>0</v>
      </c>
      <c r="AQ307" t="n">
        <v>0</v>
      </c>
      <c r="AR307" t="inlineStr">
        <is>
          <t>No</t>
        </is>
      </c>
      <c r="AS307" t="inlineStr">
        <is>
          <t>No</t>
        </is>
      </c>
      <c r="AU307">
        <f>HYPERLINK("https://creighton-primo.hosted.exlibrisgroup.com/primo-explore/search?tab=default_tab&amp;search_scope=EVERYTHING&amp;vid=01CRU&amp;lang=en_US&amp;offset=0&amp;query=any,contains,991001408299702656","Catalog Record")</f>
        <v/>
      </c>
      <c r="AV307">
        <f>HYPERLINK("http://www.worldcat.org/oclc/39399630","WorldCat Record")</f>
        <v/>
      </c>
      <c r="AW307" t="inlineStr">
        <is>
          <t>179719:eng</t>
        </is>
      </c>
      <c r="AX307" t="inlineStr">
        <is>
          <t>39399630</t>
        </is>
      </c>
      <c r="AY307" t="inlineStr">
        <is>
          <t>991001408299702656</t>
        </is>
      </c>
      <c r="AZ307" t="inlineStr">
        <is>
          <t>991001408299702656</t>
        </is>
      </c>
      <c r="BA307" t="inlineStr">
        <is>
          <t>2267802000002656</t>
        </is>
      </c>
      <c r="BB307" t="inlineStr">
        <is>
          <t>BOOK</t>
        </is>
      </c>
      <c r="BD307" t="inlineStr">
        <is>
          <t>9780781716215</t>
        </is>
      </c>
      <c r="BE307" t="inlineStr">
        <is>
          <t>30001003830033</t>
        </is>
      </c>
      <c r="BF307" t="inlineStr">
        <is>
          <t>893358542</t>
        </is>
      </c>
    </row>
    <row r="308">
      <c r="B308" t="inlineStr">
        <is>
          <t>CUHSL</t>
        </is>
      </c>
      <c r="C308" t="inlineStr">
        <is>
          <t>SHELVES</t>
        </is>
      </c>
      <c r="D308" t="inlineStr">
        <is>
          <t>QV 81 S872p 2006</t>
        </is>
      </c>
      <c r="E308" t="inlineStr">
        <is>
          <t>0                      QV 0081000S  872p        2006</t>
        </is>
      </c>
      <c r="F308" t="inlineStr">
        <is>
          <t>Pharmacology &amp; physiology in anesthetic practice / [edited by] Robert K. Stoelting, Simon C. Hillier.</t>
        </is>
      </c>
      <c r="H308" t="inlineStr">
        <is>
          <t>No</t>
        </is>
      </c>
      <c r="I308" t="inlineStr">
        <is>
          <t>1</t>
        </is>
      </c>
      <c r="J308" t="inlineStr">
        <is>
          <t>No</t>
        </is>
      </c>
      <c r="K308" t="inlineStr">
        <is>
          <t>Yes</t>
        </is>
      </c>
      <c r="L308" t="inlineStr">
        <is>
          <t>0</t>
        </is>
      </c>
      <c r="N308" t="inlineStr">
        <is>
          <t>Philadelphia : Lippincott Williams &amp; Wilkins, c2006.</t>
        </is>
      </c>
      <c r="O308" t="inlineStr">
        <is>
          <t>2006</t>
        </is>
      </c>
      <c r="P308" t="inlineStr">
        <is>
          <t>4th ed.</t>
        </is>
      </c>
      <c r="Q308" t="inlineStr">
        <is>
          <t>eng</t>
        </is>
      </c>
      <c r="R308" t="inlineStr">
        <is>
          <t>pau</t>
        </is>
      </c>
      <c r="T308" t="inlineStr">
        <is>
          <t xml:space="preserve">QV </t>
        </is>
      </c>
      <c r="U308" t="n">
        <v>0</v>
      </c>
      <c r="V308" t="n">
        <v>0</v>
      </c>
      <c r="W308" t="inlineStr">
        <is>
          <t>2007-02-09</t>
        </is>
      </c>
      <c r="X308" t="inlineStr">
        <is>
          <t>2007-02-09</t>
        </is>
      </c>
      <c r="Y308" t="inlineStr">
        <is>
          <t>2007-02-08</t>
        </is>
      </c>
      <c r="Z308" t="inlineStr">
        <is>
          <t>2007-02-08</t>
        </is>
      </c>
      <c r="AA308" t="n">
        <v>251</v>
      </c>
      <c r="AB308" t="n">
        <v>154</v>
      </c>
      <c r="AC308" t="n">
        <v>298</v>
      </c>
      <c r="AD308" t="n">
        <v>3</v>
      </c>
      <c r="AE308" t="n">
        <v>3</v>
      </c>
      <c r="AF308" t="n">
        <v>10</v>
      </c>
      <c r="AG308" t="n">
        <v>13</v>
      </c>
      <c r="AH308" t="n">
        <v>5</v>
      </c>
      <c r="AI308" t="n">
        <v>5</v>
      </c>
      <c r="AJ308" t="n">
        <v>1</v>
      </c>
      <c r="AK308" t="n">
        <v>3</v>
      </c>
      <c r="AL308" t="n">
        <v>3</v>
      </c>
      <c r="AM308" t="n">
        <v>4</v>
      </c>
      <c r="AN308" t="n">
        <v>2</v>
      </c>
      <c r="AO308" t="n">
        <v>2</v>
      </c>
      <c r="AP308" t="n">
        <v>0</v>
      </c>
      <c r="AQ308" t="n">
        <v>0</v>
      </c>
      <c r="AR308" t="inlineStr">
        <is>
          <t>No</t>
        </is>
      </c>
      <c r="AS308" t="inlineStr">
        <is>
          <t>No</t>
        </is>
      </c>
      <c r="AU308">
        <f>HYPERLINK("https://creighton-primo.hosted.exlibrisgroup.com/primo-explore/search?tab=default_tab&amp;search_scope=EVERYTHING&amp;vid=01CRU&amp;lang=en_US&amp;offset=0&amp;query=any,contains,991000593409702656","Catalog Record")</f>
        <v/>
      </c>
      <c r="AV308">
        <f>HYPERLINK("http://www.worldcat.org/oclc/60903259","WorldCat Record")</f>
        <v/>
      </c>
      <c r="AW308" t="inlineStr">
        <is>
          <t>179719:eng</t>
        </is>
      </c>
      <c r="AX308" t="inlineStr">
        <is>
          <t>60903259</t>
        </is>
      </c>
      <c r="AY308" t="inlineStr">
        <is>
          <t>991000593409702656</t>
        </is>
      </c>
      <c r="AZ308" t="inlineStr">
        <is>
          <t>991000593409702656</t>
        </is>
      </c>
      <c r="BA308" t="inlineStr">
        <is>
          <t>2269764830002656</t>
        </is>
      </c>
      <c r="BB308" t="inlineStr">
        <is>
          <t>BOOK</t>
        </is>
      </c>
      <c r="BD308" t="inlineStr">
        <is>
          <t>9780781754699</t>
        </is>
      </c>
      <c r="BE308" t="inlineStr">
        <is>
          <t>30001005170032</t>
        </is>
      </c>
      <c r="BF308" t="inlineStr">
        <is>
          <t>893146393</t>
        </is>
      </c>
    </row>
    <row r="309">
      <c r="B309" t="inlineStr">
        <is>
          <t>CUHSL</t>
        </is>
      </c>
      <c r="C309" t="inlineStr">
        <is>
          <t>SHELVES</t>
        </is>
      </c>
      <c r="D309" t="inlineStr">
        <is>
          <t>QV 84 A3546 1985</t>
        </is>
      </c>
      <c r="E309" t="inlineStr">
        <is>
          <t>0                      QV 0084000A  3546        1985</t>
        </is>
      </c>
      <c r="F309" t="inlineStr">
        <is>
          <t>Alcohol related diseases in gastroenterology / edited by H.K. Seitz and B. Kommerell.</t>
        </is>
      </c>
      <c r="H309" t="inlineStr">
        <is>
          <t>No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Berlin ; New York : Springer-Verlag, c1985.</t>
        </is>
      </c>
      <c r="O309" t="inlineStr">
        <is>
          <t>1985</t>
        </is>
      </c>
      <c r="Q309" t="inlineStr">
        <is>
          <t>eng</t>
        </is>
      </c>
      <c r="R309" t="inlineStr">
        <is>
          <t xml:space="preserve">xx </t>
        </is>
      </c>
      <c r="T309" t="inlineStr">
        <is>
          <t xml:space="preserve">QV </t>
        </is>
      </c>
      <c r="U309" t="n">
        <v>7</v>
      </c>
      <c r="V309" t="n">
        <v>7</v>
      </c>
      <c r="W309" t="inlineStr">
        <is>
          <t>1995-04-22</t>
        </is>
      </c>
      <c r="X309" t="inlineStr">
        <is>
          <t>1995-04-22</t>
        </is>
      </c>
      <c r="Y309" t="inlineStr">
        <is>
          <t>1988-02-08</t>
        </is>
      </c>
      <c r="Z309" t="inlineStr">
        <is>
          <t>1988-02-08</t>
        </is>
      </c>
      <c r="AA309" t="n">
        <v>104</v>
      </c>
      <c r="AB309" t="n">
        <v>79</v>
      </c>
      <c r="AC309" t="n">
        <v>102</v>
      </c>
      <c r="AD309" t="n">
        <v>1</v>
      </c>
      <c r="AE309" t="n">
        <v>1</v>
      </c>
      <c r="AF309" t="n">
        <v>1</v>
      </c>
      <c r="AG309" t="n">
        <v>1</v>
      </c>
      <c r="AH309" t="n">
        <v>0</v>
      </c>
      <c r="AI309" t="n">
        <v>0</v>
      </c>
      <c r="AJ309" t="n">
        <v>0</v>
      </c>
      <c r="AK309" t="n">
        <v>0</v>
      </c>
      <c r="AL309" t="n">
        <v>1</v>
      </c>
      <c r="AM309" t="n">
        <v>1</v>
      </c>
      <c r="AN309" t="n">
        <v>0</v>
      </c>
      <c r="AO309" t="n">
        <v>0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HYPERLINK("http://catalog.hathitrust.org/Record/000612400","HathiTrust Record")</f>
        <v/>
      </c>
      <c r="AU309">
        <f>HYPERLINK("https://creighton-primo.hosted.exlibrisgroup.com/primo-explore/search?tab=default_tab&amp;search_scope=EVERYTHING&amp;vid=01CRU&amp;lang=en_US&amp;offset=0&amp;query=any,contains,991000958699702656","Catalog Record")</f>
        <v/>
      </c>
      <c r="AV309">
        <f>HYPERLINK("http://www.worldcat.org/oclc/11784407","WorldCat Record")</f>
        <v/>
      </c>
      <c r="AW309" t="inlineStr">
        <is>
          <t>355675968:eng</t>
        </is>
      </c>
      <c r="AX309" t="inlineStr">
        <is>
          <t>11784407</t>
        </is>
      </c>
      <c r="AY309" t="inlineStr">
        <is>
          <t>991000958699702656</t>
        </is>
      </c>
      <c r="AZ309" t="inlineStr">
        <is>
          <t>991000958699702656</t>
        </is>
      </c>
      <c r="BA309" t="inlineStr">
        <is>
          <t>2256847770002656</t>
        </is>
      </c>
      <c r="BB309" t="inlineStr">
        <is>
          <t>BOOK</t>
        </is>
      </c>
      <c r="BD309" t="inlineStr">
        <is>
          <t>9780387138152</t>
        </is>
      </c>
      <c r="BE309" t="inlineStr">
        <is>
          <t>30001000195679</t>
        </is>
      </c>
      <c r="BF309" t="inlineStr">
        <is>
          <t>893460168</t>
        </is>
      </c>
    </row>
    <row r="310">
      <c r="B310" t="inlineStr">
        <is>
          <t>CUHSL</t>
        </is>
      </c>
      <c r="C310" t="inlineStr">
        <is>
          <t>SHELVES</t>
        </is>
      </c>
      <c r="D310" t="inlineStr">
        <is>
          <t>QV 84 A427a 1900</t>
        </is>
      </c>
      <c r="E310" t="inlineStr">
        <is>
          <t>0                      QV 0084000A  427a        1900</t>
        </is>
      </c>
      <c r="F310" t="inlineStr">
        <is>
          <t>Alcohol, a dangerous and unnecessary medicine : how and why; what medical writers say / by Martha M. Allen.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Allen, Martha M. (Martha Meir), 1854-1926.</t>
        </is>
      </c>
      <c r="N310" t="inlineStr">
        <is>
          <t>Marcellus, N. Y. : National Woman's Christian Temperance Union c1900.</t>
        </is>
      </c>
      <c r="O310" t="inlineStr">
        <is>
          <t>1900</t>
        </is>
      </c>
      <c r="Q310" t="inlineStr">
        <is>
          <t>eng</t>
        </is>
      </c>
      <c r="R310" t="inlineStr">
        <is>
          <t>nyu</t>
        </is>
      </c>
      <c r="T310" t="inlineStr">
        <is>
          <t xml:space="preserve">QV </t>
        </is>
      </c>
      <c r="U310" t="n">
        <v>3</v>
      </c>
      <c r="V310" t="n">
        <v>3</v>
      </c>
      <c r="W310" t="inlineStr">
        <is>
          <t>1995-04-05</t>
        </is>
      </c>
      <c r="X310" t="inlineStr">
        <is>
          <t>1995-04-05</t>
        </is>
      </c>
      <c r="Y310" t="inlineStr">
        <is>
          <t>1988-02-08</t>
        </is>
      </c>
      <c r="Z310" t="inlineStr">
        <is>
          <t>1988-02-08</t>
        </is>
      </c>
      <c r="AA310" t="n">
        <v>65</v>
      </c>
      <c r="AB310" t="n">
        <v>57</v>
      </c>
      <c r="AC310" t="n">
        <v>141</v>
      </c>
      <c r="AD310" t="n">
        <v>1</v>
      </c>
      <c r="AE310" t="n">
        <v>2</v>
      </c>
      <c r="AF310" t="n">
        <v>3</v>
      </c>
      <c r="AG310" t="n">
        <v>5</v>
      </c>
      <c r="AH310" t="n">
        <v>1</v>
      </c>
      <c r="AI310" t="n">
        <v>1</v>
      </c>
      <c r="AJ310" t="n">
        <v>2</v>
      </c>
      <c r="AK310" t="n">
        <v>3</v>
      </c>
      <c r="AL310" t="n">
        <v>0</v>
      </c>
      <c r="AM310" t="n">
        <v>0</v>
      </c>
      <c r="AN310" t="n">
        <v>0</v>
      </c>
      <c r="AO310" t="n">
        <v>1</v>
      </c>
      <c r="AP310" t="n">
        <v>0</v>
      </c>
      <c r="AQ310" t="n">
        <v>0</v>
      </c>
      <c r="AR310" t="inlineStr">
        <is>
          <t>Yes</t>
        </is>
      </c>
      <c r="AS310" t="inlineStr">
        <is>
          <t>No</t>
        </is>
      </c>
      <c r="AT310">
        <f>HYPERLINK("http://catalog.hathitrust.org/Record/002081540","HathiTrust Record")</f>
        <v/>
      </c>
      <c r="AU310">
        <f>HYPERLINK("https://creighton-primo.hosted.exlibrisgroup.com/primo-explore/search?tab=default_tab&amp;search_scope=EVERYTHING&amp;vid=01CRU&amp;lang=en_US&amp;offset=0&amp;query=any,contains,991000958609702656","Catalog Record")</f>
        <v/>
      </c>
      <c r="AV310">
        <f>HYPERLINK("http://www.worldcat.org/oclc/3595867","WorldCat Record")</f>
        <v/>
      </c>
      <c r="AW310" t="inlineStr">
        <is>
          <t>428818624:eng</t>
        </is>
      </c>
      <c r="AX310" t="inlineStr">
        <is>
          <t>3595867</t>
        </is>
      </c>
      <c r="AY310" t="inlineStr">
        <is>
          <t>991000958609702656</t>
        </is>
      </c>
      <c r="AZ310" t="inlineStr">
        <is>
          <t>991000958609702656</t>
        </is>
      </c>
      <c r="BA310" t="inlineStr">
        <is>
          <t>2260146990002656</t>
        </is>
      </c>
      <c r="BB310" t="inlineStr">
        <is>
          <t>BOOK</t>
        </is>
      </c>
      <c r="BE310" t="inlineStr">
        <is>
          <t>30001000195661</t>
        </is>
      </c>
      <c r="BF310" t="inlineStr">
        <is>
          <t>893637885</t>
        </is>
      </c>
    </row>
    <row r="311">
      <c r="B311" t="inlineStr">
        <is>
          <t>CUHSL</t>
        </is>
      </c>
      <c r="C311" t="inlineStr">
        <is>
          <t>SHELVES</t>
        </is>
      </c>
      <c r="D311" t="inlineStr">
        <is>
          <t>QV 84 B616 1979</t>
        </is>
      </c>
      <c r="E311" t="inlineStr">
        <is>
          <t>0                      QV 0084000B  616         1979</t>
        </is>
      </c>
      <c r="F311" t="inlineStr">
        <is>
          <t>Biochemistry and pharmacology of ethanol / edited by Edward Majchrowicz and Ernest P. Noble.</t>
        </is>
      </c>
      <c r="G311" t="inlineStr">
        <is>
          <t>V. 1</t>
        </is>
      </c>
      <c r="H311" t="inlineStr">
        <is>
          <t>Yes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N311" t="inlineStr">
        <is>
          <t>New York : Plenum Press, c1979.</t>
        </is>
      </c>
      <c r="O311" t="inlineStr">
        <is>
          <t>1979</t>
        </is>
      </c>
      <c r="Q311" t="inlineStr">
        <is>
          <t>eng</t>
        </is>
      </c>
      <c r="R311" t="inlineStr">
        <is>
          <t>nyu</t>
        </is>
      </c>
      <c r="T311" t="inlineStr">
        <is>
          <t xml:space="preserve">QV </t>
        </is>
      </c>
      <c r="U311" t="n">
        <v>7</v>
      </c>
      <c r="V311" t="n">
        <v>16</v>
      </c>
      <c r="W311" t="inlineStr">
        <is>
          <t>1995-04-05</t>
        </is>
      </c>
      <c r="X311" t="inlineStr">
        <is>
          <t>1995-04-05</t>
        </is>
      </c>
      <c r="Y311" t="inlineStr">
        <is>
          <t>1988-02-08</t>
        </is>
      </c>
      <c r="Z311" t="inlineStr">
        <is>
          <t>1988-02-08</t>
        </is>
      </c>
      <c r="AA311" t="n">
        <v>284</v>
      </c>
      <c r="AB311" t="n">
        <v>215</v>
      </c>
      <c r="AC311" t="n">
        <v>218</v>
      </c>
      <c r="AD311" t="n">
        <v>2</v>
      </c>
      <c r="AE311" t="n">
        <v>2</v>
      </c>
      <c r="AF311" t="n">
        <v>8</v>
      </c>
      <c r="AG311" t="n">
        <v>8</v>
      </c>
      <c r="AH311" t="n">
        <v>2</v>
      </c>
      <c r="AI311" t="n">
        <v>2</v>
      </c>
      <c r="AJ311" t="n">
        <v>2</v>
      </c>
      <c r="AK311" t="n">
        <v>2</v>
      </c>
      <c r="AL311" t="n">
        <v>5</v>
      </c>
      <c r="AM311" t="n">
        <v>5</v>
      </c>
      <c r="AN311" t="n">
        <v>1</v>
      </c>
      <c r="AO311" t="n">
        <v>1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HYPERLINK("http://catalog.hathitrust.org/Record/000259893","HathiTrust Record")</f>
        <v/>
      </c>
      <c r="AU311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V311">
        <f>HYPERLINK("http://www.worldcat.org/oclc/4638224","WorldCat Record")</f>
        <v/>
      </c>
      <c r="AW311" t="inlineStr">
        <is>
          <t>3858055200:eng</t>
        </is>
      </c>
      <c r="AX311" t="inlineStr">
        <is>
          <t>4638224</t>
        </is>
      </c>
      <c r="AY311" t="inlineStr">
        <is>
          <t>991000958649702656</t>
        </is>
      </c>
      <c r="AZ311" t="inlineStr">
        <is>
          <t>991000958649702656</t>
        </is>
      </c>
      <c r="BA311" t="inlineStr">
        <is>
          <t>2256059130002656</t>
        </is>
      </c>
      <c r="BB311" t="inlineStr">
        <is>
          <t>BOOK</t>
        </is>
      </c>
      <c r="BD311" t="inlineStr">
        <is>
          <t>9780306401251</t>
        </is>
      </c>
      <c r="BE311" t="inlineStr">
        <is>
          <t>30001000195653</t>
        </is>
      </c>
      <c r="BF311" t="inlineStr">
        <is>
          <t>893374130</t>
        </is>
      </c>
    </row>
    <row r="312">
      <c r="B312" t="inlineStr">
        <is>
          <t>CUHSL</t>
        </is>
      </c>
      <c r="C312" t="inlineStr">
        <is>
          <t>SHELVES</t>
        </is>
      </c>
      <c r="D312" t="inlineStr">
        <is>
          <t>QV 84 B616 1979</t>
        </is>
      </c>
      <c r="E312" t="inlineStr">
        <is>
          <t>0                      QV 0084000B  616         1979</t>
        </is>
      </c>
      <c r="F312" t="inlineStr">
        <is>
          <t>Biochemistry and pharmacology of ethanol / edited by Edward Majchrowicz and Ernest P. Noble.</t>
        </is>
      </c>
      <c r="G312" t="inlineStr">
        <is>
          <t>V. 2</t>
        </is>
      </c>
      <c r="H312" t="inlineStr">
        <is>
          <t>Yes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N312" t="inlineStr">
        <is>
          <t>New York : Plenum Press, c1979.</t>
        </is>
      </c>
      <c r="O312" t="inlineStr">
        <is>
          <t>1979</t>
        </is>
      </c>
      <c r="Q312" t="inlineStr">
        <is>
          <t>eng</t>
        </is>
      </c>
      <c r="R312" t="inlineStr">
        <is>
          <t>nyu</t>
        </is>
      </c>
      <c r="T312" t="inlineStr">
        <is>
          <t xml:space="preserve">QV </t>
        </is>
      </c>
      <c r="U312" t="n">
        <v>9</v>
      </c>
      <c r="V312" t="n">
        <v>16</v>
      </c>
      <c r="W312" t="inlineStr">
        <is>
          <t>1995-04-05</t>
        </is>
      </c>
      <c r="X312" t="inlineStr">
        <is>
          <t>1995-04-05</t>
        </is>
      </c>
      <c r="Y312" t="inlineStr">
        <is>
          <t>1988-02-08</t>
        </is>
      </c>
      <c r="Z312" t="inlineStr">
        <is>
          <t>1988-02-08</t>
        </is>
      </c>
      <c r="AA312" t="n">
        <v>284</v>
      </c>
      <c r="AB312" t="n">
        <v>215</v>
      </c>
      <c r="AC312" t="n">
        <v>218</v>
      </c>
      <c r="AD312" t="n">
        <v>2</v>
      </c>
      <c r="AE312" t="n">
        <v>2</v>
      </c>
      <c r="AF312" t="n">
        <v>8</v>
      </c>
      <c r="AG312" t="n">
        <v>8</v>
      </c>
      <c r="AH312" t="n">
        <v>2</v>
      </c>
      <c r="AI312" t="n">
        <v>2</v>
      </c>
      <c r="AJ312" t="n">
        <v>2</v>
      </c>
      <c r="AK312" t="n">
        <v>2</v>
      </c>
      <c r="AL312" t="n">
        <v>5</v>
      </c>
      <c r="AM312" t="n">
        <v>5</v>
      </c>
      <c r="AN312" t="n">
        <v>1</v>
      </c>
      <c r="AO312" t="n">
        <v>1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HYPERLINK("http://catalog.hathitrust.org/Record/000259893","HathiTrust Record")</f>
        <v/>
      </c>
      <c r="AU312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V312">
        <f>HYPERLINK("http://www.worldcat.org/oclc/4638224","WorldCat Record")</f>
        <v/>
      </c>
      <c r="AW312" t="inlineStr">
        <is>
          <t>3858055200:eng</t>
        </is>
      </c>
      <c r="AX312" t="inlineStr">
        <is>
          <t>4638224</t>
        </is>
      </c>
      <c r="AY312" t="inlineStr">
        <is>
          <t>991000958649702656</t>
        </is>
      </c>
      <c r="AZ312" t="inlineStr">
        <is>
          <t>991000958649702656</t>
        </is>
      </c>
      <c r="BA312" t="inlineStr">
        <is>
          <t>2256059130002656</t>
        </is>
      </c>
      <c r="BB312" t="inlineStr">
        <is>
          <t>BOOK</t>
        </is>
      </c>
      <c r="BD312" t="inlineStr">
        <is>
          <t>9780306401251</t>
        </is>
      </c>
      <c r="BE312" t="inlineStr">
        <is>
          <t>30001000195646</t>
        </is>
      </c>
      <c r="BF312" t="inlineStr">
        <is>
          <t>893374129</t>
        </is>
      </c>
    </row>
    <row r="313">
      <c r="B313" t="inlineStr">
        <is>
          <t>CUHSL</t>
        </is>
      </c>
      <c r="C313" t="inlineStr">
        <is>
          <t>SHELVES</t>
        </is>
      </c>
      <c r="D313" t="inlineStr">
        <is>
          <t>QV 84 G624p 1983</t>
        </is>
      </c>
      <c r="E313" t="inlineStr">
        <is>
          <t>0                      QV 0084000G  624p        1983</t>
        </is>
      </c>
      <c r="F313" t="inlineStr">
        <is>
          <t>Pharmacology of alcohol / Dora B. Goldstein.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Goldstein, Dora B.</t>
        </is>
      </c>
      <c r="N313" t="inlineStr">
        <is>
          <t>New York : Oxford University Press, c1983.</t>
        </is>
      </c>
      <c r="O313" t="inlineStr">
        <is>
          <t>1983</t>
        </is>
      </c>
      <c r="Q313" t="inlineStr">
        <is>
          <t>eng</t>
        </is>
      </c>
      <c r="R313" t="inlineStr">
        <is>
          <t>xxu</t>
        </is>
      </c>
      <c r="T313" t="inlineStr">
        <is>
          <t xml:space="preserve">QV </t>
        </is>
      </c>
      <c r="U313" t="n">
        <v>10</v>
      </c>
      <c r="V313" t="n">
        <v>10</v>
      </c>
      <c r="W313" t="inlineStr">
        <is>
          <t>1995-04-05</t>
        </is>
      </c>
      <c r="X313" t="inlineStr">
        <is>
          <t>1995-04-05</t>
        </is>
      </c>
      <c r="Y313" t="inlineStr">
        <is>
          <t>1988-02-08</t>
        </is>
      </c>
      <c r="Z313" t="inlineStr">
        <is>
          <t>1988-02-08</t>
        </is>
      </c>
      <c r="AA313" t="n">
        <v>316</v>
      </c>
      <c r="AB313" t="n">
        <v>262</v>
      </c>
      <c r="AC313" t="n">
        <v>269</v>
      </c>
      <c r="AD313" t="n">
        <v>2</v>
      </c>
      <c r="AE313" t="n">
        <v>2</v>
      </c>
      <c r="AF313" t="n">
        <v>11</v>
      </c>
      <c r="AG313" t="n">
        <v>11</v>
      </c>
      <c r="AH313" t="n">
        <v>4</v>
      </c>
      <c r="AI313" t="n">
        <v>4</v>
      </c>
      <c r="AJ313" t="n">
        <v>3</v>
      </c>
      <c r="AK313" t="n">
        <v>3</v>
      </c>
      <c r="AL313" t="n">
        <v>7</v>
      </c>
      <c r="AM313" t="n">
        <v>7</v>
      </c>
      <c r="AN313" t="n">
        <v>1</v>
      </c>
      <c r="AO313" t="n">
        <v>1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HYPERLINK("http://catalog.hathitrust.org/Record/000205220","HathiTrust Record")</f>
        <v/>
      </c>
      <c r="AU313">
        <f>HYPERLINK("https://creighton-primo.hosted.exlibrisgroup.com/primo-explore/search?tab=default_tab&amp;search_scope=EVERYTHING&amp;vid=01CRU&amp;lang=en_US&amp;offset=0&amp;query=any,contains,991000958569702656","Catalog Record")</f>
        <v/>
      </c>
      <c r="AV313">
        <f>HYPERLINK("http://www.worldcat.org/oclc/8452085","WorldCat Record")</f>
        <v/>
      </c>
      <c r="AW313" t="inlineStr">
        <is>
          <t>415263:eng</t>
        </is>
      </c>
      <c r="AX313" t="inlineStr">
        <is>
          <t>8452085</t>
        </is>
      </c>
      <c r="AY313" t="inlineStr">
        <is>
          <t>991000958569702656</t>
        </is>
      </c>
      <c r="AZ313" t="inlineStr">
        <is>
          <t>991000958569702656</t>
        </is>
      </c>
      <c r="BA313" t="inlineStr">
        <is>
          <t>2271668270002656</t>
        </is>
      </c>
      <c r="BB313" t="inlineStr">
        <is>
          <t>BOOK</t>
        </is>
      </c>
      <c r="BD313" t="inlineStr">
        <is>
          <t>9780195031119</t>
        </is>
      </c>
      <c r="BE313" t="inlineStr">
        <is>
          <t>30001000195638</t>
        </is>
      </c>
      <c r="BF313" t="inlineStr">
        <is>
          <t>893465046</t>
        </is>
      </c>
    </row>
    <row r="314">
      <c r="B314" t="inlineStr">
        <is>
          <t>CUHSL</t>
        </is>
      </c>
      <c r="C314" t="inlineStr">
        <is>
          <t>SHELVES</t>
        </is>
      </c>
      <c r="D314" t="inlineStr">
        <is>
          <t>QV 84 M4895 1988</t>
        </is>
      </c>
      <c r="E314" t="inlineStr">
        <is>
          <t>0                      QV 0084000M  4895        1988</t>
        </is>
      </c>
      <c r="F314" t="inlineStr">
        <is>
          <t>Medicolegal aspects of alcohol determination in biological specimens / edited by James C. Garriott.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Yes</t>
        </is>
      </c>
      <c r="L314" t="inlineStr">
        <is>
          <t>0</t>
        </is>
      </c>
      <c r="N314" t="inlineStr">
        <is>
          <t>Littleton, Mass. : PSG Pub. Co., c1988.</t>
        </is>
      </c>
      <c r="O314" t="inlineStr">
        <is>
          <t>1988</t>
        </is>
      </c>
      <c r="Q314" t="inlineStr">
        <is>
          <t>eng</t>
        </is>
      </c>
      <c r="R314" t="inlineStr">
        <is>
          <t>xxu</t>
        </is>
      </c>
      <c r="T314" t="inlineStr">
        <is>
          <t xml:space="preserve">QV </t>
        </is>
      </c>
      <c r="U314" t="n">
        <v>11</v>
      </c>
      <c r="V314" t="n">
        <v>11</v>
      </c>
      <c r="W314" t="inlineStr">
        <is>
          <t>2008-12-17</t>
        </is>
      </c>
      <c r="X314" t="inlineStr">
        <is>
          <t>2008-12-17</t>
        </is>
      </c>
      <c r="Y314" t="inlineStr">
        <is>
          <t>1989-08-10</t>
        </is>
      </c>
      <c r="Z314" t="inlineStr">
        <is>
          <t>1989-08-10</t>
        </is>
      </c>
      <c r="AA314" t="n">
        <v>85</v>
      </c>
      <c r="AB314" t="n">
        <v>65</v>
      </c>
      <c r="AC314" t="n">
        <v>88</v>
      </c>
      <c r="AD314" t="n">
        <v>1</v>
      </c>
      <c r="AE314" t="n">
        <v>2</v>
      </c>
      <c r="AF314" t="n">
        <v>1</v>
      </c>
      <c r="AG314" t="n">
        <v>5</v>
      </c>
      <c r="AH314" t="n">
        <v>0</v>
      </c>
      <c r="AI314" t="n">
        <v>1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n">
        <v>1</v>
      </c>
      <c r="AQ314" t="n">
        <v>4</v>
      </c>
      <c r="AR314" t="inlineStr">
        <is>
          <t>No</t>
        </is>
      </c>
      <c r="AS314" t="inlineStr">
        <is>
          <t>No</t>
        </is>
      </c>
      <c r="AU314">
        <f>HYPERLINK("https://creighton-primo.hosted.exlibrisgroup.com/primo-explore/search?tab=default_tab&amp;search_scope=EVERYTHING&amp;vid=01CRU&amp;lang=en_US&amp;offset=0&amp;query=any,contains,991001313169702656","Catalog Record")</f>
        <v/>
      </c>
      <c r="AV314">
        <f>HYPERLINK("http://www.worldcat.org/oclc/15017114","WorldCat Record")</f>
        <v/>
      </c>
      <c r="AW314" t="inlineStr">
        <is>
          <t>40160129:eng</t>
        </is>
      </c>
      <c r="AX314" t="inlineStr">
        <is>
          <t>15017114</t>
        </is>
      </c>
      <c r="AY314" t="inlineStr">
        <is>
          <t>991001313169702656</t>
        </is>
      </c>
      <c r="AZ314" t="inlineStr">
        <is>
          <t>991001313169702656</t>
        </is>
      </c>
      <c r="BA314" t="inlineStr">
        <is>
          <t>2265618240002656</t>
        </is>
      </c>
      <c r="BB314" t="inlineStr">
        <is>
          <t>BOOK</t>
        </is>
      </c>
      <c r="BD314" t="inlineStr">
        <is>
          <t>9780884167174</t>
        </is>
      </c>
      <c r="BE314" t="inlineStr">
        <is>
          <t>30001001751660</t>
        </is>
      </c>
      <c r="BF314" t="inlineStr">
        <is>
          <t>893377198</t>
        </is>
      </c>
    </row>
    <row r="315">
      <c r="B315" t="inlineStr">
        <is>
          <t>CUHSL</t>
        </is>
      </c>
      <c r="C315" t="inlineStr">
        <is>
          <t>SHELVES</t>
        </is>
      </c>
      <c r="D315" t="inlineStr">
        <is>
          <t>QV 85 A628 1995</t>
        </is>
      </c>
      <c r="E315" t="inlineStr">
        <is>
          <t>0                      QV 0085000A  628         1995</t>
        </is>
      </c>
      <c r="F315" t="inlineStr">
        <is>
          <t>Antiepileptic drugs / editors, René H. Levy, Richard H. Mattson, Brian S. Meldrum ; consulting editors, Fritz E. Dreifuss, J. Kiffin Penry ; associate editor, B.J. Hessie.</t>
        </is>
      </c>
      <c r="H315" t="inlineStr">
        <is>
          <t>No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N315" t="inlineStr">
        <is>
          <t>New York : Raven Press, c1995.</t>
        </is>
      </c>
      <c r="O315" t="inlineStr">
        <is>
          <t>1995</t>
        </is>
      </c>
      <c r="P315" t="inlineStr">
        <is>
          <t>4th ed.</t>
        </is>
      </c>
      <c r="Q315" t="inlineStr">
        <is>
          <t>eng</t>
        </is>
      </c>
      <c r="R315" t="inlineStr">
        <is>
          <t>nyu</t>
        </is>
      </c>
      <c r="T315" t="inlineStr">
        <is>
          <t xml:space="preserve">QV </t>
        </is>
      </c>
      <c r="U315" t="n">
        <v>16</v>
      </c>
      <c r="V315" t="n">
        <v>16</v>
      </c>
      <c r="W315" t="inlineStr">
        <is>
          <t>2004-11-07</t>
        </is>
      </c>
      <c r="X315" t="inlineStr">
        <is>
          <t>2004-11-07</t>
        </is>
      </c>
      <c r="Y315" t="inlineStr">
        <is>
          <t>1995-08-25</t>
        </is>
      </c>
      <c r="Z315" t="inlineStr">
        <is>
          <t>1995-08-25</t>
        </is>
      </c>
      <c r="AA315" t="n">
        <v>129</v>
      </c>
      <c r="AB315" t="n">
        <v>90</v>
      </c>
      <c r="AC315" t="n">
        <v>621</v>
      </c>
      <c r="AD315" t="n">
        <v>1</v>
      </c>
      <c r="AE315" t="n">
        <v>6</v>
      </c>
      <c r="AF315" t="n">
        <v>3</v>
      </c>
      <c r="AG315" t="n">
        <v>29</v>
      </c>
      <c r="AH315" t="n">
        <v>1</v>
      </c>
      <c r="AI315" t="n">
        <v>10</v>
      </c>
      <c r="AJ315" t="n">
        <v>1</v>
      </c>
      <c r="AK315" t="n">
        <v>8</v>
      </c>
      <c r="AL315" t="n">
        <v>2</v>
      </c>
      <c r="AM315" t="n">
        <v>10</v>
      </c>
      <c r="AN315" t="n">
        <v>0</v>
      </c>
      <c r="AO315" t="n">
        <v>5</v>
      </c>
      <c r="AP315" t="n">
        <v>0</v>
      </c>
      <c r="AQ315" t="n">
        <v>1</v>
      </c>
      <c r="AR315" t="inlineStr">
        <is>
          <t>No</t>
        </is>
      </c>
      <c r="AS315" t="inlineStr">
        <is>
          <t>No</t>
        </is>
      </c>
      <c r="AU315">
        <f>HYPERLINK("https://creighton-primo.hosted.exlibrisgroup.com/primo-explore/search?tab=default_tab&amp;search_scope=EVERYTHING&amp;vid=01CRU&amp;lang=en_US&amp;offset=0&amp;query=any,contains,991001405329702656","Catalog Record")</f>
        <v/>
      </c>
      <c r="AV315">
        <f>HYPERLINK("http://www.worldcat.org/oclc/31754515","WorldCat Record")</f>
        <v/>
      </c>
      <c r="AW315" t="inlineStr">
        <is>
          <t>981524217:eng</t>
        </is>
      </c>
      <c r="AX315" t="inlineStr">
        <is>
          <t>31754515</t>
        </is>
      </c>
      <c r="AY315" t="inlineStr">
        <is>
          <t>991001405329702656</t>
        </is>
      </c>
      <c r="AZ315" t="inlineStr">
        <is>
          <t>991001405329702656</t>
        </is>
      </c>
      <c r="BA315" t="inlineStr">
        <is>
          <t>2270930100002656</t>
        </is>
      </c>
      <c r="BB315" t="inlineStr">
        <is>
          <t>BOOK</t>
        </is>
      </c>
      <c r="BD315" t="inlineStr">
        <is>
          <t>9780781702461</t>
        </is>
      </c>
      <c r="BE315" t="inlineStr">
        <is>
          <t>30001003149848</t>
        </is>
      </c>
      <c r="BF315" t="inlineStr">
        <is>
          <t>893816356</t>
        </is>
      </c>
    </row>
    <row r="316">
      <c r="B316" t="inlineStr">
        <is>
          <t>CUHSL</t>
        </is>
      </c>
      <c r="C316" t="inlineStr">
        <is>
          <t>SHELVES</t>
        </is>
      </c>
      <c r="D316" t="inlineStr">
        <is>
          <t>QV 85 A6281 1999</t>
        </is>
      </c>
      <c r="E316" t="inlineStr">
        <is>
          <t>0                      QV 0085000A  6281        1999</t>
        </is>
      </c>
      <c r="F316" t="inlineStr">
        <is>
          <t>Antiepileptic drugs : pharmacology and therapeutics / contributors, E. Ben-Menachem ... [et al.] ; editors, M.J. Eadie and F.J.E. Vajda.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N316" t="inlineStr">
        <is>
          <t>Berlin ; New York : Springer, c1999.</t>
        </is>
      </c>
      <c r="O316" t="inlineStr">
        <is>
          <t>1999</t>
        </is>
      </c>
      <c r="Q316" t="inlineStr">
        <is>
          <t>eng</t>
        </is>
      </c>
      <c r="R316" t="inlineStr">
        <is>
          <t xml:space="preserve">gw </t>
        </is>
      </c>
      <c r="S316" t="inlineStr">
        <is>
          <t>Handbook of experimental pharmacology ; v. 138</t>
        </is>
      </c>
      <c r="T316" t="inlineStr">
        <is>
          <t xml:space="preserve">QV </t>
        </is>
      </c>
      <c r="U316" t="n">
        <v>6</v>
      </c>
      <c r="V316" t="n">
        <v>6</v>
      </c>
      <c r="W316" t="inlineStr">
        <is>
          <t>2001-09-21</t>
        </is>
      </c>
      <c r="X316" t="inlineStr">
        <is>
          <t>2001-09-21</t>
        </is>
      </c>
      <c r="Y316" t="inlineStr">
        <is>
          <t>2000-07-20</t>
        </is>
      </c>
      <c r="Z316" t="inlineStr">
        <is>
          <t>2000-07-20</t>
        </is>
      </c>
      <c r="AA316" t="n">
        <v>128</v>
      </c>
      <c r="AB316" t="n">
        <v>72</v>
      </c>
      <c r="AC316" t="n">
        <v>107</v>
      </c>
      <c r="AD316" t="n">
        <v>1</v>
      </c>
      <c r="AE316" t="n">
        <v>1</v>
      </c>
      <c r="AF316" t="n">
        <v>3</v>
      </c>
      <c r="AG316" t="n">
        <v>5</v>
      </c>
      <c r="AH316" t="n">
        <v>0</v>
      </c>
      <c r="AI316" t="n">
        <v>1</v>
      </c>
      <c r="AJ316" t="n">
        <v>3</v>
      </c>
      <c r="AK316" t="n">
        <v>3</v>
      </c>
      <c r="AL316" t="n">
        <v>0</v>
      </c>
      <c r="AM316" t="n">
        <v>2</v>
      </c>
      <c r="AN316" t="n">
        <v>0</v>
      </c>
      <c r="AO316" t="n">
        <v>0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HYPERLINK("http://catalog.hathitrust.org/Record/003337442","HathiTrust Record")</f>
        <v/>
      </c>
      <c r="AU316">
        <f>HYPERLINK("https://creighton-primo.hosted.exlibrisgroup.com/primo-explore/search?tab=default_tab&amp;search_scope=EVERYTHING&amp;vid=01CRU&amp;lang=en_US&amp;offset=0&amp;query=any,contains,991000277069702656","Catalog Record")</f>
        <v/>
      </c>
      <c r="AV316">
        <f>HYPERLINK("http://www.worldcat.org/oclc/40698392","WorldCat Record")</f>
        <v/>
      </c>
      <c r="AW316" t="inlineStr">
        <is>
          <t>837059389:eng</t>
        </is>
      </c>
      <c r="AX316" t="inlineStr">
        <is>
          <t>40698392</t>
        </is>
      </c>
      <c r="AY316" t="inlineStr">
        <is>
          <t>991000277069702656</t>
        </is>
      </c>
      <c r="AZ316" t="inlineStr">
        <is>
          <t>991000277069702656</t>
        </is>
      </c>
      <c r="BA316" t="inlineStr">
        <is>
          <t>2264492830002656</t>
        </is>
      </c>
      <c r="BB316" t="inlineStr">
        <is>
          <t>BOOK</t>
        </is>
      </c>
      <c r="BD316" t="inlineStr">
        <is>
          <t>9783540653745</t>
        </is>
      </c>
      <c r="BE316" t="inlineStr">
        <is>
          <t>30001003941855</t>
        </is>
      </c>
      <c r="BF316" t="inlineStr">
        <is>
          <t>893547562</t>
        </is>
      </c>
    </row>
    <row r="317">
      <c r="B317" t="inlineStr">
        <is>
          <t>CUHSL</t>
        </is>
      </c>
      <c r="C317" t="inlineStr">
        <is>
          <t>SHELVES</t>
        </is>
      </c>
      <c r="D317" t="inlineStr">
        <is>
          <t>QV 85 S349a 1982</t>
        </is>
      </c>
      <c r="E317" t="inlineStr">
        <is>
          <t>0                      QV 0085000S  349a        1982</t>
        </is>
      </c>
      <c r="F317" t="inlineStr">
        <is>
          <t>Adverse effects of antiepileptic drugs / Dieter Schmidt ; with the collaboration of Lee Seldon.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M317" t="inlineStr">
        <is>
          <t>Schmidt, Dieter.</t>
        </is>
      </c>
      <c r="N317" t="inlineStr">
        <is>
          <t>New York : Raven, c1982.</t>
        </is>
      </c>
      <c r="O317" t="inlineStr">
        <is>
          <t>1982</t>
        </is>
      </c>
      <c r="Q317" t="inlineStr">
        <is>
          <t>eng</t>
        </is>
      </c>
      <c r="R317" t="inlineStr">
        <is>
          <t>xxu</t>
        </is>
      </c>
      <c r="T317" t="inlineStr">
        <is>
          <t xml:space="preserve">QV </t>
        </is>
      </c>
      <c r="U317" t="n">
        <v>9</v>
      </c>
      <c r="V317" t="n">
        <v>9</v>
      </c>
      <c r="W317" t="inlineStr">
        <is>
          <t>1995-11-17</t>
        </is>
      </c>
      <c r="X317" t="inlineStr">
        <is>
          <t>1995-11-17</t>
        </is>
      </c>
      <c r="Y317" t="inlineStr">
        <is>
          <t>1988-02-08</t>
        </is>
      </c>
      <c r="Z317" t="inlineStr">
        <is>
          <t>1988-02-08</t>
        </is>
      </c>
      <c r="AA317" t="n">
        <v>103</v>
      </c>
      <c r="AB317" t="n">
        <v>76</v>
      </c>
      <c r="AC317" t="n">
        <v>78</v>
      </c>
      <c r="AD317" t="n">
        <v>1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0</v>
      </c>
      <c r="AM317" t="n">
        <v>0</v>
      </c>
      <c r="AN317" t="n">
        <v>0</v>
      </c>
      <c r="AO317" t="n">
        <v>0</v>
      </c>
      <c r="AP317" t="n">
        <v>0</v>
      </c>
      <c r="AQ317" t="n">
        <v>0</v>
      </c>
      <c r="AR317" t="inlineStr">
        <is>
          <t>No</t>
        </is>
      </c>
      <c r="AS317" t="inlineStr">
        <is>
          <t>Yes</t>
        </is>
      </c>
      <c r="AT317">
        <f>HYPERLINK("http://catalog.hathitrust.org/Record/000773463","HathiTrust Record")</f>
        <v/>
      </c>
      <c r="AU317">
        <f>HYPERLINK("https://creighton-primo.hosted.exlibrisgroup.com/primo-explore/search?tab=default_tab&amp;search_scope=EVERYTHING&amp;vid=01CRU&amp;lang=en_US&amp;offset=0&amp;query=any,contains,991000958539702656","Catalog Record")</f>
        <v/>
      </c>
      <c r="AV317">
        <f>HYPERLINK("http://www.worldcat.org/oclc/8668580","WorldCat Record")</f>
        <v/>
      </c>
      <c r="AW317" t="inlineStr">
        <is>
          <t>32480260:eng</t>
        </is>
      </c>
      <c r="AX317" t="inlineStr">
        <is>
          <t>8668580</t>
        </is>
      </c>
      <c r="AY317" t="inlineStr">
        <is>
          <t>991000958539702656</t>
        </is>
      </c>
      <c r="AZ317" t="inlineStr">
        <is>
          <t>991000958539702656</t>
        </is>
      </c>
      <c r="BA317" t="inlineStr">
        <is>
          <t>2259051870002656</t>
        </is>
      </c>
      <c r="BB317" t="inlineStr">
        <is>
          <t>BOOK</t>
        </is>
      </c>
      <c r="BE317" t="inlineStr">
        <is>
          <t>30001000195612</t>
        </is>
      </c>
      <c r="BF317" t="inlineStr">
        <is>
          <t>893736074</t>
        </is>
      </c>
    </row>
    <row r="318">
      <c r="B318" t="inlineStr">
        <is>
          <t>CUHSL</t>
        </is>
      </c>
      <c r="C318" t="inlineStr">
        <is>
          <t>SHELVES</t>
        </is>
      </c>
      <c r="D318" t="inlineStr">
        <is>
          <t>QV 85 S643b 1988</t>
        </is>
      </c>
      <c r="E318" t="inlineStr">
        <is>
          <t>0                      QV 0085000S  643b        1988</t>
        </is>
      </c>
      <c r="F318" t="inlineStr">
        <is>
          <t>The broad range of clinical use of phenytoin : bioelectrical modulator : bibliography and review / Barry H. Smith, Samuel Bogoch, Jack Dreyfus.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M318" t="inlineStr">
        <is>
          <t>Smith, Barry H.</t>
        </is>
      </c>
      <c r="N318" t="inlineStr">
        <is>
          <t>New York : Dreyfus Medical Foundation, c1988.</t>
        </is>
      </c>
      <c r="O318" t="inlineStr">
        <is>
          <t>1988</t>
        </is>
      </c>
      <c r="Q318" t="inlineStr">
        <is>
          <t>eng</t>
        </is>
      </c>
      <c r="R318" t="inlineStr">
        <is>
          <t>nyu</t>
        </is>
      </c>
      <c r="T318" t="inlineStr">
        <is>
          <t xml:space="preserve">QV </t>
        </is>
      </c>
      <c r="U318" t="n">
        <v>5</v>
      </c>
      <c r="V318" t="n">
        <v>5</v>
      </c>
      <c r="W318" t="inlineStr">
        <is>
          <t>1995-11-15</t>
        </is>
      </c>
      <c r="X318" t="inlineStr">
        <is>
          <t>1995-11-15</t>
        </is>
      </c>
      <c r="Y318" t="inlineStr">
        <is>
          <t>1988-07-02</t>
        </is>
      </c>
      <c r="Z318" t="inlineStr">
        <is>
          <t>1988-07-02</t>
        </is>
      </c>
      <c r="AA318" t="n">
        <v>280</v>
      </c>
      <c r="AB318" t="n">
        <v>268</v>
      </c>
      <c r="AC318" t="n">
        <v>493</v>
      </c>
      <c r="AD318" t="n">
        <v>1</v>
      </c>
      <c r="AE318" t="n">
        <v>4</v>
      </c>
      <c r="AF318" t="n">
        <v>2</v>
      </c>
      <c r="AG318" t="n">
        <v>2</v>
      </c>
      <c r="AH318" t="n">
        <v>1</v>
      </c>
      <c r="AI318" t="n">
        <v>1</v>
      </c>
      <c r="AJ318" t="n">
        <v>1</v>
      </c>
      <c r="AK318" t="n">
        <v>1</v>
      </c>
      <c r="AL318" t="n">
        <v>1</v>
      </c>
      <c r="AM318" t="n">
        <v>1</v>
      </c>
      <c r="AN318" t="n">
        <v>0</v>
      </c>
      <c r="AO318" t="n">
        <v>0</v>
      </c>
      <c r="AP318" t="n">
        <v>0</v>
      </c>
      <c r="AQ318" t="n">
        <v>0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HYPERLINK("http://catalog.hathitrust.org/Record/001096641","HathiTrust Record")</f>
        <v/>
      </c>
      <c r="AU318">
        <f>HYPERLINK("https://creighton-primo.hosted.exlibrisgroup.com/primo-explore/search?tab=default_tab&amp;search_scope=EVERYTHING&amp;vid=01CRU&amp;lang=en_US&amp;offset=0&amp;query=any,contains,991001416239702656","Catalog Record")</f>
        <v/>
      </c>
      <c r="AV318">
        <f>HYPERLINK("http://www.worldcat.org/oclc/19723895","WorldCat Record")</f>
        <v/>
      </c>
      <c r="AW318" t="inlineStr">
        <is>
          <t>21503135:eng</t>
        </is>
      </c>
      <c r="AX318" t="inlineStr">
        <is>
          <t>19723895</t>
        </is>
      </c>
      <c r="AY318" t="inlineStr">
        <is>
          <t>991001416239702656</t>
        </is>
      </c>
      <c r="AZ318" t="inlineStr">
        <is>
          <t>991001416239702656</t>
        </is>
      </c>
      <c r="BA318" t="inlineStr">
        <is>
          <t>2264568070002656</t>
        </is>
      </c>
      <c r="BB318" t="inlineStr">
        <is>
          <t>BOOK</t>
        </is>
      </c>
      <c r="BE318" t="inlineStr">
        <is>
          <t>30001001180670</t>
        </is>
      </c>
      <c r="BF318" t="inlineStr">
        <is>
          <t>893546695</t>
        </is>
      </c>
    </row>
    <row r="319">
      <c r="B319" t="inlineStr">
        <is>
          <t>CUHSL</t>
        </is>
      </c>
      <c r="C319" t="inlineStr">
        <is>
          <t>SHELVES</t>
        </is>
      </c>
      <c r="D319" t="inlineStr">
        <is>
          <t>QV 89 06171 1987</t>
        </is>
      </c>
      <c r="E319" t="inlineStr">
        <is>
          <t>0                      QV 0089000                                                           06171 1987</t>
        </is>
      </c>
      <c r="F319" t="inlineStr">
        <is>
          <t>Opioid analgesia : recent advances in systemic administration / editors, Costantino Benedetti, C. Richard Chapman, Giampiero Giron.</t>
        </is>
      </c>
      <c r="G319" t="inlineStr">
        <is>
          <t>V. 14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N319" t="inlineStr">
        <is>
          <t>New York : Raven Press, c1990.</t>
        </is>
      </c>
      <c r="O319" t="inlineStr">
        <is>
          <t>1990</t>
        </is>
      </c>
      <c r="Q319" t="inlineStr">
        <is>
          <t>eng</t>
        </is>
      </c>
      <c r="R319" t="inlineStr">
        <is>
          <t>xxu</t>
        </is>
      </c>
      <c r="S319" t="inlineStr">
        <is>
          <t>Advances in pain research and therapy ; v. 14</t>
        </is>
      </c>
      <c r="T319" t="inlineStr">
        <is>
          <t xml:space="preserve">QV </t>
        </is>
      </c>
      <c r="U319" t="n">
        <v>5</v>
      </c>
      <c r="V319" t="n">
        <v>5</v>
      </c>
      <c r="W319" t="inlineStr">
        <is>
          <t>2008-04-23</t>
        </is>
      </c>
      <c r="X319" t="inlineStr">
        <is>
          <t>2008-04-23</t>
        </is>
      </c>
      <c r="Y319" t="inlineStr">
        <is>
          <t>1990-08-16</t>
        </is>
      </c>
      <c r="Z319" t="inlineStr">
        <is>
          <t>1990-08-16</t>
        </is>
      </c>
      <c r="AA319" t="n">
        <v>119</v>
      </c>
      <c r="AB319" t="n">
        <v>86</v>
      </c>
      <c r="AC319" t="n">
        <v>86</v>
      </c>
      <c r="AD319" t="n">
        <v>1</v>
      </c>
      <c r="AE319" t="n">
        <v>1</v>
      </c>
      <c r="AF319" t="n">
        <v>4</v>
      </c>
      <c r="AG319" t="n">
        <v>4</v>
      </c>
      <c r="AH319" t="n">
        <v>0</v>
      </c>
      <c r="AI319" t="n">
        <v>0</v>
      </c>
      <c r="AJ319" t="n">
        <v>2</v>
      </c>
      <c r="AK319" t="n">
        <v>2</v>
      </c>
      <c r="AL319" t="n">
        <v>3</v>
      </c>
      <c r="AM319" t="n">
        <v>3</v>
      </c>
      <c r="AN319" t="n">
        <v>0</v>
      </c>
      <c r="AO319" t="n">
        <v>0</v>
      </c>
      <c r="AP319" t="n">
        <v>0</v>
      </c>
      <c r="AQ319" t="n">
        <v>0</v>
      </c>
      <c r="AR319" t="inlineStr">
        <is>
          <t>No</t>
        </is>
      </c>
      <c r="AS319" t="inlineStr">
        <is>
          <t>No</t>
        </is>
      </c>
      <c r="AU319">
        <f>HYPERLINK("https://creighton-primo.hosted.exlibrisgroup.com/primo-explore/search?tab=default_tab&amp;search_scope=EVERYTHING&amp;vid=01CRU&amp;lang=en_US&amp;offset=0&amp;query=any,contains,991001453489702656","Catalog Record")</f>
        <v/>
      </c>
      <c r="AV319">
        <f>HYPERLINK("http://www.worldcat.org/oclc/20593692","WorldCat Record")</f>
        <v/>
      </c>
      <c r="AW319" t="inlineStr">
        <is>
          <t>795540799:eng</t>
        </is>
      </c>
      <c r="AX319" t="inlineStr">
        <is>
          <t>20593692</t>
        </is>
      </c>
      <c r="AY319" t="inlineStr">
        <is>
          <t>991001453489702656</t>
        </is>
      </c>
      <c r="AZ319" t="inlineStr">
        <is>
          <t>991001453489702656</t>
        </is>
      </c>
      <c r="BA319" t="inlineStr">
        <is>
          <t>2265527100002656</t>
        </is>
      </c>
      <c r="BB319" t="inlineStr">
        <is>
          <t>BOOK</t>
        </is>
      </c>
      <c r="BD319" t="inlineStr">
        <is>
          <t>9780881675863</t>
        </is>
      </c>
      <c r="BE319" t="inlineStr">
        <is>
          <t>30001001884123</t>
        </is>
      </c>
      <c r="BF319" t="inlineStr">
        <is>
          <t>893374601</t>
        </is>
      </c>
    </row>
    <row r="320">
      <c r="B320" t="inlineStr">
        <is>
          <t>CUHSL</t>
        </is>
      </c>
      <c r="C320" t="inlineStr">
        <is>
          <t>SHELVES</t>
        </is>
      </c>
      <c r="D320" t="inlineStr">
        <is>
          <t>QV 89 F893o 1987</t>
        </is>
      </c>
      <c r="E320" t="inlineStr">
        <is>
          <t>0                      QV 0089000F  893o        1987</t>
        </is>
      </c>
      <c r="F320" t="inlineStr">
        <is>
          <t>Opioid agonists, antagonists, and mixed narcotic analgesics : theoretical background and considerations for practical use / Enno Freye.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Freye, E. (Enno)</t>
        </is>
      </c>
      <c r="N320" t="inlineStr">
        <is>
          <t>Berlin ; New York : Springer, c1987.</t>
        </is>
      </c>
      <c r="O320" t="inlineStr">
        <is>
          <t>1987</t>
        </is>
      </c>
      <c r="Q320" t="inlineStr">
        <is>
          <t>eng</t>
        </is>
      </c>
      <c r="R320" t="inlineStr">
        <is>
          <t xml:space="preserve">gw </t>
        </is>
      </c>
      <c r="T320" t="inlineStr">
        <is>
          <t xml:space="preserve">QV </t>
        </is>
      </c>
      <c r="U320" t="n">
        <v>14</v>
      </c>
      <c r="V320" t="n">
        <v>14</v>
      </c>
      <c r="W320" t="inlineStr">
        <is>
          <t>2008-04-23</t>
        </is>
      </c>
      <c r="X320" t="inlineStr">
        <is>
          <t>2008-04-23</t>
        </is>
      </c>
      <c r="Y320" t="inlineStr">
        <is>
          <t>1987-12-10</t>
        </is>
      </c>
      <c r="Z320" t="inlineStr">
        <is>
          <t>1987-12-10</t>
        </is>
      </c>
      <c r="AA320" t="n">
        <v>64</v>
      </c>
      <c r="AB320" t="n">
        <v>47</v>
      </c>
      <c r="AC320" t="n">
        <v>67</v>
      </c>
      <c r="AD320" t="n">
        <v>1</v>
      </c>
      <c r="AE320" t="n">
        <v>1</v>
      </c>
      <c r="AF320" t="n">
        <v>1</v>
      </c>
      <c r="AG320" t="n">
        <v>1</v>
      </c>
      <c r="AH320" t="n">
        <v>0</v>
      </c>
      <c r="AI320" t="n">
        <v>0</v>
      </c>
      <c r="AJ320" t="n">
        <v>1</v>
      </c>
      <c r="AK320" t="n">
        <v>1</v>
      </c>
      <c r="AL320" t="n">
        <v>0</v>
      </c>
      <c r="AM320" t="n">
        <v>0</v>
      </c>
      <c r="AN320" t="n">
        <v>0</v>
      </c>
      <c r="AO320" t="n">
        <v>0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HYPERLINK("http://catalog.hathitrust.org/Record/000874654","HathiTrust Record")</f>
        <v/>
      </c>
      <c r="AU320">
        <f>HYPERLINK("https://creighton-primo.hosted.exlibrisgroup.com/primo-explore/search?tab=default_tab&amp;search_scope=EVERYTHING&amp;vid=01CRU&amp;lang=en_US&amp;offset=0&amp;query=any,contains,991001532719702656","Catalog Record")</f>
        <v/>
      </c>
      <c r="AV320">
        <f>HYPERLINK("http://www.worldcat.org/oclc/17804962","WorldCat Record")</f>
        <v/>
      </c>
      <c r="AW320" t="inlineStr">
        <is>
          <t>16332580:eng</t>
        </is>
      </c>
      <c r="AX320" t="inlineStr">
        <is>
          <t>17804962</t>
        </is>
      </c>
      <c r="AY320" t="inlineStr">
        <is>
          <t>991001532719702656</t>
        </is>
      </c>
      <c r="AZ320" t="inlineStr">
        <is>
          <t>991001532719702656</t>
        </is>
      </c>
      <c r="BA320" t="inlineStr">
        <is>
          <t>2257798120002656</t>
        </is>
      </c>
      <c r="BB320" t="inlineStr">
        <is>
          <t>BOOK</t>
        </is>
      </c>
      <c r="BD320" t="inlineStr">
        <is>
          <t>9780387174716</t>
        </is>
      </c>
      <c r="BE320" t="inlineStr">
        <is>
          <t>30001000622060</t>
        </is>
      </c>
      <c r="BF320" t="inlineStr">
        <is>
          <t>893552610</t>
        </is>
      </c>
    </row>
    <row r="321">
      <c r="B321" t="inlineStr">
        <is>
          <t>CUHSL</t>
        </is>
      </c>
      <c r="C321" t="inlineStr">
        <is>
          <t>SHELVES</t>
        </is>
      </c>
      <c r="D321" t="inlineStr">
        <is>
          <t>QV 89 L672p 1931</t>
        </is>
      </c>
      <c r="E321" t="inlineStr">
        <is>
          <t>0                      QV 0089000L  672p        1931</t>
        </is>
      </c>
      <c r="F321" t="inlineStr">
        <is>
          <t>Phantastica, narcotic and stimulating drugs : their use and abuse / by Louis Lewin.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Lewin, Louis.</t>
        </is>
      </c>
      <c r="N321" t="inlineStr">
        <is>
          <t>New York : E. P. Dutton &amp; Co, c1931.</t>
        </is>
      </c>
      <c r="O321" t="inlineStr">
        <is>
          <t>1931</t>
        </is>
      </c>
      <c r="Q321" t="inlineStr">
        <is>
          <t>eng</t>
        </is>
      </c>
      <c r="R321" t="inlineStr">
        <is>
          <t>nyu</t>
        </is>
      </c>
      <c r="T321" t="inlineStr">
        <is>
          <t xml:space="preserve">QV </t>
        </is>
      </c>
      <c r="U321" t="n">
        <v>5</v>
      </c>
      <c r="V321" t="n">
        <v>5</v>
      </c>
      <c r="W321" t="inlineStr">
        <is>
          <t>2010-05-03</t>
        </is>
      </c>
      <c r="X321" t="inlineStr">
        <is>
          <t>2010-05-03</t>
        </is>
      </c>
      <c r="Y321" t="inlineStr">
        <is>
          <t>1988-02-08</t>
        </is>
      </c>
      <c r="Z321" t="inlineStr">
        <is>
          <t>1988-02-08</t>
        </is>
      </c>
      <c r="AA321" t="n">
        <v>64</v>
      </c>
      <c r="AB321" t="n">
        <v>52</v>
      </c>
      <c r="AC321" t="n">
        <v>201</v>
      </c>
      <c r="AD321" t="n">
        <v>1</v>
      </c>
      <c r="AE321" t="n">
        <v>2</v>
      </c>
      <c r="AF321" t="n">
        <v>1</v>
      </c>
      <c r="AG321" t="n">
        <v>5</v>
      </c>
      <c r="AH321" t="n">
        <v>0</v>
      </c>
      <c r="AI321" t="n">
        <v>2</v>
      </c>
      <c r="AJ321" t="n">
        <v>1</v>
      </c>
      <c r="AK321" t="n">
        <v>1</v>
      </c>
      <c r="AL321" t="n">
        <v>0</v>
      </c>
      <c r="AM321" t="n">
        <v>3</v>
      </c>
      <c r="AN321" t="n">
        <v>0</v>
      </c>
      <c r="AO321" t="n">
        <v>1</v>
      </c>
      <c r="AP321" t="n">
        <v>0</v>
      </c>
      <c r="AQ321" t="n">
        <v>0</v>
      </c>
      <c r="AR321" t="inlineStr">
        <is>
          <t>No</t>
        </is>
      </c>
      <c r="AS321" t="inlineStr">
        <is>
          <t>Yes</t>
        </is>
      </c>
      <c r="AT321">
        <f>HYPERLINK("http://catalog.hathitrust.org/Record/001573075","HathiTrust Record")</f>
        <v/>
      </c>
      <c r="AU321">
        <f>HYPERLINK("https://creighton-primo.hosted.exlibrisgroup.com/primo-explore/search?tab=default_tab&amp;search_scope=EVERYTHING&amp;vid=01CRU&amp;lang=en_US&amp;offset=0&amp;query=any,contains,991000958499702656","Catalog Record")</f>
        <v/>
      </c>
      <c r="AV321">
        <f>HYPERLINK("http://www.worldcat.org/oclc/12967924","WorldCat Record")</f>
        <v/>
      </c>
      <c r="AW321" t="inlineStr">
        <is>
          <t>3901081086:eng</t>
        </is>
      </c>
      <c r="AX321" t="inlineStr">
        <is>
          <t>12967924</t>
        </is>
      </c>
      <c r="AY321" t="inlineStr">
        <is>
          <t>991000958499702656</t>
        </is>
      </c>
      <c r="AZ321" t="inlineStr">
        <is>
          <t>991000958499702656</t>
        </is>
      </c>
      <c r="BA321" t="inlineStr">
        <is>
          <t>2269938500002656</t>
        </is>
      </c>
      <c r="BB321" t="inlineStr">
        <is>
          <t>BOOK</t>
        </is>
      </c>
      <c r="BE321" t="inlineStr">
        <is>
          <t>30001000195588</t>
        </is>
      </c>
      <c r="BF321" t="inlineStr">
        <is>
          <t>893358042</t>
        </is>
      </c>
    </row>
    <row r="322">
      <c r="B322" t="inlineStr">
        <is>
          <t>CUHSL</t>
        </is>
      </c>
      <c r="C322" t="inlineStr">
        <is>
          <t>SHELVES</t>
        </is>
      </c>
      <c r="D322" t="inlineStr">
        <is>
          <t>QV 89 O613 1986</t>
        </is>
      </c>
      <c r="E322" t="inlineStr">
        <is>
          <t>0                      QV 0089000O  613         1986</t>
        </is>
      </c>
      <c r="F322" t="inlineStr">
        <is>
          <t>Opiates / George R. Lenz ... [et al.] ; with a chapter by Donna L. Hammond.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N322" t="inlineStr">
        <is>
          <t>Orlando : Academic Press, c1986.</t>
        </is>
      </c>
      <c r="O322" t="inlineStr">
        <is>
          <t>1986</t>
        </is>
      </c>
      <c r="Q322" t="inlineStr">
        <is>
          <t>eng</t>
        </is>
      </c>
      <c r="R322" t="inlineStr">
        <is>
          <t>xxu</t>
        </is>
      </c>
      <c r="T322" t="inlineStr">
        <is>
          <t xml:space="preserve">QV </t>
        </is>
      </c>
      <c r="U322" t="n">
        <v>12</v>
      </c>
      <c r="V322" t="n">
        <v>12</v>
      </c>
      <c r="W322" t="inlineStr">
        <is>
          <t>2008-04-23</t>
        </is>
      </c>
      <c r="X322" t="inlineStr">
        <is>
          <t>2008-04-23</t>
        </is>
      </c>
      <c r="Y322" t="inlineStr">
        <is>
          <t>1988-02-08</t>
        </is>
      </c>
      <c r="Z322" t="inlineStr">
        <is>
          <t>1988-02-08</t>
        </is>
      </c>
      <c r="AA322" t="n">
        <v>131</v>
      </c>
      <c r="AB322" t="n">
        <v>98</v>
      </c>
      <c r="AC322" t="n">
        <v>101</v>
      </c>
      <c r="AD322" t="n">
        <v>1</v>
      </c>
      <c r="AE322" t="n">
        <v>1</v>
      </c>
      <c r="AF322" t="n">
        <v>3</v>
      </c>
      <c r="AG322" t="n">
        <v>3</v>
      </c>
      <c r="AH322" t="n">
        <v>1</v>
      </c>
      <c r="AI322" t="n">
        <v>1</v>
      </c>
      <c r="AJ322" t="n">
        <v>2</v>
      </c>
      <c r="AK322" t="n">
        <v>2</v>
      </c>
      <c r="AL322" t="n">
        <v>2</v>
      </c>
      <c r="AM322" t="n">
        <v>2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Yes</t>
        </is>
      </c>
      <c r="AT322">
        <f>HYPERLINK("http://catalog.hathitrust.org/Record/000401306","HathiTrust Record")</f>
        <v/>
      </c>
      <c r="AU322">
        <f>HYPERLINK("https://creighton-primo.hosted.exlibrisgroup.com/primo-explore/search?tab=default_tab&amp;search_scope=EVERYTHING&amp;vid=01CRU&amp;lang=en_US&amp;offset=0&amp;query=any,contains,991000958429702656","Catalog Record")</f>
        <v/>
      </c>
      <c r="AV322">
        <f>HYPERLINK("http://www.worldcat.org/oclc/12550147","WorldCat Record")</f>
        <v/>
      </c>
      <c r="AW322" t="inlineStr">
        <is>
          <t>54740694:eng</t>
        </is>
      </c>
      <c r="AX322" t="inlineStr">
        <is>
          <t>12550147</t>
        </is>
      </c>
      <c r="AY322" t="inlineStr">
        <is>
          <t>991000958429702656</t>
        </is>
      </c>
      <c r="AZ322" t="inlineStr">
        <is>
          <t>991000958429702656</t>
        </is>
      </c>
      <c r="BA322" t="inlineStr">
        <is>
          <t>2266848080002656</t>
        </is>
      </c>
      <c r="BB322" t="inlineStr">
        <is>
          <t>BOOK</t>
        </is>
      </c>
      <c r="BD322" t="inlineStr">
        <is>
          <t>9780124438309</t>
        </is>
      </c>
      <c r="BE322" t="inlineStr">
        <is>
          <t>30001000195570</t>
        </is>
      </c>
      <c r="BF322" t="inlineStr">
        <is>
          <t>893740610</t>
        </is>
      </c>
    </row>
    <row r="323">
      <c r="B323" t="inlineStr">
        <is>
          <t>CUHSL</t>
        </is>
      </c>
      <c r="C323" t="inlineStr">
        <is>
          <t>SHELVES</t>
        </is>
      </c>
      <c r="D323" t="inlineStr">
        <is>
          <t>QV 89 O6182 1991</t>
        </is>
      </c>
      <c r="E323" t="inlineStr">
        <is>
          <t>0                      QV 0089000O  6182        1991</t>
        </is>
      </c>
      <c r="F323" t="inlineStr">
        <is>
          <t>Opioids in anesthesia II / edited by Fawzy G. Estafanous ; with 50 contributing authors.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N323" t="inlineStr">
        <is>
          <t>Boston : Butterworths, c1991.</t>
        </is>
      </c>
      <c r="O323" t="inlineStr">
        <is>
          <t>1991</t>
        </is>
      </c>
      <c r="Q323" t="inlineStr">
        <is>
          <t>eng</t>
        </is>
      </c>
      <c r="R323" t="inlineStr">
        <is>
          <t>xxu</t>
        </is>
      </c>
      <c r="T323" t="inlineStr">
        <is>
          <t xml:space="preserve">QV </t>
        </is>
      </c>
      <c r="U323" t="n">
        <v>4</v>
      </c>
      <c r="V323" t="n">
        <v>4</v>
      </c>
      <c r="W323" t="inlineStr">
        <is>
          <t>1991-04-22</t>
        </is>
      </c>
      <c r="X323" t="inlineStr">
        <is>
          <t>1991-04-22</t>
        </is>
      </c>
      <c r="Y323" t="inlineStr">
        <is>
          <t>1991-01-30</t>
        </is>
      </c>
      <c r="Z323" t="inlineStr">
        <is>
          <t>1991-01-30</t>
        </is>
      </c>
      <c r="AA323" t="n">
        <v>65</v>
      </c>
      <c r="AB323" t="n">
        <v>57</v>
      </c>
      <c r="AC323" t="n">
        <v>72</v>
      </c>
      <c r="AD323" t="n">
        <v>1</v>
      </c>
      <c r="AE323" t="n">
        <v>1</v>
      </c>
      <c r="AF323" t="n">
        <v>1</v>
      </c>
      <c r="AG323" t="n">
        <v>1</v>
      </c>
      <c r="AH323" t="n">
        <v>0</v>
      </c>
      <c r="AI323" t="n">
        <v>0</v>
      </c>
      <c r="AJ323" t="n">
        <v>1</v>
      </c>
      <c r="AK323" t="n">
        <v>1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HYPERLINK("http://catalog.hathitrust.org/Record/002228222","HathiTrust Record")</f>
        <v/>
      </c>
      <c r="AU323">
        <f>HYPERLINK("https://creighton-primo.hosted.exlibrisgroup.com/primo-explore/search?tab=default_tab&amp;search_scope=EVERYTHING&amp;vid=01CRU&amp;lang=en_US&amp;offset=0&amp;query=any,contains,991000816549702656","Catalog Record")</f>
        <v/>
      </c>
      <c r="AV323">
        <f>HYPERLINK("http://www.worldcat.org/oclc/20993285","WorldCat Record")</f>
        <v/>
      </c>
      <c r="AW323" t="inlineStr">
        <is>
          <t>55295371:eng</t>
        </is>
      </c>
      <c r="AX323" t="inlineStr">
        <is>
          <t>20993285</t>
        </is>
      </c>
      <c r="AY323" t="inlineStr">
        <is>
          <t>991000816549702656</t>
        </is>
      </c>
      <c r="AZ323" t="inlineStr">
        <is>
          <t>991000816549702656</t>
        </is>
      </c>
      <c r="BA323" t="inlineStr">
        <is>
          <t>2271621600002656</t>
        </is>
      </c>
      <c r="BB323" t="inlineStr">
        <is>
          <t>BOOK</t>
        </is>
      </c>
      <c r="BD323" t="inlineStr">
        <is>
          <t>9780409902303</t>
        </is>
      </c>
      <c r="BE323" t="inlineStr">
        <is>
          <t>30001002086488</t>
        </is>
      </c>
      <c r="BF323" t="inlineStr">
        <is>
          <t>893373858</t>
        </is>
      </c>
    </row>
    <row r="324">
      <c r="B324" t="inlineStr">
        <is>
          <t>CUHSL</t>
        </is>
      </c>
      <c r="C324" t="inlineStr">
        <is>
          <t>SHELVES</t>
        </is>
      </c>
      <c r="D324" t="inlineStr">
        <is>
          <t>QV 90 R462m 1957</t>
        </is>
      </c>
      <c r="E324" t="inlineStr">
        <is>
          <t>0                      QV 0090000R  462m        1957</t>
        </is>
      </c>
      <c r="F324" t="inlineStr">
        <is>
          <t>Morphine &amp; allied drugs / A.K. Reynolds, Lowell O. Randall.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Reynolds, A. K. (Albert Keith)</t>
        </is>
      </c>
      <c r="N324" t="inlineStr">
        <is>
          <t>Toronto : University of Toronto Press, 1957.</t>
        </is>
      </c>
      <c r="O324" t="inlineStr">
        <is>
          <t>1957</t>
        </is>
      </c>
      <c r="Q324" t="inlineStr">
        <is>
          <t>eng</t>
        </is>
      </c>
      <c r="R324" t="inlineStr">
        <is>
          <t>onc</t>
        </is>
      </c>
      <c r="T324" t="inlineStr">
        <is>
          <t xml:space="preserve">QV </t>
        </is>
      </c>
      <c r="U324" t="n">
        <v>6</v>
      </c>
      <c r="V324" t="n">
        <v>6</v>
      </c>
      <c r="W324" t="inlineStr">
        <is>
          <t>2008-04-23</t>
        </is>
      </c>
      <c r="X324" t="inlineStr">
        <is>
          <t>2008-04-23</t>
        </is>
      </c>
      <c r="Y324" t="inlineStr">
        <is>
          <t>1988-03-17</t>
        </is>
      </c>
      <c r="Z324" t="inlineStr">
        <is>
          <t>1988-03-17</t>
        </is>
      </c>
      <c r="AA324" t="n">
        <v>142</v>
      </c>
      <c r="AB324" t="n">
        <v>99</v>
      </c>
      <c r="AC324" t="n">
        <v>101</v>
      </c>
      <c r="AD324" t="n">
        <v>1</v>
      </c>
      <c r="AE324" t="n">
        <v>1</v>
      </c>
      <c r="AF324" t="n">
        <v>4</v>
      </c>
      <c r="AG324" t="n">
        <v>4</v>
      </c>
      <c r="AH324" t="n">
        <v>3</v>
      </c>
      <c r="AI324" t="n">
        <v>3</v>
      </c>
      <c r="AJ324" t="n">
        <v>2</v>
      </c>
      <c r="AK324" t="n">
        <v>2</v>
      </c>
      <c r="AL324" t="n">
        <v>1</v>
      </c>
      <c r="AM324" t="n">
        <v>1</v>
      </c>
      <c r="AN324" t="n">
        <v>0</v>
      </c>
      <c r="AO324" t="n">
        <v>0</v>
      </c>
      <c r="AP324" t="n">
        <v>0</v>
      </c>
      <c r="AQ324" t="n">
        <v>0</v>
      </c>
      <c r="AR324" t="inlineStr">
        <is>
          <t>No</t>
        </is>
      </c>
      <c r="AS324" t="inlineStr">
        <is>
          <t>No</t>
        </is>
      </c>
      <c r="AT324">
        <f>HYPERLINK("http://catalog.hathitrust.org/Record/001573202","HathiTrust Record")</f>
        <v/>
      </c>
      <c r="AU324">
        <f>HYPERLINK("https://creighton-primo.hosted.exlibrisgroup.com/primo-explore/search?tab=default_tab&amp;search_scope=EVERYTHING&amp;vid=01CRU&amp;lang=en_US&amp;offset=0&amp;query=any,contains,991000958389702656","Catalog Record")</f>
        <v/>
      </c>
      <c r="AV324">
        <f>HYPERLINK("http://www.worldcat.org/oclc/1628783","WorldCat Record")</f>
        <v/>
      </c>
      <c r="AW324" t="inlineStr">
        <is>
          <t>2470779:eng</t>
        </is>
      </c>
      <c r="AX324" t="inlineStr">
        <is>
          <t>1628783</t>
        </is>
      </c>
      <c r="AY324" t="inlineStr">
        <is>
          <t>991000958389702656</t>
        </is>
      </c>
      <c r="AZ324" t="inlineStr">
        <is>
          <t>991000958389702656</t>
        </is>
      </c>
      <c r="BA324" t="inlineStr">
        <is>
          <t>2265642600002656</t>
        </is>
      </c>
      <c r="BB324" t="inlineStr">
        <is>
          <t>BOOK</t>
        </is>
      </c>
      <c r="BE324" t="inlineStr">
        <is>
          <t>30001000195562</t>
        </is>
      </c>
      <c r="BF324" t="inlineStr">
        <is>
          <t>893273526</t>
        </is>
      </c>
    </row>
    <row r="325">
      <c r="B325" t="inlineStr">
        <is>
          <t>CUHSL</t>
        </is>
      </c>
      <c r="C325" t="inlineStr">
        <is>
          <t>SHELVES</t>
        </is>
      </c>
      <c r="D325" t="inlineStr">
        <is>
          <t>QV 95 A275 1971</t>
        </is>
      </c>
      <c r="E325" t="inlineStr">
        <is>
          <t>0                      QV 0095000A  275         1971</t>
        </is>
      </c>
      <c r="F325" t="inlineStr">
        <is>
          <t>Agonist and antagonist actions of narcotic analgesic drugs / Edited by H. W. Kosterlitz, H.O.J. Collier, and J.E. Villarreal.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N325" t="inlineStr">
        <is>
          <t>Baltimore : University Park Press, [1973]</t>
        </is>
      </c>
      <c r="O325" t="inlineStr">
        <is>
          <t>1973</t>
        </is>
      </c>
      <c r="Q325" t="inlineStr">
        <is>
          <t>eng</t>
        </is>
      </c>
      <c r="R325" t="inlineStr">
        <is>
          <t>mdu</t>
        </is>
      </c>
      <c r="T325" t="inlineStr">
        <is>
          <t xml:space="preserve">QV </t>
        </is>
      </c>
      <c r="U325" t="n">
        <v>11</v>
      </c>
      <c r="V325" t="n">
        <v>11</v>
      </c>
      <c r="W325" t="inlineStr">
        <is>
          <t>2008-04-23</t>
        </is>
      </c>
      <c r="X325" t="inlineStr">
        <is>
          <t>2008-04-23</t>
        </is>
      </c>
      <c r="Y325" t="inlineStr">
        <is>
          <t>1988-03-17</t>
        </is>
      </c>
      <c r="Z325" t="inlineStr">
        <is>
          <t>1988-03-17</t>
        </is>
      </c>
      <c r="AA325" t="n">
        <v>200</v>
      </c>
      <c r="AB325" t="n">
        <v>185</v>
      </c>
      <c r="AC325" t="n">
        <v>203</v>
      </c>
      <c r="AD325" t="n">
        <v>2</v>
      </c>
      <c r="AE325" t="n">
        <v>2</v>
      </c>
      <c r="AF325" t="n">
        <v>5</v>
      </c>
      <c r="AG325" t="n">
        <v>5</v>
      </c>
      <c r="AH325" t="n">
        <v>2</v>
      </c>
      <c r="AI325" t="n">
        <v>2</v>
      </c>
      <c r="AJ325" t="n">
        <v>1</v>
      </c>
      <c r="AK325" t="n">
        <v>1</v>
      </c>
      <c r="AL325" t="n">
        <v>2</v>
      </c>
      <c r="AM325" t="n">
        <v>2</v>
      </c>
      <c r="AN325" t="n">
        <v>1</v>
      </c>
      <c r="AO325" t="n">
        <v>1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HYPERLINK("http://catalog.hathitrust.org/Record/001573100","HathiTrust Record")</f>
        <v/>
      </c>
      <c r="AU325">
        <f>HYPERLINK("https://creighton-primo.hosted.exlibrisgroup.com/primo-explore/search?tab=default_tab&amp;search_scope=EVERYTHING&amp;vid=01CRU&amp;lang=en_US&amp;offset=0&amp;query=any,contains,991000959109702656","Catalog Record")</f>
        <v/>
      </c>
      <c r="AV325">
        <f>HYPERLINK("http://www.worldcat.org/oclc/516339","WorldCat Record")</f>
        <v/>
      </c>
      <c r="AW325" t="inlineStr">
        <is>
          <t>3901413088:eng</t>
        </is>
      </c>
      <c r="AX325" t="inlineStr">
        <is>
          <t>516339</t>
        </is>
      </c>
      <c r="AY325" t="inlineStr">
        <is>
          <t>991000959109702656</t>
        </is>
      </c>
      <c r="AZ325" t="inlineStr">
        <is>
          <t>991000959109702656</t>
        </is>
      </c>
      <c r="BA325" t="inlineStr">
        <is>
          <t>2256533600002656</t>
        </is>
      </c>
      <c r="BB325" t="inlineStr">
        <is>
          <t>BOOK</t>
        </is>
      </c>
      <c r="BE325" t="inlineStr">
        <is>
          <t>30001000196040</t>
        </is>
      </c>
      <c r="BF325" t="inlineStr">
        <is>
          <t>893467741</t>
        </is>
      </c>
    </row>
    <row r="326">
      <c r="B326" t="inlineStr">
        <is>
          <t>CUHSL</t>
        </is>
      </c>
      <c r="C326" t="inlineStr">
        <is>
          <t>SHELVES</t>
        </is>
      </c>
      <c r="D326" t="inlineStr">
        <is>
          <t>QV95 A84085 2004</t>
        </is>
      </c>
      <c r="E326" t="inlineStr">
        <is>
          <t>0                      QV 0095000A  84085       2004</t>
        </is>
      </c>
      <c r="F326" t="inlineStr">
        <is>
          <t>Aspirin and related drugs / [edited by] K.D. Rainsford.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N326" t="inlineStr">
        <is>
          <t>London ; New York : Taylor &amp; Francis, 2004.</t>
        </is>
      </c>
      <c r="O326" t="inlineStr">
        <is>
          <t>2004</t>
        </is>
      </c>
      <c r="Q326" t="inlineStr">
        <is>
          <t>eng</t>
        </is>
      </c>
      <c r="R326" t="inlineStr">
        <is>
          <t>enk</t>
        </is>
      </c>
      <c r="T326" t="inlineStr">
        <is>
          <t xml:space="preserve">QV </t>
        </is>
      </c>
      <c r="U326" t="n">
        <v>17</v>
      </c>
      <c r="V326" t="n">
        <v>17</v>
      </c>
      <c r="W326" t="inlineStr">
        <is>
          <t>2007-12-04</t>
        </is>
      </c>
      <c r="X326" t="inlineStr">
        <is>
          <t>2007-12-04</t>
        </is>
      </c>
      <c r="Y326" t="inlineStr">
        <is>
          <t>2005-03-04</t>
        </is>
      </c>
      <c r="Z326" t="inlineStr">
        <is>
          <t>2005-03-04</t>
        </is>
      </c>
      <c r="AA326" t="n">
        <v>120</v>
      </c>
      <c r="AB326" t="n">
        <v>62</v>
      </c>
      <c r="AC326" t="n">
        <v>101</v>
      </c>
      <c r="AD326" t="n">
        <v>1</v>
      </c>
      <c r="AE326" t="n">
        <v>1</v>
      </c>
      <c r="AF326" t="n">
        <v>2</v>
      </c>
      <c r="AG326" t="n">
        <v>2</v>
      </c>
      <c r="AH326" t="n">
        <v>2</v>
      </c>
      <c r="AI326" t="n">
        <v>2</v>
      </c>
      <c r="AJ326" t="n">
        <v>0</v>
      </c>
      <c r="AK326" t="n">
        <v>0</v>
      </c>
      <c r="AL326" t="n">
        <v>0</v>
      </c>
      <c r="AM326" t="n">
        <v>0</v>
      </c>
      <c r="AN326" t="n">
        <v>0</v>
      </c>
      <c r="AO326" t="n">
        <v>0</v>
      </c>
      <c r="AP326" t="n">
        <v>0</v>
      </c>
      <c r="AQ326" t="n">
        <v>0</v>
      </c>
      <c r="AR326" t="inlineStr">
        <is>
          <t>No</t>
        </is>
      </c>
      <c r="AS326" t="inlineStr">
        <is>
          <t>No</t>
        </is>
      </c>
      <c r="AU326">
        <f>HYPERLINK("https://creighton-primo.hosted.exlibrisgroup.com/primo-explore/search?tab=default_tab&amp;search_scope=EVERYTHING&amp;vid=01CRU&amp;lang=en_US&amp;offset=0&amp;query=any,contains,991000431259702656","Catalog Record")</f>
        <v/>
      </c>
      <c r="AV326">
        <f>HYPERLINK("http://www.worldcat.org/oclc/49044343","WorldCat Record")</f>
        <v/>
      </c>
      <c r="AW326" t="inlineStr">
        <is>
          <t>3856460633:eng</t>
        </is>
      </c>
      <c r="AX326" t="inlineStr">
        <is>
          <t>49044343</t>
        </is>
      </c>
      <c r="AY326" t="inlineStr">
        <is>
          <t>991000431259702656</t>
        </is>
      </c>
      <c r="AZ326" t="inlineStr">
        <is>
          <t>991000431259702656</t>
        </is>
      </c>
      <c r="BA326" t="inlineStr">
        <is>
          <t>2265191470002656</t>
        </is>
      </c>
      <c r="BB326" t="inlineStr">
        <is>
          <t>BOOK</t>
        </is>
      </c>
      <c r="BD326" t="inlineStr">
        <is>
          <t>9780748408856</t>
        </is>
      </c>
      <c r="BE326" t="inlineStr">
        <is>
          <t>30001004928018</t>
        </is>
      </c>
      <c r="BF326" t="inlineStr">
        <is>
          <t>893109567</t>
        </is>
      </c>
    </row>
    <row r="327">
      <c r="B327" t="inlineStr">
        <is>
          <t>CUHSL</t>
        </is>
      </c>
      <c r="C327" t="inlineStr">
        <is>
          <t>SHELVES</t>
        </is>
      </c>
      <c r="D327" t="inlineStr">
        <is>
          <t>QV95 C555 1998</t>
        </is>
      </c>
      <c r="E327" t="inlineStr">
        <is>
          <t>0                      QV 0095000C  555         1998</t>
        </is>
      </c>
      <c r="F327" t="inlineStr">
        <is>
          <t>Clinical significance and potential of selective COX-2 inhibitors : the combined proceedings of the William Harvey Conferences held in Phuket, Thailand, on 18-19 September, 1997 and in Boston, USA, on 23-24 April, 1998, supported by an educational grant from Boehringer Ingelheim / edited by John R. Vane and Regina M. Botting.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N327" t="inlineStr">
        <is>
          <t>London : William Harvey Press, 1998.</t>
        </is>
      </c>
      <c r="O327" t="inlineStr">
        <is>
          <t>1998</t>
        </is>
      </c>
      <c r="Q327" t="inlineStr">
        <is>
          <t>eng</t>
        </is>
      </c>
      <c r="R327" t="inlineStr">
        <is>
          <t>enk</t>
        </is>
      </c>
      <c r="T327" t="inlineStr">
        <is>
          <t xml:space="preserve">QV </t>
        </is>
      </c>
      <c r="U327" t="n">
        <v>2</v>
      </c>
      <c r="V327" t="n">
        <v>2</v>
      </c>
      <c r="W327" t="inlineStr">
        <is>
          <t>2007-12-04</t>
        </is>
      </c>
      <c r="X327" t="inlineStr">
        <is>
          <t>2007-12-04</t>
        </is>
      </c>
      <c r="Y327" t="inlineStr">
        <is>
          <t>2002-01-15</t>
        </is>
      </c>
      <c r="Z327" t="inlineStr">
        <is>
          <t>2002-01-15</t>
        </is>
      </c>
      <c r="AA327" t="n">
        <v>107</v>
      </c>
      <c r="AB327" t="n">
        <v>101</v>
      </c>
      <c r="AC327" t="n">
        <v>104</v>
      </c>
      <c r="AD327" t="n">
        <v>1</v>
      </c>
      <c r="AE327" t="n">
        <v>1</v>
      </c>
      <c r="AF327" t="n">
        <v>3</v>
      </c>
      <c r="AG327" t="n">
        <v>3</v>
      </c>
      <c r="AH327" t="n">
        <v>0</v>
      </c>
      <c r="AI327" t="n">
        <v>0</v>
      </c>
      <c r="AJ327" t="n">
        <v>1</v>
      </c>
      <c r="AK327" t="n">
        <v>1</v>
      </c>
      <c r="AL327" t="n">
        <v>2</v>
      </c>
      <c r="AM327" t="n">
        <v>2</v>
      </c>
      <c r="AN327" t="n">
        <v>0</v>
      </c>
      <c r="AO327" t="n">
        <v>0</v>
      </c>
      <c r="AP327" t="n">
        <v>0</v>
      </c>
      <c r="AQ327" t="n">
        <v>0</v>
      </c>
      <c r="AR327" t="inlineStr">
        <is>
          <t>No</t>
        </is>
      </c>
      <c r="AS327" t="inlineStr">
        <is>
          <t>Yes</t>
        </is>
      </c>
      <c r="AT327">
        <f>HYPERLINK("http://catalog.hathitrust.org/Record/004198191","HathiTrust Record")</f>
        <v/>
      </c>
      <c r="AU327">
        <f>HYPERLINK("https://creighton-primo.hosted.exlibrisgroup.com/primo-explore/search?tab=default_tab&amp;search_scope=EVERYTHING&amp;vid=01CRU&amp;lang=en_US&amp;offset=0&amp;query=any,contains,991000302779702656","Catalog Record")</f>
        <v/>
      </c>
      <c r="AV327">
        <f>HYPERLINK("http://www.worldcat.org/oclc/41558655","WorldCat Record")</f>
        <v/>
      </c>
      <c r="AW327" t="inlineStr">
        <is>
          <t>26650619:eng</t>
        </is>
      </c>
      <c r="AX327" t="inlineStr">
        <is>
          <t>41558655</t>
        </is>
      </c>
      <c r="AY327" t="inlineStr">
        <is>
          <t>991000302779702656</t>
        </is>
      </c>
      <c r="AZ327" t="inlineStr">
        <is>
          <t>991000302779702656</t>
        </is>
      </c>
      <c r="BA327" t="inlineStr">
        <is>
          <t>2255251870002656</t>
        </is>
      </c>
      <c r="BB327" t="inlineStr">
        <is>
          <t>BOOK</t>
        </is>
      </c>
      <c r="BD327" t="inlineStr">
        <is>
          <t>9780953403905</t>
        </is>
      </c>
      <c r="BE327" t="inlineStr">
        <is>
          <t>30001004564490</t>
        </is>
      </c>
      <c r="BF327" t="inlineStr">
        <is>
          <t>893451940</t>
        </is>
      </c>
    </row>
    <row r="328">
      <c r="B328" t="inlineStr">
        <is>
          <t>CUHSL</t>
        </is>
      </c>
      <c r="C328" t="inlineStr">
        <is>
          <t>SHELVES</t>
        </is>
      </c>
      <c r="D328" t="inlineStr">
        <is>
          <t>QV 95 D457 1991</t>
        </is>
      </c>
      <c r="E328" t="inlineStr">
        <is>
          <t>0                      QV 0095000D  457         1991</t>
        </is>
      </c>
      <c r="F328" t="inlineStr">
        <is>
          <t>The Design of analgesic clinical trials / editors, Mitchell B. Max, Russell K. Portenoy, Eugene M. Laska.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N328" t="inlineStr">
        <is>
          <t>New York : Raven Press, c1991.</t>
        </is>
      </c>
      <c r="O328" t="inlineStr">
        <is>
          <t>1991</t>
        </is>
      </c>
      <c r="Q328" t="inlineStr">
        <is>
          <t>eng</t>
        </is>
      </c>
      <c r="R328" t="inlineStr">
        <is>
          <t>nyu</t>
        </is>
      </c>
      <c r="S328" t="inlineStr">
        <is>
          <t>Advances in pain research and therapy ; v. 18</t>
        </is>
      </c>
      <c r="T328" t="inlineStr">
        <is>
          <t xml:space="preserve">QV </t>
        </is>
      </c>
      <c r="U328" t="n">
        <v>11</v>
      </c>
      <c r="V328" t="n">
        <v>11</v>
      </c>
      <c r="W328" t="inlineStr">
        <is>
          <t>1999-12-13</t>
        </is>
      </c>
      <c r="X328" t="inlineStr">
        <is>
          <t>1999-12-13</t>
        </is>
      </c>
      <c r="Y328" t="inlineStr">
        <is>
          <t>1991-09-26</t>
        </is>
      </c>
      <c r="Z328" t="inlineStr">
        <is>
          <t>1991-09-26</t>
        </is>
      </c>
      <c r="AA328" t="n">
        <v>134</v>
      </c>
      <c r="AB328" t="n">
        <v>100</v>
      </c>
      <c r="AC328" t="n">
        <v>100</v>
      </c>
      <c r="AD328" t="n">
        <v>1</v>
      </c>
      <c r="AE328" t="n">
        <v>1</v>
      </c>
      <c r="AF328" t="n">
        <v>4</v>
      </c>
      <c r="AG328" t="n">
        <v>4</v>
      </c>
      <c r="AH328" t="n">
        <v>1</v>
      </c>
      <c r="AI328" t="n">
        <v>1</v>
      </c>
      <c r="AJ328" t="n">
        <v>1</v>
      </c>
      <c r="AK328" t="n">
        <v>1</v>
      </c>
      <c r="AL328" t="n">
        <v>2</v>
      </c>
      <c r="AM328" t="n">
        <v>2</v>
      </c>
      <c r="AN328" t="n">
        <v>0</v>
      </c>
      <c r="AO328" t="n">
        <v>0</v>
      </c>
      <c r="AP328" t="n">
        <v>0</v>
      </c>
      <c r="AQ328" t="n">
        <v>0</v>
      </c>
      <c r="AR328" t="inlineStr">
        <is>
          <t>No</t>
        </is>
      </c>
      <c r="AS328" t="inlineStr">
        <is>
          <t>No</t>
        </is>
      </c>
      <c r="AU328">
        <f>HYPERLINK("https://creighton-primo.hosted.exlibrisgroup.com/primo-explore/search?tab=default_tab&amp;search_scope=EVERYTHING&amp;vid=01CRU&amp;lang=en_US&amp;offset=0&amp;query=any,contains,991001017509702656","Catalog Record")</f>
        <v/>
      </c>
      <c r="AV328">
        <f>HYPERLINK("http://www.worldcat.org/oclc/22452703","WorldCat Record")</f>
        <v/>
      </c>
      <c r="AW328" t="inlineStr">
        <is>
          <t>349960256:eng</t>
        </is>
      </c>
      <c r="AX328" t="inlineStr">
        <is>
          <t>22452703</t>
        </is>
      </c>
      <c r="AY328" t="inlineStr">
        <is>
          <t>991001017509702656</t>
        </is>
      </c>
      <c r="AZ328" t="inlineStr">
        <is>
          <t>991001017509702656</t>
        </is>
      </c>
      <c r="BA328" t="inlineStr">
        <is>
          <t>2260332030002656</t>
        </is>
      </c>
      <c r="BB328" t="inlineStr">
        <is>
          <t>BOOK</t>
        </is>
      </c>
      <c r="BD328" t="inlineStr">
        <is>
          <t>9780881677362</t>
        </is>
      </c>
      <c r="BE328" t="inlineStr">
        <is>
          <t>30001002240978</t>
        </is>
      </c>
      <c r="BF328" t="inlineStr">
        <is>
          <t>893826374</t>
        </is>
      </c>
    </row>
    <row r="329">
      <c r="B329" t="inlineStr">
        <is>
          <t>CUHSL</t>
        </is>
      </c>
      <c r="C329" t="inlineStr">
        <is>
          <t>SHELVES</t>
        </is>
      </c>
      <c r="D329" t="inlineStr">
        <is>
          <t>QV 95 N533 1996</t>
        </is>
      </c>
      <c r="E329" t="inlineStr">
        <is>
          <t>0                      QV 0095000N  533         1996</t>
        </is>
      </c>
      <c r="F329" t="inlineStr">
        <is>
          <t>New targets in inflammation : inhibitors of COX-2 or adhesion molecules : proceedings of a conference held on April 15-16, 1996, in New Orleans, USA, supported by an educational grant from Boehringer Ingelheim / edited by Nicolas Bazan, Jack Botting, and Sir John Vane.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N329" t="inlineStr">
        <is>
          <t>Dordrecht ; Boston : Kluwer Academic Publishers : William Harvey Press, c1996.</t>
        </is>
      </c>
      <c r="O329" t="inlineStr">
        <is>
          <t>1996</t>
        </is>
      </c>
      <c r="Q329" t="inlineStr">
        <is>
          <t>eng</t>
        </is>
      </c>
      <c r="R329" t="inlineStr">
        <is>
          <t xml:space="preserve">ne </t>
        </is>
      </c>
      <c r="T329" t="inlineStr">
        <is>
          <t xml:space="preserve">QV </t>
        </is>
      </c>
      <c r="U329" t="n">
        <v>3</v>
      </c>
      <c r="V329" t="n">
        <v>3</v>
      </c>
      <c r="W329" t="inlineStr">
        <is>
          <t>2007-12-04</t>
        </is>
      </c>
      <c r="X329" t="inlineStr">
        <is>
          <t>2007-12-04</t>
        </is>
      </c>
      <c r="Y329" t="inlineStr">
        <is>
          <t>2002-01-15</t>
        </is>
      </c>
      <c r="Z329" t="inlineStr">
        <is>
          <t>2002-01-15</t>
        </is>
      </c>
      <c r="AA329" t="n">
        <v>213</v>
      </c>
      <c r="AB329" t="n">
        <v>200</v>
      </c>
      <c r="AC329" t="n">
        <v>233</v>
      </c>
      <c r="AD329" t="n">
        <v>1</v>
      </c>
      <c r="AE329" t="n">
        <v>1</v>
      </c>
      <c r="AF329" t="n">
        <v>5</v>
      </c>
      <c r="AG329" t="n">
        <v>6</v>
      </c>
      <c r="AH329" t="n">
        <v>1</v>
      </c>
      <c r="AI329" t="n">
        <v>2</v>
      </c>
      <c r="AJ329" t="n">
        <v>2</v>
      </c>
      <c r="AK329" t="n">
        <v>2</v>
      </c>
      <c r="AL329" t="n">
        <v>2</v>
      </c>
      <c r="AM329" t="n">
        <v>3</v>
      </c>
      <c r="AN329" t="n">
        <v>0</v>
      </c>
      <c r="AO329" t="n">
        <v>0</v>
      </c>
      <c r="AP329" t="n">
        <v>0</v>
      </c>
      <c r="AQ329" t="n">
        <v>0</v>
      </c>
      <c r="AR329" t="inlineStr">
        <is>
          <t>No</t>
        </is>
      </c>
      <c r="AS329" t="inlineStr">
        <is>
          <t>Yes</t>
        </is>
      </c>
      <c r="AT329">
        <f>HYPERLINK("http://catalog.hathitrust.org/Record/003136122","HathiTrust Record")</f>
        <v/>
      </c>
      <c r="AU329">
        <f>HYPERLINK("https://creighton-primo.hosted.exlibrisgroup.com/primo-explore/search?tab=default_tab&amp;search_scope=EVERYTHING&amp;vid=01CRU&amp;lang=en_US&amp;offset=0&amp;query=any,contains,991000302819702656","Catalog Record")</f>
        <v/>
      </c>
      <c r="AV329">
        <f>HYPERLINK("http://www.worldcat.org/oclc/36842482","WorldCat Record")</f>
        <v/>
      </c>
      <c r="AW329" t="inlineStr">
        <is>
          <t>836951924:eng</t>
        </is>
      </c>
      <c r="AX329" t="inlineStr">
        <is>
          <t>36842482</t>
        </is>
      </c>
      <c r="AY329" t="inlineStr">
        <is>
          <t>991000302819702656</t>
        </is>
      </c>
      <c r="AZ329" t="inlineStr">
        <is>
          <t>991000302819702656</t>
        </is>
      </c>
      <c r="BA329" t="inlineStr">
        <is>
          <t>2254767380002656</t>
        </is>
      </c>
      <c r="BB329" t="inlineStr">
        <is>
          <t>BOOK</t>
        </is>
      </c>
      <c r="BD329" t="inlineStr">
        <is>
          <t>9780792387145</t>
        </is>
      </c>
      <c r="BE329" t="inlineStr">
        <is>
          <t>30001004564508</t>
        </is>
      </c>
      <c r="BF329" t="inlineStr">
        <is>
          <t>893827281</t>
        </is>
      </c>
    </row>
    <row r="330">
      <c r="B330" t="inlineStr">
        <is>
          <t>CUHSL</t>
        </is>
      </c>
      <c r="C330" t="inlineStr">
        <is>
          <t>SHELVES</t>
        </is>
      </c>
      <c r="D330" t="inlineStr">
        <is>
          <t>QV 95 S464 1998</t>
        </is>
      </c>
      <c r="E330" t="inlineStr">
        <is>
          <t>0                      QV 0095000S  464         1998</t>
        </is>
      </c>
      <c r="F330" t="inlineStr">
        <is>
          <t>Selective COX-2 inhibitors : pharmacology, clinical effects, and therapeutic potential : proceedings of a conference held on March 20-21, 1997, in Cannes, France / edited by Sir John Vane and Jack Botting.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Dordrecht ; London : Kluwer Academic, c1998.</t>
        </is>
      </c>
      <c r="O330" t="inlineStr">
        <is>
          <t>1998</t>
        </is>
      </c>
      <c r="Q330" t="inlineStr">
        <is>
          <t>eng</t>
        </is>
      </c>
      <c r="R330" t="inlineStr">
        <is>
          <t>enk</t>
        </is>
      </c>
      <c r="T330" t="inlineStr">
        <is>
          <t xml:space="preserve">QV </t>
        </is>
      </c>
      <c r="U330" t="n">
        <v>2</v>
      </c>
      <c r="V330" t="n">
        <v>2</v>
      </c>
      <c r="W330" t="inlineStr">
        <is>
          <t>2007-12-04</t>
        </is>
      </c>
      <c r="X330" t="inlineStr">
        <is>
          <t>2007-12-04</t>
        </is>
      </c>
      <c r="Y330" t="inlineStr">
        <is>
          <t>2002-01-15</t>
        </is>
      </c>
      <c r="Z330" t="inlineStr">
        <is>
          <t>2002-01-15</t>
        </is>
      </c>
      <c r="AA330" t="n">
        <v>232</v>
      </c>
      <c r="AB330" t="n">
        <v>211</v>
      </c>
      <c r="AC330" t="n">
        <v>246</v>
      </c>
      <c r="AD330" t="n">
        <v>1</v>
      </c>
      <c r="AE330" t="n">
        <v>1</v>
      </c>
      <c r="AF330" t="n">
        <v>5</v>
      </c>
      <c r="AG330" t="n">
        <v>7</v>
      </c>
      <c r="AH330" t="n">
        <v>1</v>
      </c>
      <c r="AI330" t="n">
        <v>2</v>
      </c>
      <c r="AJ330" t="n">
        <v>2</v>
      </c>
      <c r="AK330" t="n">
        <v>2</v>
      </c>
      <c r="AL330" t="n">
        <v>2</v>
      </c>
      <c r="AM330" t="n">
        <v>4</v>
      </c>
      <c r="AN330" t="n">
        <v>0</v>
      </c>
      <c r="AO330" t="n">
        <v>0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HYPERLINK("http://catalog.hathitrust.org/Record/003966208","HathiTrust Record")</f>
        <v/>
      </c>
      <c r="AU330">
        <f>HYPERLINK("https://creighton-primo.hosted.exlibrisgroup.com/primo-explore/search?tab=default_tab&amp;search_scope=EVERYTHING&amp;vid=01CRU&amp;lang=en_US&amp;offset=0&amp;query=any,contains,991000302859702656","Catalog Record")</f>
        <v/>
      </c>
      <c r="AV330">
        <f>HYPERLINK("http://www.worldcat.org/oclc/38550070","WorldCat Record")</f>
        <v/>
      </c>
      <c r="AW330" t="inlineStr">
        <is>
          <t>837065318:eng</t>
        </is>
      </c>
      <c r="AX330" t="inlineStr">
        <is>
          <t>38550070</t>
        </is>
      </c>
      <c r="AY330" t="inlineStr">
        <is>
          <t>991000302859702656</t>
        </is>
      </c>
      <c r="AZ330" t="inlineStr">
        <is>
          <t>991000302859702656</t>
        </is>
      </c>
      <c r="BA330" t="inlineStr">
        <is>
          <t>2268132930002656</t>
        </is>
      </c>
      <c r="BB330" t="inlineStr">
        <is>
          <t>BOOK</t>
        </is>
      </c>
      <c r="BD330" t="inlineStr">
        <is>
          <t>9780792387299</t>
        </is>
      </c>
      <c r="BE330" t="inlineStr">
        <is>
          <t>30001004564482</t>
        </is>
      </c>
      <c r="BF330" t="inlineStr">
        <is>
          <t>893629055</t>
        </is>
      </c>
    </row>
    <row r="331">
      <c r="B331" t="inlineStr">
        <is>
          <t>CUHSL</t>
        </is>
      </c>
      <c r="C331" t="inlineStr">
        <is>
          <t>SHELVES</t>
        </is>
      </c>
      <c r="D331" t="inlineStr">
        <is>
          <t>QV 95 S655s 1966</t>
        </is>
      </c>
      <c r="E331" t="inlineStr">
        <is>
          <t>0                      QV 0095000S  655s        1966</t>
        </is>
      </c>
      <c r="F331" t="inlineStr">
        <is>
          <t>The salicylates : a critical bibliographic review / M.J. H. Smith and Paul K. Smith.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No</t>
        </is>
      </c>
      <c r="L331" t="inlineStr">
        <is>
          <t>0</t>
        </is>
      </c>
      <c r="M331" t="inlineStr">
        <is>
          <t>Smith, M. J. H. editor.</t>
        </is>
      </c>
      <c r="N331" t="inlineStr">
        <is>
          <t>New York : Interscience Publishers, 1966.</t>
        </is>
      </c>
      <c r="O331" t="inlineStr">
        <is>
          <t>1966</t>
        </is>
      </c>
      <c r="Q331" t="inlineStr">
        <is>
          <t>eng</t>
        </is>
      </c>
      <c r="R331" t="inlineStr">
        <is>
          <t>nyu</t>
        </is>
      </c>
      <c r="T331" t="inlineStr">
        <is>
          <t xml:space="preserve">QV </t>
        </is>
      </c>
      <c r="U331" t="n">
        <v>3</v>
      </c>
      <c r="V331" t="n">
        <v>3</v>
      </c>
      <c r="W331" t="inlineStr">
        <is>
          <t>1995-03-28</t>
        </is>
      </c>
      <c r="X331" t="inlineStr">
        <is>
          <t>1995-03-28</t>
        </is>
      </c>
      <c r="Y331" t="inlineStr">
        <is>
          <t>1988-03-17</t>
        </is>
      </c>
      <c r="Z331" t="inlineStr">
        <is>
          <t>1988-03-17</t>
        </is>
      </c>
      <c r="AA331" t="n">
        <v>268</v>
      </c>
      <c r="AB331" t="n">
        <v>208</v>
      </c>
      <c r="AC331" t="n">
        <v>212</v>
      </c>
      <c r="AD331" t="n">
        <v>2</v>
      </c>
      <c r="AE331" t="n">
        <v>2</v>
      </c>
      <c r="AF331" t="n">
        <v>9</v>
      </c>
      <c r="AG331" t="n">
        <v>9</v>
      </c>
      <c r="AH331" t="n">
        <v>5</v>
      </c>
      <c r="AI331" t="n">
        <v>5</v>
      </c>
      <c r="AJ331" t="n">
        <v>1</v>
      </c>
      <c r="AK331" t="n">
        <v>1</v>
      </c>
      <c r="AL331" t="n">
        <v>5</v>
      </c>
      <c r="AM331" t="n">
        <v>5</v>
      </c>
      <c r="AN331" t="n">
        <v>1</v>
      </c>
      <c r="AO331" t="n">
        <v>1</v>
      </c>
      <c r="AP331" t="n">
        <v>0</v>
      </c>
      <c r="AQ331" t="n">
        <v>0</v>
      </c>
      <c r="AR331" t="inlineStr">
        <is>
          <t>No</t>
        </is>
      </c>
      <c r="AS331" t="inlineStr">
        <is>
          <t>Yes</t>
        </is>
      </c>
      <c r="AT331">
        <f>HYPERLINK("http://catalog.hathitrust.org/Record/001573224","HathiTrust Record")</f>
        <v/>
      </c>
      <c r="AU331">
        <f>HYPERLINK("https://creighton-primo.hosted.exlibrisgroup.com/primo-explore/search?tab=default_tab&amp;search_scope=EVERYTHING&amp;vid=01CRU&amp;lang=en_US&amp;offset=0&amp;query=any,contains,991000959069702656","Catalog Record")</f>
        <v/>
      </c>
      <c r="AV331">
        <f>HYPERLINK("http://www.worldcat.org/oclc/1224211","WorldCat Record")</f>
        <v/>
      </c>
      <c r="AW331" t="inlineStr">
        <is>
          <t>234532737:eng</t>
        </is>
      </c>
      <c r="AX331" t="inlineStr">
        <is>
          <t>1224211</t>
        </is>
      </c>
      <c r="AY331" t="inlineStr">
        <is>
          <t>991000959069702656</t>
        </is>
      </c>
      <c r="AZ331" t="inlineStr">
        <is>
          <t>991000959069702656</t>
        </is>
      </c>
      <c r="BA331" t="inlineStr">
        <is>
          <t>2265556100002656</t>
        </is>
      </c>
      <c r="BB331" t="inlineStr">
        <is>
          <t>BOOK</t>
        </is>
      </c>
      <c r="BE331" t="inlineStr">
        <is>
          <t>30001000196032</t>
        </is>
      </c>
      <c r="BF331" t="inlineStr">
        <is>
          <t>893267870</t>
        </is>
      </c>
    </row>
    <row r="332">
      <c r="B332" t="inlineStr">
        <is>
          <t>CUHSL</t>
        </is>
      </c>
      <c r="C332" t="inlineStr">
        <is>
          <t>SHELVES</t>
        </is>
      </c>
      <c r="D332" t="inlineStr">
        <is>
          <t>QV 109 H193 1970</t>
        </is>
      </c>
      <c r="E332" t="inlineStr">
        <is>
          <t>0                      QV 0109000H  193         1970</t>
        </is>
      </c>
      <c r="F332" t="inlineStr">
        <is>
          <t>Hallucinogenic drug research: impact on science and society : proceedings of the first annual symposium of the Student Association for the Study of Hallucinogens / edited by James R. Gamage &amp; Edmund L. Zerkin.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N332" t="inlineStr">
        <is>
          <t>Beloit, Wis. : STASH Press, 1970.</t>
        </is>
      </c>
      <c r="O332" t="inlineStr">
        <is>
          <t>1970</t>
        </is>
      </c>
      <c r="Q332" t="inlineStr">
        <is>
          <t>eng</t>
        </is>
      </c>
      <c r="R332" t="inlineStr">
        <is>
          <t>wiu</t>
        </is>
      </c>
      <c r="T332" t="inlineStr">
        <is>
          <t xml:space="preserve">QV </t>
        </is>
      </c>
      <c r="U332" t="n">
        <v>10</v>
      </c>
      <c r="V332" t="n">
        <v>10</v>
      </c>
      <c r="W332" t="inlineStr">
        <is>
          <t>1996-09-20</t>
        </is>
      </c>
      <c r="X332" t="inlineStr">
        <is>
          <t>1996-09-20</t>
        </is>
      </c>
      <c r="Y332" t="inlineStr">
        <is>
          <t>1988-03-17</t>
        </is>
      </c>
      <c r="Z332" t="inlineStr">
        <is>
          <t>1988-03-17</t>
        </is>
      </c>
      <c r="AA332" t="n">
        <v>197</v>
      </c>
      <c r="AB332" t="n">
        <v>171</v>
      </c>
      <c r="AC332" t="n">
        <v>178</v>
      </c>
      <c r="AD332" t="n">
        <v>1</v>
      </c>
      <c r="AE332" t="n">
        <v>1</v>
      </c>
      <c r="AF332" t="n">
        <v>6</v>
      </c>
      <c r="AG332" t="n">
        <v>6</v>
      </c>
      <c r="AH332" t="n">
        <v>3</v>
      </c>
      <c r="AI332" t="n">
        <v>3</v>
      </c>
      <c r="AJ332" t="n">
        <v>2</v>
      </c>
      <c r="AK332" t="n">
        <v>2</v>
      </c>
      <c r="AL332" t="n">
        <v>2</v>
      </c>
      <c r="AM332" t="n">
        <v>2</v>
      </c>
      <c r="AN332" t="n">
        <v>0</v>
      </c>
      <c r="AO332" t="n">
        <v>0</v>
      </c>
      <c r="AP332" t="n">
        <v>1</v>
      </c>
      <c r="AQ332" t="n">
        <v>1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HYPERLINK("https://creighton-primo.hosted.exlibrisgroup.com/primo-explore/search?tab=default_tab&amp;search_scope=EVERYTHING&amp;vid=01CRU&amp;lang=en_US&amp;offset=0&amp;query=any,contains,991000958999702656","Catalog Record")</f>
        <v/>
      </c>
      <c r="AV332">
        <f>HYPERLINK("http://www.worldcat.org/oclc/96437","WorldCat Record")</f>
        <v/>
      </c>
      <c r="AW332" t="inlineStr">
        <is>
          <t>1321574:eng</t>
        </is>
      </c>
      <c r="AX332" t="inlineStr">
        <is>
          <t>96437</t>
        </is>
      </c>
      <c r="AY332" t="inlineStr">
        <is>
          <t>991000958999702656</t>
        </is>
      </c>
      <c r="AZ332" t="inlineStr">
        <is>
          <t>991000958999702656</t>
        </is>
      </c>
      <c r="BA332" t="inlineStr">
        <is>
          <t>2271262170002656</t>
        </is>
      </c>
      <c r="BB332" t="inlineStr">
        <is>
          <t>BOOK</t>
        </is>
      </c>
      <c r="BE332" t="inlineStr">
        <is>
          <t>30001000195943</t>
        </is>
      </c>
      <c r="BF332" t="inlineStr">
        <is>
          <t>893831779</t>
        </is>
      </c>
    </row>
    <row r="333">
      <c r="B333" t="inlineStr">
        <is>
          <t>CUHSL</t>
        </is>
      </c>
      <c r="C333" t="inlineStr">
        <is>
          <t>SHELVES</t>
        </is>
      </c>
      <c r="D333" t="inlineStr">
        <is>
          <t>QV 109 M648m</t>
        </is>
      </c>
      <c r="E333" t="inlineStr">
        <is>
          <t>0                      QV 0109000M  648m</t>
        </is>
      </c>
      <c r="F333" t="inlineStr">
        <is>
          <t>Marijuana : effects on human behavior / edited by Loren L. Miller.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Miller, Loren L.</t>
        </is>
      </c>
      <c r="N333" t="inlineStr">
        <is>
          <t>New York : Academic Press, 1974.</t>
        </is>
      </c>
      <c r="O333" t="inlineStr">
        <is>
          <t>1974</t>
        </is>
      </c>
      <c r="Q333" t="inlineStr">
        <is>
          <t>eng</t>
        </is>
      </c>
      <c r="R333" t="inlineStr">
        <is>
          <t>nyu</t>
        </is>
      </c>
      <c r="T333" t="inlineStr">
        <is>
          <t xml:space="preserve">QV </t>
        </is>
      </c>
      <c r="U333" t="n">
        <v>10</v>
      </c>
      <c r="V333" t="n">
        <v>10</v>
      </c>
      <c r="W333" t="inlineStr">
        <is>
          <t>2008-04-23</t>
        </is>
      </c>
      <c r="X333" t="inlineStr">
        <is>
          <t>2008-04-23</t>
        </is>
      </c>
      <c r="Y333" t="inlineStr">
        <is>
          <t>1988-03-17</t>
        </is>
      </c>
      <c r="Z333" t="inlineStr">
        <is>
          <t>1988-03-17</t>
        </is>
      </c>
      <c r="AA333" t="n">
        <v>386</v>
      </c>
      <c r="AB333" t="n">
        <v>278</v>
      </c>
      <c r="AC333" t="n">
        <v>328</v>
      </c>
      <c r="AD333" t="n">
        <v>3</v>
      </c>
      <c r="AE333" t="n">
        <v>3</v>
      </c>
      <c r="AF333" t="n">
        <v>14</v>
      </c>
      <c r="AG333" t="n">
        <v>16</v>
      </c>
      <c r="AH333" t="n">
        <v>3</v>
      </c>
      <c r="AI333" t="n">
        <v>4</v>
      </c>
      <c r="AJ333" t="n">
        <v>4</v>
      </c>
      <c r="AK333" t="n">
        <v>5</v>
      </c>
      <c r="AL333" t="n">
        <v>9</v>
      </c>
      <c r="AM333" t="n">
        <v>9</v>
      </c>
      <c r="AN333" t="n">
        <v>2</v>
      </c>
      <c r="AO333" t="n">
        <v>2</v>
      </c>
      <c r="AP333" t="n">
        <v>1</v>
      </c>
      <c r="AQ333" t="n">
        <v>1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HYPERLINK("http://catalog.hathitrust.org/Record/000661514","HathiTrust Record")</f>
        <v/>
      </c>
      <c r="AU333">
        <f>HYPERLINK("https://creighton-primo.hosted.exlibrisgroup.com/primo-explore/search?tab=default_tab&amp;search_scope=EVERYTHING&amp;vid=01CRU&amp;lang=en_US&amp;offset=0&amp;query=any,contains,991000958969702656","Catalog Record")</f>
        <v/>
      </c>
      <c r="AV333">
        <f>HYPERLINK("http://www.worldcat.org/oclc/1009340","WorldCat Record")</f>
        <v/>
      </c>
      <c r="AW333" t="inlineStr">
        <is>
          <t>409452:eng</t>
        </is>
      </c>
      <c r="AX333" t="inlineStr">
        <is>
          <t>1009340</t>
        </is>
      </c>
      <c r="AY333" t="inlineStr">
        <is>
          <t>991000958969702656</t>
        </is>
      </c>
      <c r="AZ333" t="inlineStr">
        <is>
          <t>991000958969702656</t>
        </is>
      </c>
      <c r="BA333" t="inlineStr">
        <is>
          <t>2263627890002656</t>
        </is>
      </c>
      <c r="BB333" t="inlineStr">
        <is>
          <t>BOOK</t>
        </is>
      </c>
      <c r="BD333" t="inlineStr">
        <is>
          <t>9780124970502</t>
        </is>
      </c>
      <c r="BE333" t="inlineStr">
        <is>
          <t>30001000195935</t>
        </is>
      </c>
      <c r="BF333" t="inlineStr">
        <is>
          <t>893284177</t>
        </is>
      </c>
    </row>
    <row r="334">
      <c r="B334" t="inlineStr">
        <is>
          <t>CUHSL</t>
        </is>
      </c>
      <c r="C334" t="inlineStr">
        <is>
          <t>SHELVES</t>
        </is>
      </c>
      <c r="D334" t="inlineStr">
        <is>
          <t>QV 109 P975 1970</t>
        </is>
      </c>
      <c r="E334" t="inlineStr">
        <is>
          <t>0                      QV 0109000P  975         1970</t>
        </is>
      </c>
      <c r="F334" t="inlineStr">
        <is>
          <t>Psychotomimetic drugs : proceedings of a workshop organized by the Pharmacology Section, Psychopharmacology Research Branch, National Institute of Mental Health / Edited by Daniel H. Efron.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N334" t="inlineStr">
        <is>
          <t>New York : Raven Press, [1970]</t>
        </is>
      </c>
      <c r="O334" t="inlineStr">
        <is>
          <t>1970</t>
        </is>
      </c>
      <c r="Q334" t="inlineStr">
        <is>
          <t>eng</t>
        </is>
      </c>
      <c r="R334" t="inlineStr">
        <is>
          <t>nyu</t>
        </is>
      </c>
      <c r="S334" t="inlineStr">
        <is>
          <t>National Institute of Mental Health. Workshop series of Pharmacology Section, no. 4</t>
        </is>
      </c>
      <c r="T334" t="inlineStr">
        <is>
          <t xml:space="preserve">QV </t>
        </is>
      </c>
      <c r="U334" t="n">
        <v>8</v>
      </c>
      <c r="V334" t="n">
        <v>8</v>
      </c>
      <c r="W334" t="inlineStr">
        <is>
          <t>2008-04-23</t>
        </is>
      </c>
      <c r="X334" t="inlineStr">
        <is>
          <t>2008-04-23</t>
        </is>
      </c>
      <c r="Y334" t="inlineStr">
        <is>
          <t>1988-03-03</t>
        </is>
      </c>
      <c r="Z334" t="inlineStr">
        <is>
          <t>1988-03-03</t>
        </is>
      </c>
      <c r="AA334" t="n">
        <v>244</v>
      </c>
      <c r="AB334" t="n">
        <v>193</v>
      </c>
      <c r="AC334" t="n">
        <v>194</v>
      </c>
      <c r="AD334" t="n">
        <v>2</v>
      </c>
      <c r="AE334" t="n">
        <v>2</v>
      </c>
      <c r="AF334" t="n">
        <v>7</v>
      </c>
      <c r="AG334" t="n">
        <v>7</v>
      </c>
      <c r="AH334" t="n">
        <v>2</v>
      </c>
      <c r="AI334" t="n">
        <v>2</v>
      </c>
      <c r="AJ334" t="n">
        <v>2</v>
      </c>
      <c r="AK334" t="n">
        <v>2</v>
      </c>
      <c r="AL334" t="n">
        <v>3</v>
      </c>
      <c r="AM334" t="n">
        <v>3</v>
      </c>
      <c r="AN334" t="n">
        <v>1</v>
      </c>
      <c r="AO334" t="n">
        <v>1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HYPERLINK("http://catalog.hathitrust.org/Record/001688629","HathiTrust Record")</f>
        <v/>
      </c>
      <c r="AU334">
        <f>HYPERLINK("https://creighton-primo.hosted.exlibrisgroup.com/primo-explore/search?tab=default_tab&amp;search_scope=EVERYTHING&amp;vid=01CRU&amp;lang=en_US&amp;offset=0&amp;query=any,contains,991000958899702656","Catalog Record")</f>
        <v/>
      </c>
      <c r="AV334">
        <f>HYPERLINK("http://www.worldcat.org/oclc/58755","WorldCat Record")</f>
        <v/>
      </c>
      <c r="AW334" t="inlineStr">
        <is>
          <t>5615444390:eng</t>
        </is>
      </c>
      <c r="AX334" t="inlineStr">
        <is>
          <t>58755</t>
        </is>
      </c>
      <c r="AY334" t="inlineStr">
        <is>
          <t>991000958899702656</t>
        </is>
      </c>
      <c r="AZ334" t="inlineStr">
        <is>
          <t>991000958899702656</t>
        </is>
      </c>
      <c r="BA334" t="inlineStr">
        <is>
          <t>2260188980002656</t>
        </is>
      </c>
      <c r="BB334" t="inlineStr">
        <is>
          <t>BOOK</t>
        </is>
      </c>
      <c r="BE334" t="inlineStr">
        <is>
          <t>30001000195919</t>
        </is>
      </c>
      <c r="BF334" t="inlineStr">
        <is>
          <t>893134128</t>
        </is>
      </c>
    </row>
    <row r="335">
      <c r="B335" t="inlineStr">
        <is>
          <t>CUHSL</t>
        </is>
      </c>
      <c r="C335" t="inlineStr">
        <is>
          <t>SHELVES</t>
        </is>
      </c>
      <c r="D335" t="inlineStr">
        <is>
          <t>QV 110 C873L 1976</t>
        </is>
      </c>
      <c r="E335" t="inlineStr">
        <is>
          <t>0                      QV 0110000C  873L        1976</t>
        </is>
      </c>
      <c r="F335" t="inlineStr">
        <is>
          <t>Local anesthetics : mechanisms of action and clinical use / Benjamin G. Covino and Helen G. Vassallo.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Covino, Benjamin G., 1930-</t>
        </is>
      </c>
      <c r="N335" t="inlineStr">
        <is>
          <t>New York : Grune &amp; Stratton, c1976.</t>
        </is>
      </c>
      <c r="O335" t="inlineStr">
        <is>
          <t>1976</t>
        </is>
      </c>
      <c r="Q335" t="inlineStr">
        <is>
          <t>eng</t>
        </is>
      </c>
      <c r="R335" t="inlineStr">
        <is>
          <t>nyu</t>
        </is>
      </c>
      <c r="S335" t="inlineStr">
        <is>
          <t>The Scientific basis of clinical anesthesia</t>
        </is>
      </c>
      <c r="T335" t="inlineStr">
        <is>
          <t xml:space="preserve">QV </t>
        </is>
      </c>
      <c r="U335" t="n">
        <v>6</v>
      </c>
      <c r="V335" t="n">
        <v>6</v>
      </c>
      <c r="W335" t="inlineStr">
        <is>
          <t>2002-11-18</t>
        </is>
      </c>
      <c r="X335" t="inlineStr">
        <is>
          <t>2002-11-18</t>
        </is>
      </c>
      <c r="Y335" t="inlineStr">
        <is>
          <t>1988-12-29</t>
        </is>
      </c>
      <c r="Z335" t="inlineStr">
        <is>
          <t>1988-12-29</t>
        </is>
      </c>
      <c r="AA335" t="n">
        <v>173</v>
      </c>
      <c r="AB335" t="n">
        <v>114</v>
      </c>
      <c r="AC335" t="n">
        <v>121</v>
      </c>
      <c r="AD335" t="n">
        <v>2</v>
      </c>
      <c r="AE335" t="n">
        <v>2</v>
      </c>
      <c r="AF335" t="n">
        <v>5</v>
      </c>
      <c r="AG335" t="n">
        <v>5</v>
      </c>
      <c r="AH335" t="n">
        <v>1</v>
      </c>
      <c r="AI335" t="n">
        <v>1</v>
      </c>
      <c r="AJ335" t="n">
        <v>3</v>
      </c>
      <c r="AK335" t="n">
        <v>3</v>
      </c>
      <c r="AL335" t="n">
        <v>2</v>
      </c>
      <c r="AM335" t="n">
        <v>2</v>
      </c>
      <c r="AN335" t="n">
        <v>1</v>
      </c>
      <c r="AO335" t="n">
        <v>1</v>
      </c>
      <c r="AP335" t="n">
        <v>0</v>
      </c>
      <c r="AQ335" t="n">
        <v>0</v>
      </c>
      <c r="AR335" t="inlineStr">
        <is>
          <t>No</t>
        </is>
      </c>
      <c r="AS335" t="inlineStr">
        <is>
          <t>Yes</t>
        </is>
      </c>
      <c r="AT335">
        <f>HYPERLINK("http://catalog.hathitrust.org/Record/000687993","HathiTrust Record")</f>
        <v/>
      </c>
      <c r="AU335">
        <f>HYPERLINK("https://creighton-primo.hosted.exlibrisgroup.com/primo-explore/search?tab=default_tab&amp;search_scope=EVERYTHING&amp;vid=01CRU&amp;lang=en_US&amp;offset=0&amp;query=any,contains,991000958839702656","Catalog Record")</f>
        <v/>
      </c>
      <c r="AV335">
        <f>HYPERLINK("http://www.worldcat.org/oclc/1849163","WorldCat Record")</f>
        <v/>
      </c>
      <c r="AW335" t="inlineStr">
        <is>
          <t>375320911:eng</t>
        </is>
      </c>
      <c r="AX335" t="inlineStr">
        <is>
          <t>1849163</t>
        </is>
      </c>
      <c r="AY335" t="inlineStr">
        <is>
          <t>991000958839702656</t>
        </is>
      </c>
      <c r="AZ335" t="inlineStr">
        <is>
          <t>991000958839702656</t>
        </is>
      </c>
      <c r="BA335" t="inlineStr">
        <is>
          <t>2257730440002656</t>
        </is>
      </c>
      <c r="BB335" t="inlineStr">
        <is>
          <t>BOOK</t>
        </is>
      </c>
      <c r="BE335" t="inlineStr">
        <is>
          <t>30001000195885</t>
        </is>
      </c>
      <c r="BF335" t="inlineStr">
        <is>
          <t>893632568</t>
        </is>
      </c>
    </row>
    <row r="336">
      <c r="B336" t="inlineStr">
        <is>
          <t>CUHSL</t>
        </is>
      </c>
      <c r="C336" t="inlineStr">
        <is>
          <t>SHELVES</t>
        </is>
      </c>
      <c r="D336" t="inlineStr">
        <is>
          <t>QV 110 L811 1987</t>
        </is>
      </c>
      <c r="E336" t="inlineStr">
        <is>
          <t>0                      QV 0110000L  811         1987</t>
        </is>
      </c>
      <c r="F336" t="inlineStr">
        <is>
          <t>Local anesthetics / contributors, G.R. Arthur ... [et al.] ; editor, G.R. Strichartz.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N336" t="inlineStr">
        <is>
          <t>Berlin ; New York : Springer-Verlag, c1987.</t>
        </is>
      </c>
      <c r="O336" t="inlineStr">
        <is>
          <t>1987</t>
        </is>
      </c>
      <c r="Q336" t="inlineStr">
        <is>
          <t>eng</t>
        </is>
      </c>
      <c r="R336" t="inlineStr">
        <is>
          <t xml:space="preserve">gw </t>
        </is>
      </c>
      <c r="S336" t="inlineStr">
        <is>
          <t>Handbook of experimental pharmacology ; vol. 81</t>
        </is>
      </c>
      <c r="T336" t="inlineStr">
        <is>
          <t xml:space="preserve">QV </t>
        </is>
      </c>
      <c r="U336" t="n">
        <v>9</v>
      </c>
      <c r="V336" t="n">
        <v>9</v>
      </c>
      <c r="W336" t="inlineStr">
        <is>
          <t>2002-11-18</t>
        </is>
      </c>
      <c r="X336" t="inlineStr">
        <is>
          <t>2002-11-18</t>
        </is>
      </c>
      <c r="Y336" t="inlineStr">
        <is>
          <t>1989-04-28</t>
        </is>
      </c>
      <c r="Z336" t="inlineStr">
        <is>
          <t>1989-04-28</t>
        </is>
      </c>
      <c r="AA336" t="n">
        <v>172</v>
      </c>
      <c r="AB336" t="n">
        <v>104</v>
      </c>
      <c r="AC336" t="n">
        <v>115</v>
      </c>
      <c r="AD336" t="n">
        <v>1</v>
      </c>
      <c r="AE336" t="n">
        <v>1</v>
      </c>
      <c r="AF336" t="n">
        <v>2</v>
      </c>
      <c r="AG336" t="n">
        <v>2</v>
      </c>
      <c r="AH336" t="n">
        <v>0</v>
      </c>
      <c r="AI336" t="n">
        <v>0</v>
      </c>
      <c r="AJ336" t="n">
        <v>2</v>
      </c>
      <c r="AK336" t="n">
        <v>2</v>
      </c>
      <c r="AL336" t="n">
        <v>0</v>
      </c>
      <c r="AM336" t="n">
        <v>0</v>
      </c>
      <c r="AN336" t="n">
        <v>0</v>
      </c>
      <c r="AO336" t="n">
        <v>0</v>
      </c>
      <c r="AP336" t="n">
        <v>0</v>
      </c>
      <c r="AQ336" t="n">
        <v>0</v>
      </c>
      <c r="AR336" t="inlineStr">
        <is>
          <t>No</t>
        </is>
      </c>
      <c r="AS336" t="inlineStr">
        <is>
          <t>Yes</t>
        </is>
      </c>
      <c r="AT336">
        <f>HYPERLINK("http://catalog.hathitrust.org/Record/000593642","HathiTrust Record")</f>
        <v/>
      </c>
      <c r="AU336">
        <f>HYPERLINK("https://creighton-primo.hosted.exlibrisgroup.com/primo-explore/search?tab=default_tab&amp;search_scope=EVERYTHING&amp;vid=01CRU&amp;lang=en_US&amp;offset=0&amp;query=any,contains,991001245409702656","Catalog Record")</f>
        <v/>
      </c>
      <c r="AV336">
        <f>HYPERLINK("http://www.worldcat.org/oclc/14069133","WorldCat Record")</f>
        <v/>
      </c>
      <c r="AW336" t="inlineStr">
        <is>
          <t>365123882:eng</t>
        </is>
      </c>
      <c r="AX336" t="inlineStr">
        <is>
          <t>14069133</t>
        </is>
      </c>
      <c r="AY336" t="inlineStr">
        <is>
          <t>991001245409702656</t>
        </is>
      </c>
      <c r="AZ336" t="inlineStr">
        <is>
          <t>991001245409702656</t>
        </is>
      </c>
      <c r="BA336" t="inlineStr">
        <is>
          <t>2258979760002656</t>
        </is>
      </c>
      <c r="BB336" t="inlineStr">
        <is>
          <t>BOOK</t>
        </is>
      </c>
      <c r="BD336" t="inlineStr">
        <is>
          <t>9780387163611</t>
        </is>
      </c>
      <c r="BE336" t="inlineStr">
        <is>
          <t>30001001677089</t>
        </is>
      </c>
      <c r="BF336" t="inlineStr">
        <is>
          <t>893467869</t>
        </is>
      </c>
    </row>
    <row r="337">
      <c r="B337" t="inlineStr">
        <is>
          <t>CUHSL</t>
        </is>
      </c>
      <c r="C337" t="inlineStr">
        <is>
          <t>SHELVES</t>
        </is>
      </c>
      <c r="D337" t="inlineStr">
        <is>
          <t>QV 113 A512 1984c</t>
        </is>
      </c>
      <c r="E337" t="inlineStr">
        <is>
          <t>0                      QV 0113000A  512         1984c</t>
        </is>
      </c>
      <c r="F337" t="inlineStr">
        <is>
          <t>Cocaine : clinical and biobehavioral aspects / edited by Seymour Fisher, Allen Raskin, E.H. Uhlenhuth.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No</t>
        </is>
      </c>
      <c r="L337" t="inlineStr">
        <is>
          <t>0</t>
        </is>
      </c>
      <c r="M337" t="inlineStr">
        <is>
          <t>American College of Neuropsychopharmacology. Meeting (23rd : 1984 : San Juan, P.R.)</t>
        </is>
      </c>
      <c r="N337" t="inlineStr">
        <is>
          <t>New York : Oxford University Press, c1987.</t>
        </is>
      </c>
      <c r="O337" t="inlineStr">
        <is>
          <t>1987</t>
        </is>
      </c>
      <c r="Q337" t="inlineStr">
        <is>
          <t>eng</t>
        </is>
      </c>
      <c r="R337" t="inlineStr">
        <is>
          <t>xxu</t>
        </is>
      </c>
      <c r="T337" t="inlineStr">
        <is>
          <t xml:space="preserve">QV </t>
        </is>
      </c>
      <c r="U337" t="n">
        <v>11</v>
      </c>
      <c r="V337" t="n">
        <v>11</v>
      </c>
      <c r="W337" t="inlineStr">
        <is>
          <t>1996-11-24</t>
        </is>
      </c>
      <c r="X337" t="inlineStr">
        <is>
          <t>1996-11-24</t>
        </is>
      </c>
      <c r="Y337" t="inlineStr">
        <is>
          <t>1988-02-08</t>
        </is>
      </c>
      <c r="Z337" t="inlineStr">
        <is>
          <t>1988-02-08</t>
        </is>
      </c>
      <c r="AA337" t="n">
        <v>454</v>
      </c>
      <c r="AB337" t="n">
        <v>399</v>
      </c>
      <c r="AC337" t="n">
        <v>406</v>
      </c>
      <c r="AD337" t="n">
        <v>4</v>
      </c>
      <c r="AE337" t="n">
        <v>4</v>
      </c>
      <c r="AF337" t="n">
        <v>21</v>
      </c>
      <c r="AG337" t="n">
        <v>21</v>
      </c>
      <c r="AH337" t="n">
        <v>8</v>
      </c>
      <c r="AI337" t="n">
        <v>8</v>
      </c>
      <c r="AJ337" t="n">
        <v>5</v>
      </c>
      <c r="AK337" t="n">
        <v>5</v>
      </c>
      <c r="AL337" t="n">
        <v>10</v>
      </c>
      <c r="AM337" t="n">
        <v>10</v>
      </c>
      <c r="AN337" t="n">
        <v>3</v>
      </c>
      <c r="AO337" t="n">
        <v>3</v>
      </c>
      <c r="AP337" t="n">
        <v>0</v>
      </c>
      <c r="AQ337" t="n">
        <v>0</v>
      </c>
      <c r="AR337" t="inlineStr">
        <is>
          <t>No</t>
        </is>
      </c>
      <c r="AS337" t="inlineStr">
        <is>
          <t>Yes</t>
        </is>
      </c>
      <c r="AT337">
        <f>HYPERLINK("http://catalog.hathitrust.org/Record/000816321","HathiTrust Record")</f>
        <v/>
      </c>
      <c r="AU337">
        <f>HYPERLINK("https://creighton-primo.hosted.exlibrisgroup.com/primo-explore/search?tab=default_tab&amp;search_scope=EVERYTHING&amp;vid=01CRU&amp;lang=en_US&amp;offset=0&amp;query=any,contains,991000762939702656","Catalog Record")</f>
        <v/>
      </c>
      <c r="AV337">
        <f>HYPERLINK("http://www.worldcat.org/oclc/13125682","WorldCat Record")</f>
        <v/>
      </c>
      <c r="AW337" t="inlineStr">
        <is>
          <t>795386603:eng</t>
        </is>
      </c>
      <c r="AX337" t="inlineStr">
        <is>
          <t>13125682</t>
        </is>
      </c>
      <c r="AY337" t="inlineStr">
        <is>
          <t>991000762939702656</t>
        </is>
      </c>
      <c r="AZ337" t="inlineStr">
        <is>
          <t>991000762939702656</t>
        </is>
      </c>
      <c r="BA337" t="inlineStr">
        <is>
          <t>2257096420002656</t>
        </is>
      </c>
      <c r="BB337" t="inlineStr">
        <is>
          <t>BOOK</t>
        </is>
      </c>
      <c r="BD337" t="inlineStr">
        <is>
          <t>9780195040685</t>
        </is>
      </c>
      <c r="BE337" t="inlineStr">
        <is>
          <t>30001000056517</t>
        </is>
      </c>
      <c r="BF337" t="inlineStr">
        <is>
          <t>893648146</t>
        </is>
      </c>
    </row>
    <row r="338">
      <c r="B338" t="inlineStr">
        <is>
          <t>CUHSL</t>
        </is>
      </c>
      <c r="C338" t="inlineStr">
        <is>
          <t>SHELVES</t>
        </is>
      </c>
      <c r="D338" t="inlineStr">
        <is>
          <t>QV 113 C65928 1992</t>
        </is>
      </c>
      <c r="E338" t="inlineStr">
        <is>
          <t>0                      QV 0113000C  65928       1992</t>
        </is>
      </c>
      <c r="F338" t="inlineStr">
        <is>
          <t>Cocaine : pharmacology, physiology, and clinical strategies / edited by Joan M. Lakoski, Matthew P. Galloway, Francis J. White.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0</t>
        </is>
      </c>
      <c r="N338" t="inlineStr">
        <is>
          <t>Boca Raton : CRC Press, c1992.</t>
        </is>
      </c>
      <c r="O338" t="inlineStr">
        <is>
          <t>1992</t>
        </is>
      </c>
      <c r="Q338" t="inlineStr">
        <is>
          <t>eng</t>
        </is>
      </c>
      <c r="R338" t="inlineStr">
        <is>
          <t>flu</t>
        </is>
      </c>
      <c r="T338" t="inlineStr">
        <is>
          <t xml:space="preserve">QV </t>
        </is>
      </c>
      <c r="U338" t="n">
        <v>13</v>
      </c>
      <c r="V338" t="n">
        <v>13</v>
      </c>
      <c r="W338" t="inlineStr">
        <is>
          <t>2008-04-23</t>
        </is>
      </c>
      <c r="X338" t="inlineStr">
        <is>
          <t>2008-04-23</t>
        </is>
      </c>
      <c r="Y338" t="inlineStr">
        <is>
          <t>1992-03-05</t>
        </is>
      </c>
      <c r="Z338" t="inlineStr">
        <is>
          <t>1992-03-05</t>
        </is>
      </c>
      <c r="AA338" t="n">
        <v>179</v>
      </c>
      <c r="AB338" t="n">
        <v>147</v>
      </c>
      <c r="AC338" t="n">
        <v>151</v>
      </c>
      <c r="AD338" t="n">
        <v>2</v>
      </c>
      <c r="AE338" t="n">
        <v>2</v>
      </c>
      <c r="AF338" t="n">
        <v>9</v>
      </c>
      <c r="AG338" t="n">
        <v>9</v>
      </c>
      <c r="AH338" t="n">
        <v>4</v>
      </c>
      <c r="AI338" t="n">
        <v>4</v>
      </c>
      <c r="AJ338" t="n">
        <v>1</v>
      </c>
      <c r="AK338" t="n">
        <v>1</v>
      </c>
      <c r="AL338" t="n">
        <v>5</v>
      </c>
      <c r="AM338" t="n">
        <v>5</v>
      </c>
      <c r="AN338" t="n">
        <v>1</v>
      </c>
      <c r="AO338" t="n">
        <v>1</v>
      </c>
      <c r="AP338" t="n">
        <v>0</v>
      </c>
      <c r="AQ338" t="n">
        <v>0</v>
      </c>
      <c r="AR338" t="inlineStr">
        <is>
          <t>No</t>
        </is>
      </c>
      <c r="AS338" t="inlineStr">
        <is>
          <t>No</t>
        </is>
      </c>
      <c r="AU338">
        <f>HYPERLINK("https://creighton-primo.hosted.exlibrisgroup.com/primo-explore/search?tab=default_tab&amp;search_scope=EVERYTHING&amp;vid=01CRU&amp;lang=en_US&amp;offset=0&amp;query=any,contains,991001298189702656","Catalog Record")</f>
        <v/>
      </c>
      <c r="AV338">
        <f>HYPERLINK("http://www.worldcat.org/oclc/23649583","WorldCat Record")</f>
        <v/>
      </c>
      <c r="AW338" t="inlineStr">
        <is>
          <t>795623517:eng</t>
        </is>
      </c>
      <c r="AX338" t="inlineStr">
        <is>
          <t>23649583</t>
        </is>
      </c>
      <c r="AY338" t="inlineStr">
        <is>
          <t>991001298189702656</t>
        </is>
      </c>
      <c r="AZ338" t="inlineStr">
        <is>
          <t>991001298189702656</t>
        </is>
      </c>
      <c r="BA338" t="inlineStr">
        <is>
          <t>2261779590002656</t>
        </is>
      </c>
      <c r="BB338" t="inlineStr">
        <is>
          <t>BOOK</t>
        </is>
      </c>
      <c r="BD338" t="inlineStr">
        <is>
          <t>9780849388132</t>
        </is>
      </c>
      <c r="BE338" t="inlineStr">
        <is>
          <t>30001002410563</t>
        </is>
      </c>
      <c r="BF338" t="inlineStr">
        <is>
          <t>893465387</t>
        </is>
      </c>
    </row>
    <row r="339">
      <c r="B339" t="inlineStr">
        <is>
          <t>CUHSL</t>
        </is>
      </c>
      <c r="C339" t="inlineStr">
        <is>
          <t>SHELVES</t>
        </is>
      </c>
      <c r="D339" t="inlineStr">
        <is>
          <t>QV 126 C651 1995</t>
        </is>
      </c>
      <c r="E339" t="inlineStr">
        <is>
          <t>0                      QV 0126000C  651         1995</t>
        </is>
      </c>
      <c r="F339" t="inlineStr">
        <is>
          <t>CNS neurotransmitters and neuromodulators : glutamate / edited by Trevor W. Stone.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N339" t="inlineStr">
        <is>
          <t>Boca Raton : CRC Press, c1995.</t>
        </is>
      </c>
      <c r="O339" t="inlineStr">
        <is>
          <t>1995</t>
        </is>
      </c>
      <c r="Q339" t="inlineStr">
        <is>
          <t>eng</t>
        </is>
      </c>
      <c r="R339" t="inlineStr">
        <is>
          <t>flu</t>
        </is>
      </c>
      <c r="T339" t="inlineStr">
        <is>
          <t xml:space="preserve">QV </t>
        </is>
      </c>
      <c r="U339" t="n">
        <v>16</v>
      </c>
      <c r="V339" t="n">
        <v>16</v>
      </c>
      <c r="W339" t="inlineStr">
        <is>
          <t>2010-04-01</t>
        </is>
      </c>
      <c r="X339" t="inlineStr">
        <is>
          <t>2010-04-01</t>
        </is>
      </c>
      <c r="Y339" t="inlineStr">
        <is>
          <t>1995-08-07</t>
        </is>
      </c>
      <c r="Z339" t="inlineStr">
        <is>
          <t>1995-08-07</t>
        </is>
      </c>
      <c r="AA339" t="n">
        <v>109</v>
      </c>
      <c r="AB339" t="n">
        <v>82</v>
      </c>
      <c r="AC339" t="n">
        <v>83</v>
      </c>
      <c r="AD339" t="n">
        <v>1</v>
      </c>
      <c r="AE339" t="n">
        <v>1</v>
      </c>
      <c r="AF339" t="n">
        <v>1</v>
      </c>
      <c r="AG339" t="n">
        <v>1</v>
      </c>
      <c r="AH339" t="n">
        <v>0</v>
      </c>
      <c r="AI339" t="n">
        <v>0</v>
      </c>
      <c r="AJ339" t="n">
        <v>0</v>
      </c>
      <c r="AK339" t="n">
        <v>0</v>
      </c>
      <c r="AL339" t="n">
        <v>1</v>
      </c>
      <c r="AM339" t="n">
        <v>1</v>
      </c>
      <c r="AN339" t="n">
        <v>0</v>
      </c>
      <c r="AO339" t="n">
        <v>0</v>
      </c>
      <c r="AP339" t="n">
        <v>0</v>
      </c>
      <c r="AQ339" t="n">
        <v>0</v>
      </c>
      <c r="AR339" t="inlineStr">
        <is>
          <t>No</t>
        </is>
      </c>
      <c r="AS339" t="inlineStr">
        <is>
          <t>No</t>
        </is>
      </c>
      <c r="AU339">
        <f>HYPERLINK("https://creighton-primo.hosted.exlibrisgroup.com/primo-explore/search?tab=default_tab&amp;search_scope=EVERYTHING&amp;vid=01CRU&amp;lang=en_US&amp;offset=0&amp;query=any,contains,991001403339702656","Catalog Record")</f>
        <v/>
      </c>
      <c r="AV339">
        <f>HYPERLINK("http://www.worldcat.org/oclc/31866823","WorldCat Record")</f>
        <v/>
      </c>
      <c r="AW339" t="inlineStr">
        <is>
          <t>3902743183:eng</t>
        </is>
      </c>
      <c r="AX339" t="inlineStr">
        <is>
          <t>31866823</t>
        </is>
      </c>
      <c r="AY339" t="inlineStr">
        <is>
          <t>991001403339702656</t>
        </is>
      </c>
      <c r="AZ339" t="inlineStr">
        <is>
          <t>991001403339702656</t>
        </is>
      </c>
      <c r="BA339" t="inlineStr">
        <is>
          <t>2257521650002656</t>
        </is>
      </c>
      <c r="BB339" t="inlineStr">
        <is>
          <t>BOOK</t>
        </is>
      </c>
      <c r="BD339" t="inlineStr">
        <is>
          <t>9780849376313</t>
        </is>
      </c>
      <c r="BE339" t="inlineStr">
        <is>
          <t>30001003149137</t>
        </is>
      </c>
      <c r="BF339" t="inlineStr">
        <is>
          <t>893279074</t>
        </is>
      </c>
    </row>
    <row r="340">
      <c r="B340" t="inlineStr">
        <is>
          <t>CUHSL</t>
        </is>
      </c>
      <c r="C340" t="inlineStr">
        <is>
          <t>SHELVES</t>
        </is>
      </c>
      <c r="D340" t="inlineStr">
        <is>
          <t>QV 126 F297s 1991</t>
        </is>
      </c>
      <c r="E340" t="inlineStr">
        <is>
          <t>0                      QV 0126000F  297s        1991</t>
        </is>
      </c>
      <c r="F340" t="inlineStr">
        <is>
          <t>Selective serotonin re-uptake inhibitors : the clinical use of citalopram, fluoxetine, fluvoxamine, paroxetine, and sertraline / J.P. Feighner and W.F. Boyer.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M340" t="inlineStr">
        <is>
          <t>Feighner, John Preston, 1937-</t>
        </is>
      </c>
      <c r="N340" t="inlineStr">
        <is>
          <t>Chichester ; New York : Wiley, c1991.</t>
        </is>
      </c>
      <c r="O340" t="inlineStr">
        <is>
          <t>1991</t>
        </is>
      </c>
      <c r="Q340" t="inlineStr">
        <is>
          <t>eng</t>
        </is>
      </c>
      <c r="R340" t="inlineStr">
        <is>
          <t>enk</t>
        </is>
      </c>
      <c r="S340" t="inlineStr">
        <is>
          <t>Perspectives in psychiatry ; v. 1.</t>
        </is>
      </c>
      <c r="T340" t="inlineStr">
        <is>
          <t xml:space="preserve">QV </t>
        </is>
      </c>
      <c r="U340" t="n">
        <v>27</v>
      </c>
      <c r="V340" t="n">
        <v>27</v>
      </c>
      <c r="W340" t="inlineStr">
        <is>
          <t>2007-06-12</t>
        </is>
      </c>
      <c r="X340" t="inlineStr">
        <is>
          <t>2007-06-12</t>
        </is>
      </c>
      <c r="Y340" t="inlineStr">
        <is>
          <t>1991-09-20</t>
        </is>
      </c>
      <c r="Z340" t="inlineStr">
        <is>
          <t>1991-09-20</t>
        </is>
      </c>
      <c r="AA340" t="n">
        <v>124</v>
      </c>
      <c r="AB340" t="n">
        <v>80</v>
      </c>
      <c r="AC340" t="n">
        <v>86</v>
      </c>
      <c r="AD340" t="n">
        <v>1</v>
      </c>
      <c r="AE340" t="n">
        <v>1</v>
      </c>
      <c r="AF340" t="n">
        <v>5</v>
      </c>
      <c r="AG340" t="n">
        <v>5</v>
      </c>
      <c r="AH340" t="n">
        <v>1</v>
      </c>
      <c r="AI340" t="n">
        <v>1</v>
      </c>
      <c r="AJ340" t="n">
        <v>1</v>
      </c>
      <c r="AK340" t="n">
        <v>1</v>
      </c>
      <c r="AL340" t="n">
        <v>4</v>
      </c>
      <c r="AM340" t="n">
        <v>4</v>
      </c>
      <c r="AN340" t="n">
        <v>0</v>
      </c>
      <c r="AO340" t="n">
        <v>0</v>
      </c>
      <c r="AP340" t="n">
        <v>0</v>
      </c>
      <c r="AQ340" t="n">
        <v>0</v>
      </c>
      <c r="AR340" t="inlineStr">
        <is>
          <t>No</t>
        </is>
      </c>
      <c r="AS340" t="inlineStr">
        <is>
          <t>Yes</t>
        </is>
      </c>
      <c r="AT340">
        <f>HYPERLINK("http://catalog.hathitrust.org/Record/002505310","HathiTrust Record")</f>
        <v/>
      </c>
      <c r="AU340">
        <f>HYPERLINK("https://creighton-primo.hosted.exlibrisgroup.com/primo-explore/search?tab=default_tab&amp;search_scope=EVERYTHING&amp;vid=01CRU&amp;lang=en_US&amp;offset=0&amp;query=any,contains,991001017129702656","Catalog Record")</f>
        <v/>
      </c>
      <c r="AV340">
        <f>HYPERLINK("http://www.worldcat.org/oclc/22705819","WorldCat Record")</f>
        <v/>
      </c>
      <c r="AW340" t="inlineStr">
        <is>
          <t>23987880:eng</t>
        </is>
      </c>
      <c r="AX340" t="inlineStr">
        <is>
          <t>22705819</t>
        </is>
      </c>
      <c r="AY340" t="inlineStr">
        <is>
          <t>991001017129702656</t>
        </is>
      </c>
      <c r="AZ340" t="inlineStr">
        <is>
          <t>991001017129702656</t>
        </is>
      </c>
      <c r="BA340" t="inlineStr">
        <is>
          <t>2257658980002656</t>
        </is>
      </c>
      <c r="BB340" t="inlineStr">
        <is>
          <t>BOOK</t>
        </is>
      </c>
      <c r="BD340" t="inlineStr">
        <is>
          <t>9780471928904</t>
        </is>
      </c>
      <c r="BE340" t="inlineStr">
        <is>
          <t>30001002240887</t>
        </is>
      </c>
      <c r="BF340" t="inlineStr">
        <is>
          <t>893643141</t>
        </is>
      </c>
    </row>
    <row r="341">
      <c r="B341" t="inlineStr">
        <is>
          <t>CUHSL</t>
        </is>
      </c>
      <c r="C341" t="inlineStr">
        <is>
          <t>SHELVES</t>
        </is>
      </c>
      <c r="D341" t="inlineStr">
        <is>
          <t>QV 126 N493 1985</t>
        </is>
      </c>
      <c r="E341" t="inlineStr">
        <is>
          <t>0                      QV 0126000N  493         1985</t>
        </is>
      </c>
      <c r="F341" t="inlineStr">
        <is>
          <t>Neuropharmacology of serotonin / edited by A. Richard Green.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N341" t="inlineStr">
        <is>
          <t>Oxford ; New York : Oxford University Press, c1985.</t>
        </is>
      </c>
      <c r="O341" t="inlineStr">
        <is>
          <t>1985</t>
        </is>
      </c>
      <c r="Q341" t="inlineStr">
        <is>
          <t>eng</t>
        </is>
      </c>
      <c r="R341" t="inlineStr">
        <is>
          <t>enk</t>
        </is>
      </c>
      <c r="S341" t="inlineStr">
        <is>
          <t>Oxford medical publications</t>
        </is>
      </c>
      <c r="T341" t="inlineStr">
        <is>
          <t xml:space="preserve">QV </t>
        </is>
      </c>
      <c r="U341" t="n">
        <v>17</v>
      </c>
      <c r="V341" t="n">
        <v>17</v>
      </c>
      <c r="W341" t="inlineStr">
        <is>
          <t>2000-01-13</t>
        </is>
      </c>
      <c r="X341" t="inlineStr">
        <is>
          <t>2000-01-13</t>
        </is>
      </c>
      <c r="Y341" t="inlineStr">
        <is>
          <t>1988-02-08</t>
        </is>
      </c>
      <c r="Z341" t="inlineStr">
        <is>
          <t>1988-02-08</t>
        </is>
      </c>
      <c r="AA341" t="n">
        <v>222</v>
      </c>
      <c r="AB341" t="n">
        <v>158</v>
      </c>
      <c r="AC341" t="n">
        <v>160</v>
      </c>
      <c r="AD341" t="n">
        <v>1</v>
      </c>
      <c r="AE341" t="n">
        <v>1</v>
      </c>
      <c r="AF341" t="n">
        <v>3</v>
      </c>
      <c r="AG341" t="n">
        <v>3</v>
      </c>
      <c r="AH341" t="n">
        <v>1</v>
      </c>
      <c r="AI341" t="n">
        <v>1</v>
      </c>
      <c r="AJ341" t="n">
        <v>1</v>
      </c>
      <c r="AK341" t="n">
        <v>1</v>
      </c>
      <c r="AL341" t="n">
        <v>2</v>
      </c>
      <c r="AM341" t="n">
        <v>2</v>
      </c>
      <c r="AN341" t="n">
        <v>0</v>
      </c>
      <c r="AO341" t="n">
        <v>0</v>
      </c>
      <c r="AP341" t="n">
        <v>0</v>
      </c>
      <c r="AQ341" t="n">
        <v>0</v>
      </c>
      <c r="AR341" t="inlineStr">
        <is>
          <t>No</t>
        </is>
      </c>
      <c r="AS341" t="inlineStr">
        <is>
          <t>Yes</t>
        </is>
      </c>
      <c r="AT341">
        <f>HYPERLINK("http://catalog.hathitrust.org/Record/000609743","HathiTrust Record")</f>
        <v/>
      </c>
      <c r="AU341">
        <f>HYPERLINK("https://creighton-primo.hosted.exlibrisgroup.com/primo-explore/search?tab=default_tab&amp;search_scope=EVERYTHING&amp;vid=01CRU&amp;lang=en_US&amp;offset=0&amp;query=any,contains,991000959419702656","Catalog Record")</f>
        <v/>
      </c>
      <c r="AV341">
        <f>HYPERLINK("http://www.worldcat.org/oclc/11469504","WorldCat Record")</f>
        <v/>
      </c>
      <c r="AW341" t="inlineStr">
        <is>
          <t>54682912:eng</t>
        </is>
      </c>
      <c r="AX341" t="inlineStr">
        <is>
          <t>11469504</t>
        </is>
      </c>
      <c r="AY341" t="inlineStr">
        <is>
          <t>991000959419702656</t>
        </is>
      </c>
      <c r="AZ341" t="inlineStr">
        <is>
          <t>991000959419702656</t>
        </is>
      </c>
      <c r="BA341" t="inlineStr">
        <is>
          <t>2268197400002656</t>
        </is>
      </c>
      <c r="BB341" t="inlineStr">
        <is>
          <t>BOOK</t>
        </is>
      </c>
      <c r="BD341" t="inlineStr">
        <is>
          <t>9780192614711</t>
        </is>
      </c>
      <c r="BE341" t="inlineStr">
        <is>
          <t>30001000196305</t>
        </is>
      </c>
      <c r="BF341" t="inlineStr">
        <is>
          <t>893551973</t>
        </is>
      </c>
    </row>
    <row r="342">
      <c r="B342" t="inlineStr">
        <is>
          <t>CUHSL</t>
        </is>
      </c>
      <c r="C342" t="inlineStr">
        <is>
          <t>SHELVES</t>
        </is>
      </c>
      <c r="D342" t="inlineStr">
        <is>
          <t>QV 126 N494 1985</t>
        </is>
      </c>
      <c r="E342" t="inlineStr">
        <is>
          <t>0                      QV 0126000N  494         1985</t>
        </is>
      </c>
      <c r="F342" t="inlineStr">
        <is>
          <t>Neurotransmitter receptor binding / editors, Henry I. Yamamura, S.J. Enna, Michael J. Kuhar.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N342" t="inlineStr">
        <is>
          <t>New York : Raven Press, c1985.</t>
        </is>
      </c>
      <c r="O342" t="inlineStr">
        <is>
          <t>1985</t>
        </is>
      </c>
      <c r="P342" t="inlineStr">
        <is>
          <t>2nd ed.</t>
        </is>
      </c>
      <c r="Q342" t="inlineStr">
        <is>
          <t>eng</t>
        </is>
      </c>
      <c r="R342" t="inlineStr">
        <is>
          <t>xxu</t>
        </is>
      </c>
      <c r="T342" t="inlineStr">
        <is>
          <t xml:space="preserve">QV </t>
        </is>
      </c>
      <c r="U342" t="n">
        <v>31</v>
      </c>
      <c r="V342" t="n">
        <v>31</v>
      </c>
      <c r="W342" t="inlineStr">
        <is>
          <t>2000-01-31</t>
        </is>
      </c>
      <c r="X342" t="inlineStr">
        <is>
          <t>2000-01-31</t>
        </is>
      </c>
      <c r="Y342" t="inlineStr">
        <is>
          <t>1988-02-08</t>
        </is>
      </c>
      <c r="Z342" t="inlineStr">
        <is>
          <t>1988-02-08</t>
        </is>
      </c>
      <c r="AA342" t="n">
        <v>296</v>
      </c>
      <c r="AB342" t="n">
        <v>213</v>
      </c>
      <c r="AC342" t="n">
        <v>291</v>
      </c>
      <c r="AD342" t="n">
        <v>2</v>
      </c>
      <c r="AE342" t="n">
        <v>2</v>
      </c>
      <c r="AF342" t="n">
        <v>7</v>
      </c>
      <c r="AG342" t="n">
        <v>9</v>
      </c>
      <c r="AH342" t="n">
        <v>1</v>
      </c>
      <c r="AI342" t="n">
        <v>2</v>
      </c>
      <c r="AJ342" t="n">
        <v>3</v>
      </c>
      <c r="AK342" t="n">
        <v>3</v>
      </c>
      <c r="AL342" t="n">
        <v>5</v>
      </c>
      <c r="AM342" t="n">
        <v>6</v>
      </c>
      <c r="AN342" t="n">
        <v>1</v>
      </c>
      <c r="AO342" t="n">
        <v>1</v>
      </c>
      <c r="AP342" t="n">
        <v>0</v>
      </c>
      <c r="AQ342" t="n">
        <v>0</v>
      </c>
      <c r="AR342" t="inlineStr">
        <is>
          <t>No</t>
        </is>
      </c>
      <c r="AS342" t="inlineStr">
        <is>
          <t>Yes</t>
        </is>
      </c>
      <c r="AT342">
        <f>HYPERLINK("http://catalog.hathitrust.org/Record/006257554","HathiTrust Record")</f>
        <v/>
      </c>
      <c r="AU342">
        <f>HYPERLINK("https://creighton-primo.hosted.exlibrisgroup.com/primo-explore/search?tab=default_tab&amp;search_scope=EVERYTHING&amp;vid=01CRU&amp;lang=en_US&amp;offset=0&amp;query=any,contains,991000959449702656","Catalog Record")</f>
        <v/>
      </c>
      <c r="AV342">
        <f>HYPERLINK("http://www.worldcat.org/oclc/11114252","WorldCat Record")</f>
        <v/>
      </c>
      <c r="AW342" t="inlineStr">
        <is>
          <t>915922041:eng</t>
        </is>
      </c>
      <c r="AX342" t="inlineStr">
        <is>
          <t>11114252</t>
        </is>
      </c>
      <c r="AY342" t="inlineStr">
        <is>
          <t>991000959449702656</t>
        </is>
      </c>
      <c r="AZ342" t="inlineStr">
        <is>
          <t>991000959449702656</t>
        </is>
      </c>
      <c r="BA342" t="inlineStr">
        <is>
          <t>2261608240002656</t>
        </is>
      </c>
      <c r="BB342" t="inlineStr">
        <is>
          <t>BOOK</t>
        </is>
      </c>
      <c r="BD342" t="inlineStr">
        <is>
          <t>9780881670271</t>
        </is>
      </c>
      <c r="BE342" t="inlineStr">
        <is>
          <t>30001000196297</t>
        </is>
      </c>
      <c r="BF342" t="inlineStr">
        <is>
          <t>893358045</t>
        </is>
      </c>
    </row>
    <row r="343">
      <c r="B343" t="inlineStr">
        <is>
          <t>CUHSL</t>
        </is>
      </c>
      <c r="C343" t="inlineStr">
        <is>
          <t>SHELVES</t>
        </is>
      </c>
      <c r="D343" t="inlineStr">
        <is>
          <t>QV 126 S487 1981</t>
        </is>
      </c>
      <c r="E343" t="inlineStr">
        <is>
          <t>0                      QV 0126000S  487         1981</t>
        </is>
      </c>
      <c r="F343" t="inlineStr">
        <is>
          <t>Serotonin neurotransmission and behavior / [edited by] Barry L. Jacobs and Alan Gelperin.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No</t>
        </is>
      </c>
      <c r="L343" t="inlineStr">
        <is>
          <t>0</t>
        </is>
      </c>
      <c r="N343" t="inlineStr">
        <is>
          <t>Cambridge, Mass. : MIT Press, c1981.</t>
        </is>
      </c>
      <c r="O343" t="inlineStr">
        <is>
          <t>1981</t>
        </is>
      </c>
      <c r="Q343" t="inlineStr">
        <is>
          <t>eng</t>
        </is>
      </c>
      <c r="R343" t="inlineStr">
        <is>
          <t>xxu</t>
        </is>
      </c>
      <c r="T343" t="inlineStr">
        <is>
          <t xml:space="preserve">QV </t>
        </is>
      </c>
      <c r="U343" t="n">
        <v>12</v>
      </c>
      <c r="V343" t="n">
        <v>12</v>
      </c>
      <c r="W343" t="inlineStr">
        <is>
          <t>2000-01-13</t>
        </is>
      </c>
      <c r="X343" t="inlineStr">
        <is>
          <t>2000-01-13</t>
        </is>
      </c>
      <c r="Y343" t="inlineStr">
        <is>
          <t>1988-02-08</t>
        </is>
      </c>
      <c r="Z343" t="inlineStr">
        <is>
          <t>1988-02-08</t>
        </is>
      </c>
      <c r="AA343" t="n">
        <v>248</v>
      </c>
      <c r="AB343" t="n">
        <v>196</v>
      </c>
      <c r="AC343" t="n">
        <v>201</v>
      </c>
      <c r="AD343" t="n">
        <v>3</v>
      </c>
      <c r="AE343" t="n">
        <v>3</v>
      </c>
      <c r="AF343" t="n">
        <v>11</v>
      </c>
      <c r="AG343" t="n">
        <v>11</v>
      </c>
      <c r="AH343" t="n">
        <v>3</v>
      </c>
      <c r="AI343" t="n">
        <v>3</v>
      </c>
      <c r="AJ343" t="n">
        <v>5</v>
      </c>
      <c r="AK343" t="n">
        <v>5</v>
      </c>
      <c r="AL343" t="n">
        <v>5</v>
      </c>
      <c r="AM343" t="n">
        <v>5</v>
      </c>
      <c r="AN343" t="n">
        <v>2</v>
      </c>
      <c r="AO343" t="n">
        <v>2</v>
      </c>
      <c r="AP343" t="n">
        <v>0</v>
      </c>
      <c r="AQ343" t="n">
        <v>0</v>
      </c>
      <c r="AR343" t="inlineStr">
        <is>
          <t>No</t>
        </is>
      </c>
      <c r="AS343" t="inlineStr">
        <is>
          <t>No</t>
        </is>
      </c>
      <c r="AU343">
        <f>HYPERLINK("https://creighton-primo.hosted.exlibrisgroup.com/primo-explore/search?tab=default_tab&amp;search_scope=EVERYTHING&amp;vid=01CRU&amp;lang=en_US&amp;offset=0&amp;query=any,contains,991000959499702656","Catalog Record")</f>
        <v/>
      </c>
      <c r="AV343">
        <f>HYPERLINK("http://www.worldcat.org/oclc/7464470","WorldCat Record")</f>
        <v/>
      </c>
      <c r="AW343" t="inlineStr">
        <is>
          <t>367015300:eng</t>
        </is>
      </c>
      <c r="AX343" t="inlineStr">
        <is>
          <t>7464470</t>
        </is>
      </c>
      <c r="AY343" t="inlineStr">
        <is>
          <t>991000959499702656</t>
        </is>
      </c>
      <c r="AZ343" t="inlineStr">
        <is>
          <t>991000959499702656</t>
        </is>
      </c>
      <c r="BA343" t="inlineStr">
        <is>
          <t>2262292990002656</t>
        </is>
      </c>
      <c r="BB343" t="inlineStr">
        <is>
          <t>BOOK</t>
        </is>
      </c>
      <c r="BD343" t="inlineStr">
        <is>
          <t>9780262100236</t>
        </is>
      </c>
      <c r="BE343" t="inlineStr">
        <is>
          <t>30001000196289</t>
        </is>
      </c>
      <c r="BF343" t="inlineStr">
        <is>
          <t>893377010</t>
        </is>
      </c>
    </row>
    <row r="344">
      <c r="B344" t="inlineStr">
        <is>
          <t>CUHSL</t>
        </is>
      </c>
      <c r="C344" t="inlineStr">
        <is>
          <t>SHELVES</t>
        </is>
      </c>
      <c r="D344" t="inlineStr">
        <is>
          <t>QV 129 L337p 1988</t>
        </is>
      </c>
      <c r="E344" t="inlineStr">
        <is>
          <t>0                      QV 0129000L  337p        1988</t>
        </is>
      </c>
      <c r="F344" t="inlineStr">
        <is>
          <t>Phenylpropanolamine--a review / Louis Lasagna.</t>
        </is>
      </c>
      <c r="H344" t="inlineStr">
        <is>
          <t>No</t>
        </is>
      </c>
      <c r="I344" t="inlineStr">
        <is>
          <t>1</t>
        </is>
      </c>
      <c r="J344" t="inlineStr">
        <is>
          <t>No</t>
        </is>
      </c>
      <c r="K344" t="inlineStr">
        <is>
          <t>No</t>
        </is>
      </c>
      <c r="L344" t="inlineStr">
        <is>
          <t>0</t>
        </is>
      </c>
      <c r="M344" t="inlineStr">
        <is>
          <t>Lasagna, Louis, 1923-2003.</t>
        </is>
      </c>
      <c r="N344" t="inlineStr">
        <is>
          <t>New York : Wiley, c1988.</t>
        </is>
      </c>
      <c r="O344" t="inlineStr">
        <is>
          <t>1988</t>
        </is>
      </c>
      <c r="Q344" t="inlineStr">
        <is>
          <t>eng</t>
        </is>
      </c>
      <c r="R344" t="inlineStr">
        <is>
          <t>xxu</t>
        </is>
      </c>
      <c r="T344" t="inlineStr">
        <is>
          <t xml:space="preserve">QV </t>
        </is>
      </c>
      <c r="U344" t="n">
        <v>3</v>
      </c>
      <c r="V344" t="n">
        <v>3</v>
      </c>
      <c r="W344" t="inlineStr">
        <is>
          <t>1991-06-25</t>
        </is>
      </c>
      <c r="X344" t="inlineStr">
        <is>
          <t>1991-06-25</t>
        </is>
      </c>
      <c r="Y344" t="inlineStr">
        <is>
          <t>1989-03-16</t>
        </is>
      </c>
      <c r="Z344" t="inlineStr">
        <is>
          <t>1989-03-16</t>
        </is>
      </c>
      <c r="AA344" t="n">
        <v>144</v>
      </c>
      <c r="AB344" t="n">
        <v>103</v>
      </c>
      <c r="AC344" t="n">
        <v>105</v>
      </c>
      <c r="AD344" t="n">
        <v>1</v>
      </c>
      <c r="AE344" t="n">
        <v>1</v>
      </c>
      <c r="AF344" t="n">
        <v>4</v>
      </c>
      <c r="AG344" t="n">
        <v>4</v>
      </c>
      <c r="AH344" t="n">
        <v>3</v>
      </c>
      <c r="AI344" t="n">
        <v>3</v>
      </c>
      <c r="AJ344" t="n">
        <v>2</v>
      </c>
      <c r="AK344" t="n">
        <v>2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inlineStr">
        <is>
          <t>No</t>
        </is>
      </c>
      <c r="AS344" t="inlineStr">
        <is>
          <t>Yes</t>
        </is>
      </c>
      <c r="AT344">
        <f>HYPERLINK("http://catalog.hathitrust.org/Record/000928151","HathiTrust Record")</f>
        <v/>
      </c>
      <c r="AU344">
        <f>HYPERLINK("https://creighton-primo.hosted.exlibrisgroup.com/primo-explore/search?tab=default_tab&amp;search_scope=EVERYTHING&amp;vid=01CRU&amp;lang=en_US&amp;offset=0&amp;query=any,contains,991001244069702656","Catalog Record")</f>
        <v/>
      </c>
      <c r="AV344">
        <f>HYPERLINK("http://www.worldcat.org/oclc/14904719","WorldCat Record")</f>
        <v/>
      </c>
      <c r="AW344" t="inlineStr">
        <is>
          <t>8188936:eng</t>
        </is>
      </c>
      <c r="AX344" t="inlineStr">
        <is>
          <t>14904719</t>
        </is>
      </c>
      <c r="AY344" t="inlineStr">
        <is>
          <t>991001244069702656</t>
        </is>
      </c>
      <c r="AZ344" t="inlineStr">
        <is>
          <t>991001244069702656</t>
        </is>
      </c>
      <c r="BA344" t="inlineStr">
        <is>
          <t>2268090170002656</t>
        </is>
      </c>
      <c r="BB344" t="inlineStr">
        <is>
          <t>BOOK</t>
        </is>
      </c>
      <c r="BD344" t="inlineStr">
        <is>
          <t>9780471819776</t>
        </is>
      </c>
      <c r="BE344" t="inlineStr">
        <is>
          <t>30001001676511</t>
        </is>
      </c>
      <c r="BF344" t="inlineStr">
        <is>
          <t>893541152</t>
        </is>
      </c>
    </row>
    <row r="345">
      <c r="B345" t="inlineStr">
        <is>
          <t>CUHSL</t>
        </is>
      </c>
      <c r="C345" t="inlineStr">
        <is>
          <t>SHELVES</t>
        </is>
      </c>
      <c r="D345" t="inlineStr">
        <is>
          <t>QV 129 M848p 1986</t>
        </is>
      </c>
      <c r="E345" t="inlineStr">
        <is>
          <t>0                      QV 0129000M  848p        1986</t>
        </is>
      </c>
      <c r="F345" t="inlineStr">
        <is>
          <t>Phenylpropanolamine : a critical analysis of reported adverse reactions and overdosage / John P. Morgan.</t>
        </is>
      </c>
      <c r="H345" t="inlineStr">
        <is>
          <t>No</t>
        </is>
      </c>
      <c r="I345" t="inlineStr">
        <is>
          <t>1</t>
        </is>
      </c>
      <c r="J345" t="inlineStr">
        <is>
          <t>No</t>
        </is>
      </c>
      <c r="K345" t="inlineStr">
        <is>
          <t>No</t>
        </is>
      </c>
      <c r="L345" t="inlineStr">
        <is>
          <t>0</t>
        </is>
      </c>
      <c r="M345" t="inlineStr">
        <is>
          <t>Morgan, John P.</t>
        </is>
      </c>
      <c r="N345" t="inlineStr">
        <is>
          <t>Fort Lee, N.J. : J.K. Burgess, c1986</t>
        </is>
      </c>
      <c r="O345" t="inlineStr">
        <is>
          <t>1986</t>
        </is>
      </c>
      <c r="Q345" t="inlineStr">
        <is>
          <t>eng</t>
        </is>
      </c>
      <c r="R345" t="inlineStr">
        <is>
          <t>xxu</t>
        </is>
      </c>
      <c r="T345" t="inlineStr">
        <is>
          <t xml:space="preserve">QV </t>
        </is>
      </c>
      <c r="U345" t="n">
        <v>3</v>
      </c>
      <c r="V345" t="n">
        <v>3</v>
      </c>
      <c r="W345" t="inlineStr">
        <is>
          <t>2001-03-29</t>
        </is>
      </c>
      <c r="X345" t="inlineStr">
        <is>
          <t>2001-03-29</t>
        </is>
      </c>
      <c r="Y345" t="inlineStr">
        <is>
          <t>1988-02-08</t>
        </is>
      </c>
      <c r="Z345" t="inlineStr">
        <is>
          <t>1988-02-08</t>
        </is>
      </c>
      <c r="AA345" t="n">
        <v>139</v>
      </c>
      <c r="AB345" t="n">
        <v>113</v>
      </c>
      <c r="AC345" t="n">
        <v>115</v>
      </c>
      <c r="AD345" t="n">
        <v>1</v>
      </c>
      <c r="AE345" t="n">
        <v>1</v>
      </c>
      <c r="AF345" t="n">
        <v>2</v>
      </c>
      <c r="AG345" t="n">
        <v>2</v>
      </c>
      <c r="AH345" t="n">
        <v>0</v>
      </c>
      <c r="AI345" t="n">
        <v>0</v>
      </c>
      <c r="AJ345" t="n">
        <v>2</v>
      </c>
      <c r="AK345" t="n">
        <v>2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inlineStr">
        <is>
          <t>No</t>
        </is>
      </c>
      <c r="AS345" t="inlineStr">
        <is>
          <t>Yes</t>
        </is>
      </c>
      <c r="AT345">
        <f>HYPERLINK("http://catalog.hathitrust.org/Record/000594160","HathiTrust Record")</f>
        <v/>
      </c>
      <c r="AU345">
        <f>HYPERLINK("https://creighton-primo.hosted.exlibrisgroup.com/primo-explore/search?tab=default_tab&amp;search_scope=EVERYTHING&amp;vid=01CRU&amp;lang=en_US&amp;offset=0&amp;query=any,contains,991000959299702656","Catalog Record")</f>
        <v/>
      </c>
      <c r="AV345">
        <f>HYPERLINK("http://www.worldcat.org/oclc/13008505","WorldCat Record")</f>
        <v/>
      </c>
      <c r="AW345" t="inlineStr">
        <is>
          <t>5463784:eng</t>
        </is>
      </c>
      <c r="AX345" t="inlineStr">
        <is>
          <t>13008505</t>
        </is>
      </c>
      <c r="AY345" t="inlineStr">
        <is>
          <t>991000959299702656</t>
        </is>
      </c>
      <c r="AZ345" t="inlineStr">
        <is>
          <t>991000959299702656</t>
        </is>
      </c>
      <c r="BA345" t="inlineStr">
        <is>
          <t>2267583460002656</t>
        </is>
      </c>
      <c r="BB345" t="inlineStr">
        <is>
          <t>BOOK</t>
        </is>
      </c>
      <c r="BD345" t="inlineStr">
        <is>
          <t>9780937218006</t>
        </is>
      </c>
      <c r="BE345" t="inlineStr">
        <is>
          <t>30001000196222</t>
        </is>
      </c>
      <c r="BF345" t="inlineStr">
        <is>
          <t>893134129</t>
        </is>
      </c>
    </row>
    <row r="346">
      <c r="B346" t="inlineStr">
        <is>
          <t>CUHSL</t>
        </is>
      </c>
      <c r="C346" t="inlineStr">
        <is>
          <t>SHELVES</t>
        </is>
      </c>
      <c r="D346" t="inlineStr">
        <is>
          <t>QV 132 F917c 1984</t>
        </is>
      </c>
      <c r="E346" t="inlineStr">
        <is>
          <t>0                      QV 0132000F  917c        1984</t>
        </is>
      </c>
      <c r="F346" t="inlineStr">
        <is>
          <t>Clinical pharmacology of the beta-adrenoceptor blocking drugs / William H. Frishman.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M346" t="inlineStr">
        <is>
          <t>Frishman, William H., 1946-</t>
        </is>
      </c>
      <c r="N346" t="inlineStr">
        <is>
          <t>New York : Appleton-Century-Crofts, c1984.</t>
        </is>
      </c>
      <c r="O346" t="inlineStr">
        <is>
          <t>1984</t>
        </is>
      </c>
      <c r="P346" t="inlineStr">
        <is>
          <t>2nd ed.</t>
        </is>
      </c>
      <c r="Q346" t="inlineStr">
        <is>
          <t>eng</t>
        </is>
      </c>
      <c r="R346" t="inlineStr">
        <is>
          <t>xxu</t>
        </is>
      </c>
      <c r="T346" t="inlineStr">
        <is>
          <t xml:space="preserve">QV </t>
        </is>
      </c>
      <c r="U346" t="n">
        <v>10</v>
      </c>
      <c r="V346" t="n">
        <v>10</v>
      </c>
      <c r="W346" t="inlineStr">
        <is>
          <t>2007-12-04</t>
        </is>
      </c>
      <c r="X346" t="inlineStr">
        <is>
          <t>2007-12-04</t>
        </is>
      </c>
      <c r="Y346" t="inlineStr">
        <is>
          <t>1988-02-08</t>
        </is>
      </c>
      <c r="Z346" t="inlineStr">
        <is>
          <t>1988-02-08</t>
        </is>
      </c>
      <c r="AA346" t="n">
        <v>126</v>
      </c>
      <c r="AB346" t="n">
        <v>103</v>
      </c>
      <c r="AC346" t="n">
        <v>105</v>
      </c>
      <c r="AD346" t="n">
        <v>1</v>
      </c>
      <c r="AE346" t="n">
        <v>1</v>
      </c>
      <c r="AF346" t="n">
        <v>1</v>
      </c>
      <c r="AG346" t="n">
        <v>1</v>
      </c>
      <c r="AH346" t="n">
        <v>0</v>
      </c>
      <c r="AI346" t="n">
        <v>0</v>
      </c>
      <c r="AJ346" t="n">
        <v>0</v>
      </c>
      <c r="AK346" t="n">
        <v>0</v>
      </c>
      <c r="AL346" t="n">
        <v>1</v>
      </c>
      <c r="AM346" t="n">
        <v>1</v>
      </c>
      <c r="AN346" t="n">
        <v>0</v>
      </c>
      <c r="AO346" t="n">
        <v>0</v>
      </c>
      <c r="AP346" t="n">
        <v>0</v>
      </c>
      <c r="AQ346" t="n">
        <v>0</v>
      </c>
      <c r="AR346" t="inlineStr">
        <is>
          <t>No</t>
        </is>
      </c>
      <c r="AS346" t="inlineStr">
        <is>
          <t>Yes</t>
        </is>
      </c>
      <c r="AT346">
        <f>HYPERLINK("http://catalog.hathitrust.org/Record/000781377","HathiTrust Record")</f>
        <v/>
      </c>
      <c r="AU346">
        <f>HYPERLINK("https://creighton-primo.hosted.exlibrisgroup.com/primo-explore/search?tab=default_tab&amp;search_scope=EVERYTHING&amp;vid=01CRU&amp;lang=en_US&amp;offset=0&amp;query=any,contains,991000959249702656","Catalog Record")</f>
        <v/>
      </c>
      <c r="AV346">
        <f>HYPERLINK("http://www.worldcat.org/oclc/10071497","WorldCat Record")</f>
        <v/>
      </c>
      <c r="AW346" t="inlineStr">
        <is>
          <t>3855298569:eng</t>
        </is>
      </c>
      <c r="AX346" t="inlineStr">
        <is>
          <t>10071497</t>
        </is>
      </c>
      <c r="AY346" t="inlineStr">
        <is>
          <t>991000959249702656</t>
        </is>
      </c>
      <c r="AZ346" t="inlineStr">
        <is>
          <t>991000959249702656</t>
        </is>
      </c>
      <c r="BA346" t="inlineStr">
        <is>
          <t>2264875000002656</t>
        </is>
      </c>
      <c r="BB346" t="inlineStr">
        <is>
          <t>BOOK</t>
        </is>
      </c>
      <c r="BD346" t="inlineStr">
        <is>
          <t>9780838511558</t>
        </is>
      </c>
      <c r="BE346" t="inlineStr">
        <is>
          <t>30001000196149</t>
        </is>
      </c>
      <c r="BF346" t="inlineStr">
        <is>
          <t>893727120</t>
        </is>
      </c>
    </row>
    <row r="347">
      <c r="B347" t="inlineStr">
        <is>
          <t>CUHSL</t>
        </is>
      </c>
      <c r="C347" t="inlineStr">
        <is>
          <t>SHELVES</t>
        </is>
      </c>
      <c r="D347" t="inlineStr">
        <is>
          <t>QV 132 M553p 1979</t>
        </is>
      </c>
      <c r="E347" t="inlineStr">
        <is>
          <t>0                      QV 0132000M  553p        1979</t>
        </is>
      </c>
      <c r="F347" t="inlineStr">
        <is>
          <t>Proceedings of the timolol intercontinental symposium, : Stockholm, Sweden, October 27-28, 1979 / Lennart Hansson, M.D., Stevo Julius, M.D., Sc.D., and Peter J. Richardson, M.B. M.R.C.P.</t>
        </is>
      </c>
      <c r="H347" t="inlineStr">
        <is>
          <t>No</t>
        </is>
      </c>
      <c r="I347" t="inlineStr">
        <is>
          <t>1</t>
        </is>
      </c>
      <c r="J347" t="inlineStr">
        <is>
          <t>No</t>
        </is>
      </c>
      <c r="K347" t="inlineStr">
        <is>
          <t>No</t>
        </is>
      </c>
      <c r="L347" t="inlineStr">
        <is>
          <t>0</t>
        </is>
      </c>
      <c r="M347" t="inlineStr">
        <is>
          <t>Merck, Sharp &amp; Dohme International.</t>
        </is>
      </c>
      <c r="N347" t="inlineStr">
        <is>
          <t>New York : Biomedical Information Corporation, c1981.</t>
        </is>
      </c>
      <c r="O347" t="inlineStr">
        <is>
          <t>1981</t>
        </is>
      </c>
      <c r="Q347" t="inlineStr">
        <is>
          <t>eng</t>
        </is>
      </c>
      <c r="R347" t="inlineStr">
        <is>
          <t>nju</t>
        </is>
      </c>
      <c r="T347" t="inlineStr">
        <is>
          <t xml:space="preserve">QV </t>
        </is>
      </c>
      <c r="U347" t="n">
        <v>3</v>
      </c>
      <c r="V347" t="n">
        <v>3</v>
      </c>
      <c r="W347" t="inlineStr">
        <is>
          <t>1994-03-21</t>
        </is>
      </c>
      <c r="X347" t="inlineStr">
        <is>
          <t>1994-03-21</t>
        </is>
      </c>
      <c r="Y347" t="inlineStr">
        <is>
          <t>1988-02-08</t>
        </is>
      </c>
      <c r="Z347" t="inlineStr">
        <is>
          <t>1988-02-08</t>
        </is>
      </c>
      <c r="AA347" t="n">
        <v>5</v>
      </c>
      <c r="AB347" t="n">
        <v>5</v>
      </c>
      <c r="AC347" t="n">
        <v>5</v>
      </c>
      <c r="AD347" t="n">
        <v>1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O347" t="n">
        <v>0</v>
      </c>
      <c r="AP347" t="n">
        <v>0</v>
      </c>
      <c r="AQ347" t="n">
        <v>0</v>
      </c>
      <c r="AR347" t="inlineStr">
        <is>
          <t>No</t>
        </is>
      </c>
      <c r="AS347" t="inlineStr">
        <is>
          <t>No</t>
        </is>
      </c>
      <c r="AU347">
        <f>HYPERLINK("https://creighton-primo.hosted.exlibrisgroup.com/primo-explore/search?tab=default_tab&amp;search_scope=EVERYTHING&amp;vid=01CRU&amp;lang=en_US&amp;offset=0&amp;query=any,contains,991000959219702656","Catalog Record")</f>
        <v/>
      </c>
      <c r="AV347">
        <f>HYPERLINK("http://www.worldcat.org/oclc/10101981","WorldCat Record")</f>
        <v/>
      </c>
      <c r="AW347" t="inlineStr">
        <is>
          <t>2875340:eng</t>
        </is>
      </c>
      <c r="AX347" t="inlineStr">
        <is>
          <t>10101981</t>
        </is>
      </c>
      <c r="AY347" t="inlineStr">
        <is>
          <t>991000959219702656</t>
        </is>
      </c>
      <c r="AZ347" t="inlineStr">
        <is>
          <t>991000959219702656</t>
        </is>
      </c>
      <c r="BA347" t="inlineStr">
        <is>
          <t>2255482330002656</t>
        </is>
      </c>
      <c r="BB347" t="inlineStr">
        <is>
          <t>BOOK</t>
        </is>
      </c>
      <c r="BD347" t="inlineStr">
        <is>
          <t>9780935404098</t>
        </is>
      </c>
      <c r="BE347" t="inlineStr">
        <is>
          <t>30001000196131</t>
        </is>
      </c>
      <c r="BF347" t="inlineStr">
        <is>
          <t>893831780</t>
        </is>
      </c>
    </row>
    <row r="348">
      <c r="B348" t="inlineStr">
        <is>
          <t>CUHSL</t>
        </is>
      </c>
      <c r="C348" t="inlineStr">
        <is>
          <t>SHELVES</t>
        </is>
      </c>
      <c r="D348" t="inlineStr">
        <is>
          <t>QV 137 C517 1988</t>
        </is>
      </c>
      <c r="E348" t="inlineStr">
        <is>
          <t>0                      QV 0137000C  517         1988</t>
        </is>
      </c>
      <c r="F348" t="inlineStr">
        <is>
          <t>Chemical and biological studies on new cigarette prototypes that heat instead of burn tobacco / R.J. Reynolds Tobacco Company.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N348" t="inlineStr">
        <is>
          <t>Winston-Salem, N.C. : The Company, c1988.</t>
        </is>
      </c>
      <c r="O348" t="inlineStr">
        <is>
          <t>1988</t>
        </is>
      </c>
      <c r="Q348" t="inlineStr">
        <is>
          <t>eng</t>
        </is>
      </c>
      <c r="R348" t="inlineStr">
        <is>
          <t>ncu</t>
        </is>
      </c>
      <c r="T348" t="inlineStr">
        <is>
          <t xml:space="preserve">QV </t>
        </is>
      </c>
      <c r="U348" t="n">
        <v>7</v>
      </c>
      <c r="V348" t="n">
        <v>7</v>
      </c>
      <c r="W348" t="inlineStr">
        <is>
          <t>1999-03-16</t>
        </is>
      </c>
      <c r="X348" t="inlineStr">
        <is>
          <t>1999-03-16</t>
        </is>
      </c>
      <c r="Y348" t="inlineStr">
        <is>
          <t>1989-01-26</t>
        </is>
      </c>
      <c r="Z348" t="inlineStr">
        <is>
          <t>1989-01-26</t>
        </is>
      </c>
      <c r="AA348" t="n">
        <v>88</v>
      </c>
      <c r="AB348" t="n">
        <v>83</v>
      </c>
      <c r="AC348" t="n">
        <v>83</v>
      </c>
      <c r="AD348" t="n">
        <v>1</v>
      </c>
      <c r="AE348" t="n">
        <v>1</v>
      </c>
      <c r="AF348" t="n">
        <v>0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0</v>
      </c>
      <c r="AM348" t="n">
        <v>0</v>
      </c>
      <c r="AN348" t="n">
        <v>0</v>
      </c>
      <c r="AO348" t="n">
        <v>0</v>
      </c>
      <c r="AP348" t="n">
        <v>0</v>
      </c>
      <c r="AQ348" t="n">
        <v>0</v>
      </c>
      <c r="AR348" t="inlineStr">
        <is>
          <t>No</t>
        </is>
      </c>
      <c r="AS348" t="inlineStr">
        <is>
          <t>No</t>
        </is>
      </c>
      <c r="AU348">
        <f>HYPERLINK("https://creighton-primo.hosted.exlibrisgroup.com/primo-explore/search?tab=default_tab&amp;search_scope=EVERYTHING&amp;vid=01CRU&amp;lang=en_US&amp;offset=0&amp;query=any,contains,991001426849702656","Catalog Record")</f>
        <v/>
      </c>
      <c r="AV348">
        <f>HYPERLINK("http://www.worldcat.org/oclc/20410581","WorldCat Record")</f>
        <v/>
      </c>
      <c r="AW348" t="inlineStr">
        <is>
          <t>22120787:eng</t>
        </is>
      </c>
      <c r="AX348" t="inlineStr">
        <is>
          <t>20410581</t>
        </is>
      </c>
      <c r="AY348" t="inlineStr">
        <is>
          <t>991001426849702656</t>
        </is>
      </c>
      <c r="AZ348" t="inlineStr">
        <is>
          <t>991001426849702656</t>
        </is>
      </c>
      <c r="BA348" t="inlineStr">
        <is>
          <t>2264362820002656</t>
        </is>
      </c>
      <c r="BB348" t="inlineStr">
        <is>
          <t>BOOK</t>
        </is>
      </c>
      <c r="BE348" t="inlineStr">
        <is>
          <t>30001001184896</t>
        </is>
      </c>
      <c r="BF348" t="inlineStr">
        <is>
          <t>893643568</t>
        </is>
      </c>
    </row>
    <row r="349">
      <c r="B349" t="inlineStr">
        <is>
          <t>CUHSL</t>
        </is>
      </c>
      <c r="C349" t="inlineStr">
        <is>
          <t>SHELVES</t>
        </is>
      </c>
      <c r="D349" t="inlineStr">
        <is>
          <t>QV 137 H456s 1969</t>
        </is>
      </c>
      <c r="E349" t="inlineStr">
        <is>
          <t>0                      QV 0137000H  456s        1969</t>
        </is>
      </c>
      <c r="F349" t="inlineStr">
        <is>
          <t>Smoking, tobacco, and health / James L. Hedrick.</t>
        </is>
      </c>
      <c r="H349" t="inlineStr">
        <is>
          <t>No</t>
        </is>
      </c>
      <c r="I349" t="inlineStr">
        <is>
          <t>1</t>
        </is>
      </c>
      <c r="J349" t="inlineStr">
        <is>
          <t>No</t>
        </is>
      </c>
      <c r="K349" t="inlineStr">
        <is>
          <t>No</t>
        </is>
      </c>
      <c r="L349" t="inlineStr">
        <is>
          <t>0</t>
        </is>
      </c>
      <c r="M349" t="inlineStr">
        <is>
          <t>Hedrick, James L.</t>
        </is>
      </c>
      <c r="N349" t="inlineStr">
        <is>
          <t>[Washington] : U.S. Health Services and Mental Health Administration, 1969.</t>
        </is>
      </c>
      <c r="O349" t="inlineStr">
        <is>
          <t>1969</t>
        </is>
      </c>
      <c r="P349" t="inlineStr">
        <is>
          <t>Rev.</t>
        </is>
      </c>
      <c r="Q349" t="inlineStr">
        <is>
          <t>eng</t>
        </is>
      </c>
      <c r="R349" t="inlineStr">
        <is>
          <t>dcu</t>
        </is>
      </c>
      <c r="S349" t="inlineStr">
        <is>
          <t>Public Health Service publication ; no. 1931</t>
        </is>
      </c>
      <c r="T349" t="inlineStr">
        <is>
          <t xml:space="preserve">QV </t>
        </is>
      </c>
      <c r="U349" t="n">
        <v>5</v>
      </c>
      <c r="V349" t="n">
        <v>5</v>
      </c>
      <c r="W349" t="inlineStr">
        <is>
          <t>1999-03-16</t>
        </is>
      </c>
      <c r="X349" t="inlineStr">
        <is>
          <t>1999-03-16</t>
        </is>
      </c>
      <c r="Y349" t="inlineStr">
        <is>
          <t>1991-09-12</t>
        </is>
      </c>
      <c r="Z349" t="inlineStr">
        <is>
          <t>1991-09-12</t>
        </is>
      </c>
      <c r="AA349" t="n">
        <v>219</v>
      </c>
      <c r="AB349" t="n">
        <v>210</v>
      </c>
      <c r="AC349" t="n">
        <v>224</v>
      </c>
      <c r="AD349" t="n">
        <v>4</v>
      </c>
      <c r="AE349" t="n">
        <v>4</v>
      </c>
      <c r="AF349" t="n">
        <v>8</v>
      </c>
      <c r="AG349" t="n">
        <v>8</v>
      </c>
      <c r="AH349" t="n">
        <v>0</v>
      </c>
      <c r="AI349" t="n">
        <v>0</v>
      </c>
      <c r="AJ349" t="n">
        <v>1</v>
      </c>
      <c r="AK349" t="n">
        <v>1</v>
      </c>
      <c r="AL349" t="n">
        <v>4</v>
      </c>
      <c r="AM349" t="n">
        <v>4</v>
      </c>
      <c r="AN349" t="n">
        <v>3</v>
      </c>
      <c r="AO349" t="n">
        <v>3</v>
      </c>
      <c r="AP349" t="n">
        <v>0</v>
      </c>
      <c r="AQ349" t="n">
        <v>0</v>
      </c>
      <c r="AR349" t="inlineStr">
        <is>
          <t>No</t>
        </is>
      </c>
      <c r="AS349" t="inlineStr">
        <is>
          <t>Yes</t>
        </is>
      </c>
      <c r="AT349">
        <f>HYPERLINK("http://catalog.hathitrust.org/Record/001578292","HathiTrust Record")</f>
        <v/>
      </c>
      <c r="AU349">
        <f>HYPERLINK("https://creighton-primo.hosted.exlibrisgroup.com/primo-explore/search?tab=default_tab&amp;search_scope=EVERYTHING&amp;vid=01CRU&amp;lang=en_US&amp;offset=0&amp;query=any,contains,991001014069702656","Catalog Record")</f>
        <v/>
      </c>
      <c r="AV349">
        <f>HYPERLINK("http://www.worldcat.org/oclc/814403","WorldCat Record")</f>
        <v/>
      </c>
      <c r="AW349" t="inlineStr">
        <is>
          <t>1665858:eng</t>
        </is>
      </c>
      <c r="AX349" t="inlineStr">
        <is>
          <t>814403</t>
        </is>
      </c>
      <c r="AY349" t="inlineStr">
        <is>
          <t>991001014069702656</t>
        </is>
      </c>
      <c r="AZ349" t="inlineStr">
        <is>
          <t>991001014069702656</t>
        </is>
      </c>
      <c r="BA349" t="inlineStr">
        <is>
          <t>2270128940002656</t>
        </is>
      </c>
      <c r="BB349" t="inlineStr">
        <is>
          <t>BOOK</t>
        </is>
      </c>
      <c r="BE349" t="inlineStr">
        <is>
          <t>30001002240366</t>
        </is>
      </c>
      <c r="BF349" t="inlineStr">
        <is>
          <t>893460212</t>
        </is>
      </c>
    </row>
    <row r="350">
      <c r="B350" t="inlineStr">
        <is>
          <t>CUHSL</t>
        </is>
      </c>
      <c r="C350" t="inlineStr">
        <is>
          <t>SHELVES</t>
        </is>
      </c>
      <c r="D350" t="inlineStr">
        <is>
          <t>QV 137 H847 1994</t>
        </is>
      </c>
      <c r="E350" t="inlineStr">
        <is>
          <t>0                      QV 0137000H  847         1994</t>
        </is>
      </c>
      <c r="F350" t="inlineStr">
        <is>
          <t>How to help patients stop smoking : guidelines for diagnosis and treatment of nicotine dependence / American Medical Association ; [authors, Thomas P. Houston ... et al.].</t>
        </is>
      </c>
      <c r="H350" t="inlineStr">
        <is>
          <t>No</t>
        </is>
      </c>
      <c r="I350" t="inlineStr">
        <is>
          <t>1</t>
        </is>
      </c>
      <c r="J350" t="inlineStr">
        <is>
          <t>No</t>
        </is>
      </c>
      <c r="K350" t="inlineStr">
        <is>
          <t>No</t>
        </is>
      </c>
      <c r="L350" t="inlineStr">
        <is>
          <t>0</t>
        </is>
      </c>
      <c r="N350" t="inlineStr">
        <is>
          <t>Chicago, Ill. : The Association, c1994.</t>
        </is>
      </c>
      <c r="O350" t="inlineStr">
        <is>
          <t>1994</t>
        </is>
      </c>
      <c r="Q350" t="inlineStr">
        <is>
          <t>eng</t>
        </is>
      </c>
      <c r="R350" t="inlineStr">
        <is>
          <t>ilu</t>
        </is>
      </c>
      <c r="T350" t="inlineStr">
        <is>
          <t xml:space="preserve">QV </t>
        </is>
      </c>
      <c r="U350" t="n">
        <v>16</v>
      </c>
      <c r="V350" t="n">
        <v>16</v>
      </c>
      <c r="W350" t="inlineStr">
        <is>
          <t>1999-11-18</t>
        </is>
      </c>
      <c r="X350" t="inlineStr">
        <is>
          <t>1999-11-18</t>
        </is>
      </c>
      <c r="Y350" t="inlineStr">
        <is>
          <t>1994-09-07</t>
        </is>
      </c>
      <c r="Z350" t="inlineStr">
        <is>
          <t>1994-09-07</t>
        </is>
      </c>
      <c r="AA350" t="n">
        <v>15</v>
      </c>
      <c r="AB350" t="n">
        <v>13</v>
      </c>
      <c r="AC350" t="n">
        <v>15</v>
      </c>
      <c r="AD350" t="n">
        <v>1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O350" t="n">
        <v>0</v>
      </c>
      <c r="AP350" t="n">
        <v>0</v>
      </c>
      <c r="AQ350" t="n">
        <v>0</v>
      </c>
      <c r="AR350" t="inlineStr">
        <is>
          <t>No</t>
        </is>
      </c>
      <c r="AS350" t="inlineStr">
        <is>
          <t>Yes</t>
        </is>
      </c>
      <c r="AT350">
        <f>HYPERLINK("http://catalog.hathitrust.org/Record/005389058","HathiTrust Record")</f>
        <v/>
      </c>
      <c r="AU350">
        <f>HYPERLINK("https://creighton-primo.hosted.exlibrisgroup.com/primo-explore/search?tab=default_tab&amp;search_scope=EVERYTHING&amp;vid=01CRU&amp;lang=en_US&amp;offset=0&amp;query=any,contains,991000677189702656","Catalog Record")</f>
        <v/>
      </c>
      <c r="AV350">
        <f>HYPERLINK("http://www.worldcat.org/oclc/29999391","WorldCat Record")</f>
        <v/>
      </c>
      <c r="AW350" t="inlineStr">
        <is>
          <t>905398768:eng</t>
        </is>
      </c>
      <c r="AX350" t="inlineStr">
        <is>
          <t>29999391</t>
        </is>
      </c>
      <c r="AY350" t="inlineStr">
        <is>
          <t>991000677189702656</t>
        </is>
      </c>
      <c r="AZ350" t="inlineStr">
        <is>
          <t>991000677189702656</t>
        </is>
      </c>
      <c r="BA350" t="inlineStr">
        <is>
          <t>2270925380002656</t>
        </is>
      </c>
      <c r="BB350" t="inlineStr">
        <is>
          <t>BOOK</t>
        </is>
      </c>
      <c r="BE350" t="inlineStr">
        <is>
          <t>30001002696666</t>
        </is>
      </c>
      <c r="BF350" t="inlineStr">
        <is>
          <t>893373396</t>
        </is>
      </c>
    </row>
    <row r="351">
      <c r="B351" t="inlineStr">
        <is>
          <t>CUHSL</t>
        </is>
      </c>
      <c r="C351" t="inlineStr">
        <is>
          <t>SHELVES</t>
        </is>
      </c>
      <c r="D351" t="inlineStr">
        <is>
          <t>QV 137 N532 1990</t>
        </is>
      </c>
      <c r="E351" t="inlineStr">
        <is>
          <t>0                      QV 0137000N  532         1990</t>
        </is>
      </c>
      <c r="F351" t="inlineStr">
        <is>
          <t>New developments in nicotine-delivery systems / Jack E. Henningfield, Maxine L. Stitzer, editors.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N351" t="inlineStr">
        <is>
          <t>Ossining, N.Y. : Cortlandt Communications, c1991.</t>
        </is>
      </c>
      <c r="O351" t="inlineStr">
        <is>
          <t>1991</t>
        </is>
      </c>
      <c r="Q351" t="inlineStr">
        <is>
          <t>eng</t>
        </is>
      </c>
      <c r="R351" t="inlineStr">
        <is>
          <t>nyu</t>
        </is>
      </c>
      <c r="T351" t="inlineStr">
        <is>
          <t xml:space="preserve">QV </t>
        </is>
      </c>
      <c r="U351" t="n">
        <v>15</v>
      </c>
      <c r="V351" t="n">
        <v>15</v>
      </c>
      <c r="W351" t="inlineStr">
        <is>
          <t>1999-04-13</t>
        </is>
      </c>
      <c r="X351" t="inlineStr">
        <is>
          <t>1999-04-13</t>
        </is>
      </c>
      <c r="Y351" t="inlineStr">
        <is>
          <t>1992-06-09</t>
        </is>
      </c>
      <c r="Z351" t="inlineStr">
        <is>
          <t>1992-06-09</t>
        </is>
      </c>
      <c r="AA351" t="n">
        <v>22</v>
      </c>
      <c r="AB351" t="n">
        <v>20</v>
      </c>
      <c r="AC351" t="n">
        <v>22</v>
      </c>
      <c r="AD351" t="n">
        <v>1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inlineStr">
        <is>
          <t>No</t>
        </is>
      </c>
      <c r="AS351" t="inlineStr">
        <is>
          <t>Yes</t>
        </is>
      </c>
      <c r="AT351">
        <f>HYPERLINK("http://catalog.hathitrust.org/Record/002622104","HathiTrust Record")</f>
        <v/>
      </c>
      <c r="AU351">
        <f>HYPERLINK("https://creighton-primo.hosted.exlibrisgroup.com/primo-explore/search?tab=default_tab&amp;search_scope=EVERYTHING&amp;vid=01CRU&amp;lang=en_US&amp;offset=0&amp;query=any,contains,991001307079702656","Catalog Record")</f>
        <v/>
      </c>
      <c r="AV351">
        <f>HYPERLINK("http://www.worldcat.org/oclc/25512801","WorldCat Record")</f>
        <v/>
      </c>
      <c r="AW351" t="inlineStr">
        <is>
          <t>27937800:eng</t>
        </is>
      </c>
      <c r="AX351" t="inlineStr">
        <is>
          <t>25512801</t>
        </is>
      </c>
      <c r="AY351" t="inlineStr">
        <is>
          <t>991001307079702656</t>
        </is>
      </c>
      <c r="AZ351" t="inlineStr">
        <is>
          <t>991001307079702656</t>
        </is>
      </c>
      <c r="BA351" t="inlineStr">
        <is>
          <t>2257524630002656</t>
        </is>
      </c>
      <c r="BB351" t="inlineStr">
        <is>
          <t>BOOK</t>
        </is>
      </c>
      <c r="BE351" t="inlineStr">
        <is>
          <t>30001002414128</t>
        </is>
      </c>
      <c r="BF351" t="inlineStr">
        <is>
          <t>893377187</t>
        </is>
      </c>
    </row>
    <row r="352">
      <c r="B352" t="inlineStr">
        <is>
          <t>CUHSL</t>
        </is>
      </c>
      <c r="C352" t="inlineStr">
        <is>
          <t>SHELVES</t>
        </is>
      </c>
      <c r="D352" t="inlineStr">
        <is>
          <t>QV 137 N662 1993</t>
        </is>
      </c>
      <c r="E352" t="inlineStr">
        <is>
          <t>0                      QV 0137000N  662         1993</t>
        </is>
      </c>
      <c r="F352" t="inlineStr">
        <is>
          <t>Nicotine addiction : principles and management / edited by C. Tracy Orleans, John Slade.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N352" t="inlineStr">
        <is>
          <t>New York : Oxford University Press, 1993.</t>
        </is>
      </c>
      <c r="O352" t="inlineStr">
        <is>
          <t>1993</t>
        </is>
      </c>
      <c r="Q352" t="inlineStr">
        <is>
          <t>eng</t>
        </is>
      </c>
      <c r="R352" t="inlineStr">
        <is>
          <t>nyu</t>
        </is>
      </c>
      <c r="T352" t="inlineStr">
        <is>
          <t xml:space="preserve">QV </t>
        </is>
      </c>
      <c r="U352" t="n">
        <v>15</v>
      </c>
      <c r="V352" t="n">
        <v>15</v>
      </c>
      <c r="W352" t="inlineStr">
        <is>
          <t>2002-01-31</t>
        </is>
      </c>
      <c r="X352" t="inlineStr">
        <is>
          <t>2002-01-31</t>
        </is>
      </c>
      <c r="Y352" t="inlineStr">
        <is>
          <t>1993-12-15</t>
        </is>
      </c>
      <c r="Z352" t="inlineStr">
        <is>
          <t>1993-12-15</t>
        </is>
      </c>
      <c r="AA352" t="n">
        <v>324</v>
      </c>
      <c r="AB352" t="n">
        <v>270</v>
      </c>
      <c r="AC352" t="n">
        <v>276</v>
      </c>
      <c r="AD352" t="n">
        <v>2</v>
      </c>
      <c r="AE352" t="n">
        <v>2</v>
      </c>
      <c r="AF352" t="n">
        <v>13</v>
      </c>
      <c r="AG352" t="n">
        <v>13</v>
      </c>
      <c r="AH352" t="n">
        <v>4</v>
      </c>
      <c r="AI352" t="n">
        <v>4</v>
      </c>
      <c r="AJ352" t="n">
        <v>1</v>
      </c>
      <c r="AK352" t="n">
        <v>1</v>
      </c>
      <c r="AL352" t="n">
        <v>11</v>
      </c>
      <c r="AM352" t="n">
        <v>11</v>
      </c>
      <c r="AN352" t="n">
        <v>1</v>
      </c>
      <c r="AO352" t="n">
        <v>1</v>
      </c>
      <c r="AP352" t="n">
        <v>0</v>
      </c>
      <c r="AQ352" t="n">
        <v>0</v>
      </c>
      <c r="AR352" t="inlineStr">
        <is>
          <t>No</t>
        </is>
      </c>
      <c r="AS352" t="inlineStr">
        <is>
          <t>No</t>
        </is>
      </c>
      <c r="AU352">
        <f>HYPERLINK("https://creighton-primo.hosted.exlibrisgroup.com/primo-explore/search?tab=default_tab&amp;search_scope=EVERYTHING&amp;vid=01CRU&amp;lang=en_US&amp;offset=0&amp;query=any,contains,991000646529702656","Catalog Record")</f>
        <v/>
      </c>
      <c r="AV352">
        <f>HYPERLINK("http://www.worldcat.org/oclc/26553051","WorldCat Record")</f>
        <v/>
      </c>
      <c r="AW352" t="inlineStr">
        <is>
          <t>836776499:eng</t>
        </is>
      </c>
      <c r="AX352" t="inlineStr">
        <is>
          <t>26553051</t>
        </is>
      </c>
      <c r="AY352" t="inlineStr">
        <is>
          <t>991000646529702656</t>
        </is>
      </c>
      <c r="AZ352" t="inlineStr">
        <is>
          <t>991000646529702656</t>
        </is>
      </c>
      <c r="BA352" t="inlineStr">
        <is>
          <t>2257467860002656</t>
        </is>
      </c>
      <c r="BB352" t="inlineStr">
        <is>
          <t>BOOK</t>
        </is>
      </c>
      <c r="BD352" t="inlineStr">
        <is>
          <t>9780195064414</t>
        </is>
      </c>
      <c r="BE352" t="inlineStr">
        <is>
          <t>30001002690412</t>
        </is>
      </c>
      <c r="BF352" t="inlineStr">
        <is>
          <t>893376716</t>
        </is>
      </c>
    </row>
    <row r="353">
      <c r="B353" t="inlineStr">
        <is>
          <t>CUHSL</t>
        </is>
      </c>
      <c r="C353" t="inlineStr">
        <is>
          <t>SHELVES</t>
        </is>
      </c>
      <c r="D353" t="inlineStr">
        <is>
          <t>QV 137 N877s 1957</t>
        </is>
      </c>
      <c r="E353" t="inlineStr">
        <is>
          <t>0                      QV 0137000N  877s        1957</t>
        </is>
      </c>
      <c r="F353" t="inlineStr">
        <is>
          <t>Science looks at smoking : a new inquiry into the effects of smoking on your health / by Eric Northrup ; introd. by Harry S.N. Greene.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M353" t="inlineStr">
        <is>
          <t>Northrup, Eric.</t>
        </is>
      </c>
      <c r="N353" t="inlineStr">
        <is>
          <t>New York : Coward-McCann, c1957.</t>
        </is>
      </c>
      <c r="O353" t="inlineStr">
        <is>
          <t>1957</t>
        </is>
      </c>
      <c r="Q353" t="inlineStr">
        <is>
          <t>eng</t>
        </is>
      </c>
      <c r="R353" t="inlineStr">
        <is>
          <t>nyu</t>
        </is>
      </c>
      <c r="T353" t="inlineStr">
        <is>
          <t xml:space="preserve">QV </t>
        </is>
      </c>
      <c r="U353" t="n">
        <v>5</v>
      </c>
      <c r="V353" t="n">
        <v>5</v>
      </c>
      <c r="W353" t="inlineStr">
        <is>
          <t>1999-03-30</t>
        </is>
      </c>
      <c r="X353" t="inlineStr">
        <is>
          <t>1999-03-30</t>
        </is>
      </c>
      <c r="Y353" t="inlineStr">
        <is>
          <t>1988-02-08</t>
        </is>
      </c>
      <c r="Z353" t="inlineStr">
        <is>
          <t>1988-02-08</t>
        </is>
      </c>
      <c r="AA353" t="n">
        <v>471</v>
      </c>
      <c r="AB353" t="n">
        <v>460</v>
      </c>
      <c r="AC353" t="n">
        <v>479</v>
      </c>
      <c r="AD353" t="n">
        <v>5</v>
      </c>
      <c r="AE353" t="n">
        <v>5</v>
      </c>
      <c r="AF353" t="n">
        <v>23</v>
      </c>
      <c r="AG353" t="n">
        <v>24</v>
      </c>
      <c r="AH353" t="n">
        <v>12</v>
      </c>
      <c r="AI353" t="n">
        <v>12</v>
      </c>
      <c r="AJ353" t="n">
        <v>3</v>
      </c>
      <c r="AK353" t="n">
        <v>4</v>
      </c>
      <c r="AL353" t="n">
        <v>11</v>
      </c>
      <c r="AM353" t="n">
        <v>11</v>
      </c>
      <c r="AN353" t="n">
        <v>3</v>
      </c>
      <c r="AO353" t="n">
        <v>3</v>
      </c>
      <c r="AP353" t="n">
        <v>0</v>
      </c>
      <c r="AQ353" t="n">
        <v>0</v>
      </c>
      <c r="AR353" t="inlineStr">
        <is>
          <t>No</t>
        </is>
      </c>
      <c r="AS353" t="inlineStr">
        <is>
          <t>No</t>
        </is>
      </c>
      <c r="AT353">
        <f>HYPERLINK("http://catalog.hathitrust.org/Record/001556011","HathiTrust Record")</f>
        <v/>
      </c>
      <c r="AU353">
        <f>HYPERLINK("https://creighton-primo.hosted.exlibrisgroup.com/primo-explore/search?tab=default_tab&amp;search_scope=EVERYTHING&amp;vid=01CRU&amp;lang=en_US&amp;offset=0&amp;query=any,contains,991000959779702656","Catalog Record")</f>
        <v/>
      </c>
      <c r="AV353">
        <f>HYPERLINK("http://www.worldcat.org/oclc/1331265","WorldCat Record")</f>
        <v/>
      </c>
      <c r="AW353" t="inlineStr">
        <is>
          <t>2216877:eng</t>
        </is>
      </c>
      <c r="AX353" t="inlineStr">
        <is>
          <t>1331265</t>
        </is>
      </c>
      <c r="AY353" t="inlineStr">
        <is>
          <t>991000959779702656</t>
        </is>
      </c>
      <c r="AZ353" t="inlineStr">
        <is>
          <t>991000959779702656</t>
        </is>
      </c>
      <c r="BA353" t="inlineStr">
        <is>
          <t>2261563150002656</t>
        </is>
      </c>
      <c r="BB353" t="inlineStr">
        <is>
          <t>BOOK</t>
        </is>
      </c>
      <c r="BE353" t="inlineStr">
        <is>
          <t>30001000196537</t>
        </is>
      </c>
      <c r="BF353" t="inlineStr">
        <is>
          <t>893363585</t>
        </is>
      </c>
    </row>
    <row r="354">
      <c r="B354" t="inlineStr">
        <is>
          <t>CUHSL</t>
        </is>
      </c>
      <c r="C354" t="inlineStr">
        <is>
          <t>SHELVES</t>
        </is>
      </c>
      <c r="D354" t="inlineStr">
        <is>
          <t>QV 137 R434 1993</t>
        </is>
      </c>
      <c r="E354" t="inlineStr">
        <is>
          <t>0                      QV 0137000R  434         1993</t>
        </is>
      </c>
      <c r="F354" t="inlineStr">
        <is>
          <t>Respiratory health effects of passive smoking : lung cancer and other disorders / U.S. Environmental Protection Agency, U.S. Department or health and human services.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No</t>
        </is>
      </c>
      <c r="L354" t="inlineStr">
        <is>
          <t>0</t>
        </is>
      </c>
      <c r="N354" t="inlineStr">
        <is>
          <t>Washington, D.C. : U. S. Dept. of Health and Human Services, U. S. Environmental Protection Agency, 1993.</t>
        </is>
      </c>
      <c r="O354" t="inlineStr">
        <is>
          <t>1993</t>
        </is>
      </c>
      <c r="Q354" t="inlineStr">
        <is>
          <t>eng</t>
        </is>
      </c>
      <c r="R354" t="inlineStr">
        <is>
          <t>dcu</t>
        </is>
      </c>
      <c r="S354" t="inlineStr">
        <is>
          <t>Smoking and tobacco control ; monograph 4.</t>
        </is>
      </c>
      <c r="T354" t="inlineStr">
        <is>
          <t xml:space="preserve">QV </t>
        </is>
      </c>
      <c r="U354" t="n">
        <v>19</v>
      </c>
      <c r="V354" t="n">
        <v>19</v>
      </c>
      <c r="W354" t="inlineStr">
        <is>
          <t>2002-04-25</t>
        </is>
      </c>
      <c r="X354" t="inlineStr">
        <is>
          <t>2002-04-25</t>
        </is>
      </c>
      <c r="Y354" t="inlineStr">
        <is>
          <t>1994-02-14</t>
        </is>
      </c>
      <c r="Z354" t="inlineStr">
        <is>
          <t>1994-02-14</t>
        </is>
      </c>
      <c r="AA354" t="n">
        <v>212</v>
      </c>
      <c r="AB354" t="n">
        <v>176</v>
      </c>
      <c r="AC354" t="n">
        <v>348</v>
      </c>
      <c r="AD354" t="n">
        <v>2</v>
      </c>
      <c r="AE354" t="n">
        <v>4</v>
      </c>
      <c r="AF354" t="n">
        <v>5</v>
      </c>
      <c r="AG354" t="n">
        <v>13</v>
      </c>
      <c r="AH354" t="n">
        <v>2</v>
      </c>
      <c r="AI354" t="n">
        <v>4</v>
      </c>
      <c r="AJ354" t="n">
        <v>0</v>
      </c>
      <c r="AK354" t="n">
        <v>2</v>
      </c>
      <c r="AL354" t="n">
        <v>2</v>
      </c>
      <c r="AM354" t="n">
        <v>5</v>
      </c>
      <c r="AN354" t="n">
        <v>0</v>
      </c>
      <c r="AO354" t="n">
        <v>1</v>
      </c>
      <c r="AP354" t="n">
        <v>1</v>
      </c>
      <c r="AQ354" t="n">
        <v>1</v>
      </c>
      <c r="AR354" t="inlineStr">
        <is>
          <t>Yes</t>
        </is>
      </c>
      <c r="AS354" t="inlineStr">
        <is>
          <t>No</t>
        </is>
      </c>
      <c r="AT354">
        <f>HYPERLINK("http://catalog.hathitrust.org/Record/102194674","HathiTrust Record")</f>
        <v/>
      </c>
      <c r="AU354">
        <f>HYPERLINK("https://creighton-primo.hosted.exlibrisgroup.com/primo-explore/search?tab=default_tab&amp;search_scope=EVERYTHING&amp;vid=01CRU&amp;lang=en_US&amp;offset=0&amp;query=any,contains,991000668249702656","Catalog Record")</f>
        <v/>
      </c>
      <c r="AV354">
        <f>HYPERLINK("http://www.worldcat.org/oclc/32383418","WorldCat Record")</f>
        <v/>
      </c>
      <c r="AW354" t="inlineStr">
        <is>
          <t>5611730663:eng</t>
        </is>
      </c>
      <c r="AX354" t="inlineStr">
        <is>
          <t>32383418</t>
        </is>
      </c>
      <c r="AY354" t="inlineStr">
        <is>
          <t>991000668249702656</t>
        </is>
      </c>
      <c r="AZ354" t="inlineStr">
        <is>
          <t>991000668249702656</t>
        </is>
      </c>
      <c r="BA354" t="inlineStr">
        <is>
          <t>2270274740002656</t>
        </is>
      </c>
      <c r="BB354" t="inlineStr">
        <is>
          <t>BOOK</t>
        </is>
      </c>
      <c r="BE354" t="inlineStr">
        <is>
          <t>30001002695379</t>
        </is>
      </c>
      <c r="BF354" t="inlineStr">
        <is>
          <t>893830998</t>
        </is>
      </c>
    </row>
    <row r="355">
      <c r="B355" t="inlineStr">
        <is>
          <t>CUHSL</t>
        </is>
      </c>
      <c r="C355" t="inlineStr">
        <is>
          <t>SHELVES</t>
        </is>
      </c>
      <c r="D355" t="inlineStr">
        <is>
          <t>QV 137 R845t 1951</t>
        </is>
      </c>
      <c r="E355" t="inlineStr">
        <is>
          <t>0                      QV 0137000R  845t        1951</t>
        </is>
      </c>
      <c r="F355" t="inlineStr">
        <is>
          <t>Tobacco and the cardiovascular system : the effects of smoking and of nicotine on normal persons.</t>
        </is>
      </c>
      <c r="H355" t="inlineStr">
        <is>
          <t>No</t>
        </is>
      </c>
      <c r="I355" t="inlineStr">
        <is>
          <t>1</t>
        </is>
      </c>
      <c r="J355" t="inlineStr">
        <is>
          <t>No</t>
        </is>
      </c>
      <c r="K355" t="inlineStr">
        <is>
          <t>No</t>
        </is>
      </c>
      <c r="L355" t="inlineStr">
        <is>
          <t>0</t>
        </is>
      </c>
      <c r="M355" t="inlineStr">
        <is>
          <t>Roth, Grace Marguerite, 1896-</t>
        </is>
      </c>
      <c r="N355" t="inlineStr">
        <is>
          <t>Springfield, Ill. : Thomas, 1951.</t>
        </is>
      </c>
      <c r="O355" t="inlineStr">
        <is>
          <t>1951</t>
        </is>
      </c>
      <c r="Q355" t="inlineStr">
        <is>
          <t>eng</t>
        </is>
      </c>
      <c r="R355" t="inlineStr">
        <is>
          <t xml:space="preserve">xx </t>
        </is>
      </c>
      <c r="S355" t="inlineStr">
        <is>
          <t>American lecture series ; publication no. 100. American lectures in circulation</t>
        </is>
      </c>
      <c r="T355" t="inlineStr">
        <is>
          <t xml:space="preserve">QV </t>
        </is>
      </c>
      <c r="U355" t="n">
        <v>7</v>
      </c>
      <c r="V355" t="n">
        <v>7</v>
      </c>
      <c r="W355" t="inlineStr">
        <is>
          <t>1999-03-16</t>
        </is>
      </c>
      <c r="X355" t="inlineStr">
        <is>
          <t>1999-03-16</t>
        </is>
      </c>
      <c r="Y355" t="inlineStr">
        <is>
          <t>1988-03-17</t>
        </is>
      </c>
      <c r="Z355" t="inlineStr">
        <is>
          <t>1988-03-17</t>
        </is>
      </c>
      <c r="AA355" t="n">
        <v>115</v>
      </c>
      <c r="AB355" t="n">
        <v>104</v>
      </c>
      <c r="AC355" t="n">
        <v>105</v>
      </c>
      <c r="AD355" t="n">
        <v>3</v>
      </c>
      <c r="AE355" t="n">
        <v>3</v>
      </c>
      <c r="AF355" t="n">
        <v>4</v>
      </c>
      <c r="AG355" t="n">
        <v>4</v>
      </c>
      <c r="AH355" t="n">
        <v>0</v>
      </c>
      <c r="AI355" t="n">
        <v>0</v>
      </c>
      <c r="AJ355" t="n">
        <v>1</v>
      </c>
      <c r="AK355" t="n">
        <v>1</v>
      </c>
      <c r="AL355" t="n">
        <v>1</v>
      </c>
      <c r="AM355" t="n">
        <v>1</v>
      </c>
      <c r="AN355" t="n">
        <v>2</v>
      </c>
      <c r="AO355" t="n">
        <v>2</v>
      </c>
      <c r="AP355" t="n">
        <v>0</v>
      </c>
      <c r="AQ355" t="n">
        <v>0</v>
      </c>
      <c r="AR355" t="inlineStr">
        <is>
          <t>No</t>
        </is>
      </c>
      <c r="AS355" t="inlineStr">
        <is>
          <t>No</t>
        </is>
      </c>
      <c r="AT355">
        <f>HYPERLINK("http://catalog.hathitrust.org/Record/000854752","HathiTrust Record")</f>
        <v/>
      </c>
      <c r="AU355">
        <f>HYPERLINK("https://creighton-primo.hosted.exlibrisgroup.com/primo-explore/search?tab=default_tab&amp;search_scope=EVERYTHING&amp;vid=01CRU&amp;lang=en_US&amp;offset=0&amp;query=any,contains,991000959739702656","Catalog Record")</f>
        <v/>
      </c>
      <c r="AV355">
        <f>HYPERLINK("http://www.worldcat.org/oclc/3175025","WorldCat Record")</f>
        <v/>
      </c>
      <c r="AW355" t="inlineStr">
        <is>
          <t>10032638085:eng</t>
        </is>
      </c>
      <c r="AX355" t="inlineStr">
        <is>
          <t>3175025</t>
        </is>
      </c>
      <c r="AY355" t="inlineStr">
        <is>
          <t>991000959739702656</t>
        </is>
      </c>
      <c r="AZ355" t="inlineStr">
        <is>
          <t>991000959739702656</t>
        </is>
      </c>
      <c r="BA355" t="inlineStr">
        <is>
          <t>2265436780002656</t>
        </is>
      </c>
      <c r="BB355" t="inlineStr">
        <is>
          <t>BOOK</t>
        </is>
      </c>
      <c r="BE355" t="inlineStr">
        <is>
          <t>30001000196529</t>
        </is>
      </c>
      <c r="BF355" t="inlineStr">
        <is>
          <t>893273527</t>
        </is>
      </c>
    </row>
    <row r="356">
      <c r="B356" t="inlineStr">
        <is>
          <t>CUHSL</t>
        </is>
      </c>
      <c r="C356" t="inlineStr">
        <is>
          <t>SHELVES</t>
        </is>
      </c>
      <c r="D356" t="inlineStr">
        <is>
          <t>QV 137 S666 1992</t>
        </is>
      </c>
      <c r="E356" t="inlineStr">
        <is>
          <t>0                      QV 0137000S  666         1992</t>
        </is>
      </c>
      <c r="F356" t="inlineStr">
        <is>
          <t>Smokeless tobacco or health : an international perspective.</t>
        </is>
      </c>
      <c r="H356" t="inlineStr">
        <is>
          <t>No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N356" t="inlineStr">
        <is>
          <t>[Rockville, Md] : U.S. Department of Health and Human Services, Public Health Service, National Institutes of Health, [National Cancer Institute], 1992.</t>
        </is>
      </c>
      <c r="O356" t="inlineStr">
        <is>
          <t>1992</t>
        </is>
      </c>
      <c r="Q356" t="inlineStr">
        <is>
          <t>eng</t>
        </is>
      </c>
      <c r="R356" t="inlineStr">
        <is>
          <t>mdu</t>
        </is>
      </c>
      <c r="S356" t="inlineStr">
        <is>
          <t>NIH publication ; no. 92-3461</t>
        </is>
      </c>
      <c r="T356" t="inlineStr">
        <is>
          <t xml:space="preserve">QV </t>
        </is>
      </c>
      <c r="U356" t="n">
        <v>3</v>
      </c>
      <c r="V356" t="n">
        <v>3</v>
      </c>
      <c r="W356" t="inlineStr">
        <is>
          <t>1995-05-02</t>
        </is>
      </c>
      <c r="X356" t="inlineStr">
        <is>
          <t>1995-05-02</t>
        </is>
      </c>
      <c r="Y356" t="inlineStr">
        <is>
          <t>1993-11-16</t>
        </is>
      </c>
      <c r="Z356" t="inlineStr">
        <is>
          <t>1993-11-16</t>
        </is>
      </c>
      <c r="AA356" t="n">
        <v>134</v>
      </c>
      <c r="AB356" t="n">
        <v>126</v>
      </c>
      <c r="AC356" t="n">
        <v>134</v>
      </c>
      <c r="AD356" t="n">
        <v>1</v>
      </c>
      <c r="AE356" t="n">
        <v>1</v>
      </c>
      <c r="AF356" t="n">
        <v>3</v>
      </c>
      <c r="AG356" t="n">
        <v>3</v>
      </c>
      <c r="AH356" t="n">
        <v>1</v>
      </c>
      <c r="AI356" t="n">
        <v>1</v>
      </c>
      <c r="AJ356" t="n">
        <v>0</v>
      </c>
      <c r="AK356" t="n">
        <v>0</v>
      </c>
      <c r="AL356" t="n">
        <v>1</v>
      </c>
      <c r="AM356" t="n">
        <v>1</v>
      </c>
      <c r="AN356" t="n">
        <v>0</v>
      </c>
      <c r="AO356" t="n">
        <v>0</v>
      </c>
      <c r="AP356" t="n">
        <v>1</v>
      </c>
      <c r="AQ356" t="n">
        <v>1</v>
      </c>
      <c r="AR356" t="inlineStr">
        <is>
          <t>Yes</t>
        </is>
      </c>
      <c r="AS356" t="inlineStr">
        <is>
          <t>No</t>
        </is>
      </c>
      <c r="AT356">
        <f>HYPERLINK("http://catalog.hathitrust.org/Record/002792368","HathiTrust Record")</f>
        <v/>
      </c>
      <c r="AU356">
        <f>HYPERLINK("https://creighton-primo.hosted.exlibrisgroup.com/primo-explore/search?tab=default_tab&amp;search_scope=EVERYTHING&amp;vid=01CRU&amp;lang=en_US&amp;offset=0&amp;query=any,contains,991001515619702656","Catalog Record")</f>
        <v/>
      </c>
      <c r="AV356">
        <f>HYPERLINK("http://www.worldcat.org/oclc/27865488","WorldCat Record")</f>
        <v/>
      </c>
      <c r="AW356" t="inlineStr">
        <is>
          <t>5218309854:eng</t>
        </is>
      </c>
      <c r="AX356" t="inlineStr">
        <is>
          <t>27865488</t>
        </is>
      </c>
      <c r="AY356" t="inlineStr">
        <is>
          <t>991001515619702656</t>
        </is>
      </c>
      <c r="AZ356" t="inlineStr">
        <is>
          <t>991001515619702656</t>
        </is>
      </c>
      <c r="BA356" t="inlineStr">
        <is>
          <t>2264165190002656</t>
        </is>
      </c>
      <c r="BB356" t="inlineStr">
        <is>
          <t>BOOK</t>
        </is>
      </c>
      <c r="BE356" t="inlineStr">
        <is>
          <t>30001002602110</t>
        </is>
      </c>
      <c r="BF356" t="inlineStr">
        <is>
          <t>893279171</t>
        </is>
      </c>
    </row>
    <row r="357">
      <c r="B357" t="inlineStr">
        <is>
          <t>CUHSL</t>
        </is>
      </c>
      <c r="C357" t="inlineStr">
        <is>
          <t>SHELVES</t>
        </is>
      </c>
      <c r="D357" t="inlineStr">
        <is>
          <t>QV 137 U575h 1990</t>
        </is>
      </c>
      <c r="E357" t="inlineStr">
        <is>
          <t>0                      QV 0137000U  575h        1990</t>
        </is>
      </c>
      <c r="F357" t="inlineStr">
        <is>
          <t>The health benefits of smoking cessation : a report of the Surgeon General, 1990.</t>
        </is>
      </c>
      <c r="H357" t="inlineStr">
        <is>
          <t>No</t>
        </is>
      </c>
      <c r="I357" t="inlineStr">
        <is>
          <t>1</t>
        </is>
      </c>
      <c r="J357" t="inlineStr">
        <is>
          <t>No</t>
        </is>
      </c>
      <c r="K357" t="inlineStr">
        <is>
          <t>No</t>
        </is>
      </c>
      <c r="L357" t="inlineStr">
        <is>
          <t>0</t>
        </is>
      </c>
      <c r="M357" t="inlineStr">
        <is>
          <t>United States. Public Health Service. Office of the Surgeon General.</t>
        </is>
      </c>
      <c r="N357" t="inlineStr">
        <is>
          <t>Rockville, Md. : U.S. Dept. of Health and Human Services, Public Health Service, Centers for Disease Control, Center for Chronic Disease Prevention and Health Promotion, Office on Smoking and Health, [1990]</t>
        </is>
      </c>
      <c r="O357" t="inlineStr">
        <is>
          <t>1990</t>
        </is>
      </c>
      <c r="Q357" t="inlineStr">
        <is>
          <t>eng</t>
        </is>
      </c>
      <c r="R357" t="inlineStr">
        <is>
          <t>xxu</t>
        </is>
      </c>
      <c r="S357" t="inlineStr">
        <is>
          <t>DHHS publication ; no. (CDC) 90-8416</t>
        </is>
      </c>
      <c r="T357" t="inlineStr">
        <is>
          <t xml:space="preserve">QV </t>
        </is>
      </c>
      <c r="U357" t="n">
        <v>29</v>
      </c>
      <c r="V357" t="n">
        <v>29</v>
      </c>
      <c r="W357" t="inlineStr">
        <is>
          <t>2001-04-18</t>
        </is>
      </c>
      <c r="X357" t="inlineStr">
        <is>
          <t>2001-04-18</t>
        </is>
      </c>
      <c r="Y357" t="inlineStr">
        <is>
          <t>1991-05-23</t>
        </is>
      </c>
      <c r="Z357" t="inlineStr">
        <is>
          <t>1991-05-23</t>
        </is>
      </c>
      <c r="AA357" t="n">
        <v>79</v>
      </c>
      <c r="AB357" t="n">
        <v>66</v>
      </c>
      <c r="AC357" t="n">
        <v>66</v>
      </c>
      <c r="AD357" t="n">
        <v>1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inlineStr">
        <is>
          <t>No</t>
        </is>
      </c>
      <c r="AS357" t="inlineStr">
        <is>
          <t>No</t>
        </is>
      </c>
      <c r="AU357">
        <f>HYPERLINK("https://creighton-primo.hosted.exlibrisgroup.com/primo-explore/search?tab=default_tab&amp;search_scope=EVERYTHING&amp;vid=01CRU&amp;lang=en_US&amp;offset=0&amp;query=any,contains,991000937229702656","Catalog Record")</f>
        <v/>
      </c>
      <c r="AV357">
        <f>HYPERLINK("http://www.worldcat.org/oclc/23145226","WorldCat Record")</f>
        <v/>
      </c>
      <c r="AW357" t="inlineStr">
        <is>
          <t>3902221149:eng</t>
        </is>
      </c>
      <c r="AX357" t="inlineStr">
        <is>
          <t>23145226</t>
        </is>
      </c>
      <c r="AY357" t="inlineStr">
        <is>
          <t>991000937229702656</t>
        </is>
      </c>
      <c r="AZ357" t="inlineStr">
        <is>
          <t>991000937229702656</t>
        </is>
      </c>
      <c r="BA357" t="inlineStr">
        <is>
          <t>2264809030002656</t>
        </is>
      </c>
      <c r="BB357" t="inlineStr">
        <is>
          <t>BOOK</t>
        </is>
      </c>
      <c r="BE357" t="inlineStr">
        <is>
          <t>30001002191395</t>
        </is>
      </c>
      <c r="BF357" t="inlineStr">
        <is>
          <t>893743568</t>
        </is>
      </c>
    </row>
    <row r="358">
      <c r="B358" t="inlineStr">
        <is>
          <t>CUHSL</t>
        </is>
      </c>
      <c r="C358" t="inlineStr">
        <is>
          <t>SHELVES</t>
        </is>
      </c>
      <c r="D358" t="inlineStr">
        <is>
          <t>QV 140 B787p 1990</t>
        </is>
      </c>
      <c r="E358" t="inlineStr">
        <is>
          <t>0                      QV 0140000B  787p        1990</t>
        </is>
      </c>
      <c r="F358" t="inlineStr">
        <is>
          <t>Pharmacology of neuromuscular function / William C. Bowman.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Bowman, W. C.</t>
        </is>
      </c>
      <c r="N358" t="inlineStr">
        <is>
          <t>London ; Boston : Wright, c1990.</t>
        </is>
      </c>
      <c r="O358" t="inlineStr">
        <is>
          <t>1990</t>
        </is>
      </c>
      <c r="P358" t="inlineStr">
        <is>
          <t>2nd ed.</t>
        </is>
      </c>
      <c r="Q358" t="inlineStr">
        <is>
          <t>eng</t>
        </is>
      </c>
      <c r="R358" t="inlineStr">
        <is>
          <t>enk</t>
        </is>
      </c>
      <c r="T358" t="inlineStr">
        <is>
          <t xml:space="preserve">QV </t>
        </is>
      </c>
      <c r="U358" t="n">
        <v>9</v>
      </c>
      <c r="V358" t="n">
        <v>9</v>
      </c>
      <c r="W358" t="inlineStr">
        <is>
          <t>1999-10-09</t>
        </is>
      </c>
      <c r="X358" t="inlineStr">
        <is>
          <t>1999-10-09</t>
        </is>
      </c>
      <c r="Y358" t="inlineStr">
        <is>
          <t>1991-01-30</t>
        </is>
      </c>
      <c r="Z358" t="inlineStr">
        <is>
          <t>1991-01-30</t>
        </is>
      </c>
      <c r="AA358" t="n">
        <v>111</v>
      </c>
      <c r="AB358" t="n">
        <v>57</v>
      </c>
      <c r="AC358" t="n">
        <v>105</v>
      </c>
      <c r="AD358" t="n">
        <v>2</v>
      </c>
      <c r="AE358" t="n">
        <v>2</v>
      </c>
      <c r="AF358" t="n">
        <v>5</v>
      </c>
      <c r="AG358" t="n">
        <v>7</v>
      </c>
      <c r="AH358" t="n">
        <v>2</v>
      </c>
      <c r="AI358" t="n">
        <v>3</v>
      </c>
      <c r="AJ358" t="n">
        <v>2</v>
      </c>
      <c r="AK358" t="n">
        <v>4</v>
      </c>
      <c r="AL358" t="n">
        <v>1</v>
      </c>
      <c r="AM358" t="n">
        <v>1</v>
      </c>
      <c r="AN358" t="n">
        <v>1</v>
      </c>
      <c r="AO358" t="n">
        <v>1</v>
      </c>
      <c r="AP358" t="n">
        <v>0</v>
      </c>
      <c r="AQ358" t="n">
        <v>0</v>
      </c>
      <c r="AR358" t="inlineStr">
        <is>
          <t>No</t>
        </is>
      </c>
      <c r="AS358" t="inlineStr">
        <is>
          <t>Yes</t>
        </is>
      </c>
      <c r="AT358">
        <f>HYPERLINK("http://catalog.hathitrust.org/Record/002055997","HathiTrust Record")</f>
        <v/>
      </c>
      <c r="AU358">
        <f>HYPERLINK("https://creighton-primo.hosted.exlibrisgroup.com/primo-explore/search?tab=default_tab&amp;search_scope=EVERYTHING&amp;vid=01CRU&amp;lang=en_US&amp;offset=0&amp;query=any,contains,991000816579702656","Catalog Record")</f>
        <v/>
      </c>
      <c r="AV358">
        <f>HYPERLINK("http://www.worldcat.org/oclc/20722614","WorldCat Record")</f>
        <v/>
      </c>
      <c r="AW358" t="inlineStr">
        <is>
          <t>2287035714:eng</t>
        </is>
      </c>
      <c r="AX358" t="inlineStr">
        <is>
          <t>20722614</t>
        </is>
      </c>
      <c r="AY358" t="inlineStr">
        <is>
          <t>991000816579702656</t>
        </is>
      </c>
      <c r="AZ358" t="inlineStr">
        <is>
          <t>991000816579702656</t>
        </is>
      </c>
      <c r="BA358" t="inlineStr">
        <is>
          <t>2264514770002656</t>
        </is>
      </c>
      <c r="BB358" t="inlineStr">
        <is>
          <t>BOOK</t>
        </is>
      </c>
      <c r="BD358" t="inlineStr">
        <is>
          <t>9780723609131</t>
        </is>
      </c>
      <c r="BE358" t="inlineStr">
        <is>
          <t>30001002086496</t>
        </is>
      </c>
      <c r="BF358" t="inlineStr">
        <is>
          <t>893278251</t>
        </is>
      </c>
    </row>
    <row r="359">
      <c r="B359" t="inlineStr">
        <is>
          <t>CUHSL</t>
        </is>
      </c>
      <c r="C359" t="inlineStr">
        <is>
          <t>SHELVES</t>
        </is>
      </c>
      <c r="D359" t="inlineStr">
        <is>
          <t>QV 140 S847m 1959</t>
        </is>
      </c>
      <c r="E359" t="inlineStr">
        <is>
          <t>0                      QV 0140000S  847m        1959</t>
        </is>
      </c>
      <c r="F359" t="inlineStr">
        <is>
          <t>The meaning of poison.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M359" t="inlineStr">
        <is>
          <t>Stevenson, Lloyd G.</t>
        </is>
      </c>
      <c r="N359" t="inlineStr">
        <is>
          <t>Lawrence : University of Kansas Press, 1959.</t>
        </is>
      </c>
      <c r="O359" t="inlineStr">
        <is>
          <t>1959</t>
        </is>
      </c>
      <c r="Q359" t="inlineStr">
        <is>
          <t>eng</t>
        </is>
      </c>
      <c r="R359" t="inlineStr">
        <is>
          <t xml:space="preserve">xx </t>
        </is>
      </c>
      <c r="S359" t="inlineStr">
        <is>
          <t>Logan Clendening lectures on the history and philosophy of medicine ; 7th ser.</t>
        </is>
      </c>
      <c r="T359" t="inlineStr">
        <is>
          <t xml:space="preserve">QV </t>
        </is>
      </c>
      <c r="U359" t="n">
        <v>2</v>
      </c>
      <c r="V359" t="n">
        <v>2</v>
      </c>
      <c r="W359" t="inlineStr">
        <is>
          <t>1996-11-21</t>
        </is>
      </c>
      <c r="X359" t="inlineStr">
        <is>
          <t>1996-11-21</t>
        </is>
      </c>
      <c r="Y359" t="inlineStr">
        <is>
          <t>1988-03-17</t>
        </is>
      </c>
      <c r="Z359" t="inlineStr">
        <is>
          <t>1988-03-17</t>
        </is>
      </c>
      <c r="AA359" t="n">
        <v>142</v>
      </c>
      <c r="AB359" t="n">
        <v>108</v>
      </c>
      <c r="AC359" t="n">
        <v>110</v>
      </c>
      <c r="AD359" t="n">
        <v>1</v>
      </c>
      <c r="AE359" t="n">
        <v>1</v>
      </c>
      <c r="AF359" t="n">
        <v>3</v>
      </c>
      <c r="AG359" t="n">
        <v>3</v>
      </c>
      <c r="AH359" t="n">
        <v>2</v>
      </c>
      <c r="AI359" t="n">
        <v>2</v>
      </c>
      <c r="AJ359" t="n">
        <v>0</v>
      </c>
      <c r="AK359" t="n">
        <v>0</v>
      </c>
      <c r="AL359" t="n">
        <v>3</v>
      </c>
      <c r="AM359" t="n">
        <v>3</v>
      </c>
      <c r="AN359" t="n">
        <v>0</v>
      </c>
      <c r="AO359" t="n">
        <v>0</v>
      </c>
      <c r="AP359" t="n">
        <v>0</v>
      </c>
      <c r="AQ359" t="n">
        <v>0</v>
      </c>
      <c r="AR359" t="inlineStr">
        <is>
          <t>No</t>
        </is>
      </c>
      <c r="AS359" t="inlineStr">
        <is>
          <t>No</t>
        </is>
      </c>
      <c r="AT359">
        <f>HYPERLINK("http://catalog.hathitrust.org/Record/001560521","HathiTrust Record")</f>
        <v/>
      </c>
      <c r="AU359">
        <f>HYPERLINK("https://creighton-primo.hosted.exlibrisgroup.com/primo-explore/search?tab=default_tab&amp;search_scope=EVERYTHING&amp;vid=01CRU&amp;lang=en_US&amp;offset=0&amp;query=any,contains,991000959699702656","Catalog Record")</f>
        <v/>
      </c>
      <c r="AV359">
        <f>HYPERLINK("http://www.worldcat.org/oclc/3270704","WorldCat Record")</f>
        <v/>
      </c>
      <c r="AW359" t="inlineStr">
        <is>
          <t>9134167:eng</t>
        </is>
      </c>
      <c r="AX359" t="inlineStr">
        <is>
          <t>3270704</t>
        </is>
      </c>
      <c r="AY359" t="inlineStr">
        <is>
          <t>991000959699702656</t>
        </is>
      </c>
      <c r="AZ359" t="inlineStr">
        <is>
          <t>991000959699702656</t>
        </is>
      </c>
      <c r="BA359" t="inlineStr">
        <is>
          <t>2262254820002656</t>
        </is>
      </c>
      <c r="BB359" t="inlineStr">
        <is>
          <t>BOOK</t>
        </is>
      </c>
      <c r="BE359" t="inlineStr">
        <is>
          <t>30001000196511</t>
        </is>
      </c>
      <c r="BF359" t="inlineStr">
        <is>
          <t>893121054</t>
        </is>
      </c>
    </row>
    <row r="360">
      <c r="B360" t="inlineStr">
        <is>
          <t>CUHSL</t>
        </is>
      </c>
      <c r="C360" t="inlineStr">
        <is>
          <t>SHELVES</t>
        </is>
      </c>
      <c r="D360" t="inlineStr">
        <is>
          <t>QV 150 C14368 1992</t>
        </is>
      </c>
      <c r="E360" t="inlineStr">
        <is>
          <t>0                      QV 0150000C  14368       1992</t>
        </is>
      </c>
      <c r="F360" t="inlineStr">
        <is>
          <t>Calcium antagonists in clinical medicine / Murray Epstein, [editor].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N360" t="inlineStr">
        <is>
          <t>Philadelphia : Hanley &amp; Belfus ; St. Louis : Mosby-Year Book, c1992.</t>
        </is>
      </c>
      <c r="O360" t="inlineStr">
        <is>
          <t>1992</t>
        </is>
      </c>
      <c r="Q360" t="inlineStr">
        <is>
          <t>eng</t>
        </is>
      </c>
      <c r="R360" t="inlineStr">
        <is>
          <t>pau</t>
        </is>
      </c>
      <c r="T360" t="inlineStr">
        <is>
          <t xml:space="preserve">QV </t>
        </is>
      </c>
      <c r="U360" t="n">
        <v>14</v>
      </c>
      <c r="V360" t="n">
        <v>14</v>
      </c>
      <c r="W360" t="inlineStr">
        <is>
          <t>1996-11-19</t>
        </is>
      </c>
      <c r="X360" t="inlineStr">
        <is>
          <t>1996-11-19</t>
        </is>
      </c>
      <c r="Y360" t="inlineStr">
        <is>
          <t>1994-03-22</t>
        </is>
      </c>
      <c r="Z360" t="inlineStr">
        <is>
          <t>1994-03-22</t>
        </is>
      </c>
      <c r="AA360" t="n">
        <v>97</v>
      </c>
      <c r="AB360" t="n">
        <v>67</v>
      </c>
      <c r="AC360" t="n">
        <v>111</v>
      </c>
      <c r="AD360" t="n">
        <v>1</v>
      </c>
      <c r="AE360" t="n">
        <v>1</v>
      </c>
      <c r="AF360" t="n">
        <v>1</v>
      </c>
      <c r="AG360" t="n">
        <v>1</v>
      </c>
      <c r="AH360" t="n">
        <v>0</v>
      </c>
      <c r="AI360" t="n">
        <v>0</v>
      </c>
      <c r="AJ360" t="n">
        <v>1</v>
      </c>
      <c r="AK360" t="n">
        <v>1</v>
      </c>
      <c r="AL360" t="n">
        <v>0</v>
      </c>
      <c r="AM360" t="n">
        <v>0</v>
      </c>
      <c r="AN360" t="n">
        <v>0</v>
      </c>
      <c r="AO360" t="n">
        <v>0</v>
      </c>
      <c r="AP360" t="n">
        <v>0</v>
      </c>
      <c r="AQ360" t="n">
        <v>0</v>
      </c>
      <c r="AR360" t="inlineStr">
        <is>
          <t>No</t>
        </is>
      </c>
      <c r="AS360" t="inlineStr">
        <is>
          <t>Yes</t>
        </is>
      </c>
      <c r="AT360">
        <f>HYPERLINK("http://catalog.hathitrust.org/Record/002599195","HathiTrust Record")</f>
        <v/>
      </c>
      <c r="AU360">
        <f>HYPERLINK("https://creighton-primo.hosted.exlibrisgroup.com/primo-explore/search?tab=default_tab&amp;search_scope=EVERYTHING&amp;vid=01CRU&amp;lang=en_US&amp;offset=0&amp;query=any,contains,991000668459702656","Catalog Record")</f>
        <v/>
      </c>
      <c r="AV360">
        <f>HYPERLINK("http://www.worldcat.org/oclc/28510750","WorldCat Record")</f>
        <v/>
      </c>
      <c r="AW360" t="inlineStr">
        <is>
          <t>55722923:eng</t>
        </is>
      </c>
      <c r="AX360" t="inlineStr">
        <is>
          <t>28510750</t>
        </is>
      </c>
      <c r="AY360" t="inlineStr">
        <is>
          <t>991000668459702656</t>
        </is>
      </c>
      <c r="AZ360" t="inlineStr">
        <is>
          <t>991000668459702656</t>
        </is>
      </c>
      <c r="BA360" t="inlineStr">
        <is>
          <t>2256563240002656</t>
        </is>
      </c>
      <c r="BB360" t="inlineStr">
        <is>
          <t>BOOK</t>
        </is>
      </c>
      <c r="BD360" t="inlineStr">
        <is>
          <t>9781560530213</t>
        </is>
      </c>
      <c r="BE360" t="inlineStr">
        <is>
          <t>30001002695502</t>
        </is>
      </c>
      <c r="BF360" t="inlineStr">
        <is>
          <t>893160784</t>
        </is>
      </c>
    </row>
    <row r="361">
      <c r="B361" t="inlineStr">
        <is>
          <t>CUHSL</t>
        </is>
      </c>
      <c r="C361" t="inlineStr">
        <is>
          <t>SHELVES</t>
        </is>
      </c>
      <c r="D361" t="inlineStr">
        <is>
          <t>QV 150 C2637 1985</t>
        </is>
      </c>
      <c r="E361" t="inlineStr">
        <is>
          <t>0                      QV 0150000C  2637        1985</t>
        </is>
      </c>
      <c r="F361" t="inlineStr">
        <is>
          <t>Cardiac glycosides, 1785-1985 : biochemistry, pharmacology, clinical relevance / E. Erdmann, K. Greef, J.C. Skou, eds. ; with contributions by C. Achenbach ... [et al.]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N361" t="inlineStr">
        <is>
          <t>Darmstadt, Germ. : Steinkoppf ; New York : Springer, 1986.</t>
        </is>
      </c>
      <c r="O361" t="inlineStr">
        <is>
          <t>1986</t>
        </is>
      </c>
      <c r="Q361" t="inlineStr">
        <is>
          <t>eng</t>
        </is>
      </c>
      <c r="R361" t="inlineStr">
        <is>
          <t xml:space="preserve">gw </t>
        </is>
      </c>
      <c r="S361" t="inlineStr">
        <is>
          <t>Boehringer Mannheim International Symposium ; 1985</t>
        </is>
      </c>
      <c r="T361" t="inlineStr">
        <is>
          <t xml:space="preserve">QV </t>
        </is>
      </c>
      <c r="U361" t="n">
        <v>2</v>
      </c>
      <c r="V361" t="n">
        <v>2</v>
      </c>
      <c r="W361" t="inlineStr">
        <is>
          <t>1999-04-12</t>
        </is>
      </c>
      <c r="X361" t="inlineStr">
        <is>
          <t>1999-04-12</t>
        </is>
      </c>
      <c r="Y361" t="inlineStr">
        <is>
          <t>1988-02-08</t>
        </is>
      </c>
      <c r="Z361" t="inlineStr">
        <is>
          <t>1988-02-08</t>
        </is>
      </c>
      <c r="AA361" t="n">
        <v>86</v>
      </c>
      <c r="AB361" t="n">
        <v>59</v>
      </c>
      <c r="AC361" t="n">
        <v>80</v>
      </c>
      <c r="AD361" t="n">
        <v>1</v>
      </c>
      <c r="AE361" t="n">
        <v>1</v>
      </c>
      <c r="AF361" t="n">
        <v>2</v>
      </c>
      <c r="AG361" t="n">
        <v>2</v>
      </c>
      <c r="AH361" t="n">
        <v>0</v>
      </c>
      <c r="AI361" t="n">
        <v>0</v>
      </c>
      <c r="AJ361" t="n">
        <v>1</v>
      </c>
      <c r="AK361" t="n">
        <v>1</v>
      </c>
      <c r="AL361" t="n">
        <v>1</v>
      </c>
      <c r="AM361" t="n">
        <v>1</v>
      </c>
      <c r="AN361" t="n">
        <v>0</v>
      </c>
      <c r="AO361" t="n">
        <v>0</v>
      </c>
      <c r="AP361" t="n">
        <v>0</v>
      </c>
      <c r="AQ361" t="n">
        <v>0</v>
      </c>
      <c r="AR361" t="inlineStr">
        <is>
          <t>No</t>
        </is>
      </c>
      <c r="AS361" t="inlineStr">
        <is>
          <t>Yes</t>
        </is>
      </c>
      <c r="AT361">
        <f>HYPERLINK("http://catalog.hathitrust.org/Record/000834915","HathiTrust Record")</f>
        <v/>
      </c>
      <c r="AU361">
        <f>HYPERLINK("https://creighton-primo.hosted.exlibrisgroup.com/primo-explore/search?tab=default_tab&amp;search_scope=EVERYTHING&amp;vid=01CRU&amp;lang=en_US&amp;offset=0&amp;query=any,contains,991000959619702656","Catalog Record")</f>
        <v/>
      </c>
      <c r="AV361">
        <f>HYPERLINK("http://www.worldcat.org/oclc/18780765","WorldCat Record")</f>
        <v/>
      </c>
      <c r="AW361" t="inlineStr">
        <is>
          <t>18883691:eng</t>
        </is>
      </c>
      <c r="AX361" t="inlineStr">
        <is>
          <t>18780765</t>
        </is>
      </c>
      <c r="AY361" t="inlineStr">
        <is>
          <t>991000959619702656</t>
        </is>
      </c>
      <c r="AZ361" t="inlineStr">
        <is>
          <t>991000959619702656</t>
        </is>
      </c>
      <c r="BA361" t="inlineStr">
        <is>
          <t>2264250230002656</t>
        </is>
      </c>
      <c r="BB361" t="inlineStr">
        <is>
          <t>BOOK</t>
        </is>
      </c>
      <c r="BD361" t="inlineStr">
        <is>
          <t>9780387912752</t>
        </is>
      </c>
      <c r="BE361" t="inlineStr">
        <is>
          <t>30001000196461</t>
        </is>
      </c>
      <c r="BF361" t="inlineStr">
        <is>
          <t>893632569</t>
        </is>
      </c>
    </row>
    <row r="362">
      <c r="B362" t="inlineStr">
        <is>
          <t>CUHSL</t>
        </is>
      </c>
      <c r="C362" t="inlineStr">
        <is>
          <t>SHELVES</t>
        </is>
      </c>
      <c r="D362" t="inlineStr">
        <is>
          <t>QV 150 C2655 1986</t>
        </is>
      </c>
      <c r="E362" t="inlineStr">
        <is>
          <t>0                      QV 0150000C  2655        1986</t>
        </is>
      </c>
      <c r="F362" t="inlineStr">
        <is>
          <t>Cardiotonic drugs : a clinical survey / edited by Carl V. Leier.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0</t>
        </is>
      </c>
      <c r="N362" t="inlineStr">
        <is>
          <t>New York : Dekker, c1986.</t>
        </is>
      </c>
      <c r="O362" t="inlineStr">
        <is>
          <t>1986</t>
        </is>
      </c>
      <c r="Q362" t="inlineStr">
        <is>
          <t>eng</t>
        </is>
      </c>
      <c r="R362" t="inlineStr">
        <is>
          <t>xxu</t>
        </is>
      </c>
      <c r="S362" t="inlineStr">
        <is>
          <t>Basic and clinical cardiology ; v. 7</t>
        </is>
      </c>
      <c r="T362" t="inlineStr">
        <is>
          <t xml:space="preserve">QV </t>
        </is>
      </c>
      <c r="U362" t="n">
        <v>7</v>
      </c>
      <c r="V362" t="n">
        <v>7</v>
      </c>
      <c r="W362" t="inlineStr">
        <is>
          <t>1998-08-11</t>
        </is>
      </c>
      <c r="X362" t="inlineStr">
        <is>
          <t>1998-08-11</t>
        </is>
      </c>
      <c r="Y362" t="inlineStr">
        <is>
          <t>1989-06-15</t>
        </is>
      </c>
      <c r="Z362" t="inlineStr">
        <is>
          <t>1989-06-15</t>
        </is>
      </c>
      <c r="AA362" t="n">
        <v>85</v>
      </c>
      <c r="AB362" t="n">
        <v>68</v>
      </c>
      <c r="AC362" t="n">
        <v>70</v>
      </c>
      <c r="AD362" t="n">
        <v>1</v>
      </c>
      <c r="AE362" t="n">
        <v>1</v>
      </c>
      <c r="AF362" t="n">
        <v>2</v>
      </c>
      <c r="AG362" t="n">
        <v>2</v>
      </c>
      <c r="AH362" t="n">
        <v>1</v>
      </c>
      <c r="AI362" t="n">
        <v>1</v>
      </c>
      <c r="AJ362" t="n">
        <v>0</v>
      </c>
      <c r="AK362" t="n">
        <v>0</v>
      </c>
      <c r="AL362" t="n">
        <v>1</v>
      </c>
      <c r="AM362" t="n">
        <v>1</v>
      </c>
      <c r="AN362" t="n">
        <v>0</v>
      </c>
      <c r="AO362" t="n">
        <v>0</v>
      </c>
      <c r="AP362" t="n">
        <v>0</v>
      </c>
      <c r="AQ362" t="n">
        <v>0</v>
      </c>
      <c r="AR362" t="inlineStr">
        <is>
          <t>No</t>
        </is>
      </c>
      <c r="AS362" t="inlineStr">
        <is>
          <t>Yes</t>
        </is>
      </c>
      <c r="AT362">
        <f>HYPERLINK("http://catalog.hathitrust.org/Record/000397165","HathiTrust Record")</f>
        <v/>
      </c>
      <c r="AU362">
        <f>HYPERLINK("https://creighton-primo.hosted.exlibrisgroup.com/primo-explore/search?tab=default_tab&amp;search_scope=EVERYTHING&amp;vid=01CRU&amp;lang=en_US&amp;offset=0&amp;query=any,contains,991001250249702656","Catalog Record")</f>
        <v/>
      </c>
      <c r="AV362">
        <f>HYPERLINK("http://www.worldcat.org/oclc/13525370","WorldCat Record")</f>
        <v/>
      </c>
      <c r="AW362" t="inlineStr">
        <is>
          <t>7347917:eng</t>
        </is>
      </c>
      <c r="AX362" t="inlineStr">
        <is>
          <t>13525370</t>
        </is>
      </c>
      <c r="AY362" t="inlineStr">
        <is>
          <t>991001250249702656</t>
        </is>
      </c>
      <c r="AZ362" t="inlineStr">
        <is>
          <t>991001250249702656</t>
        </is>
      </c>
      <c r="BA362" t="inlineStr">
        <is>
          <t>2264285590002656</t>
        </is>
      </c>
      <c r="BB362" t="inlineStr">
        <is>
          <t>BOOK</t>
        </is>
      </c>
      <c r="BD362" t="inlineStr">
        <is>
          <t>9780824776114</t>
        </is>
      </c>
      <c r="BE362" t="inlineStr">
        <is>
          <t>30001001678723</t>
        </is>
      </c>
      <c r="BF362" t="inlineStr">
        <is>
          <t>893821070</t>
        </is>
      </c>
    </row>
    <row r="363">
      <c r="B363" t="inlineStr">
        <is>
          <t>CUHSL</t>
        </is>
      </c>
      <c r="C363" t="inlineStr">
        <is>
          <t>SHELVES</t>
        </is>
      </c>
      <c r="D363" t="inlineStr">
        <is>
          <t>QV 150 C267 1987</t>
        </is>
      </c>
      <c r="E363" t="inlineStr">
        <is>
          <t>0                      QV 0150000C  267         1987</t>
        </is>
      </c>
      <c r="F363" t="inlineStr">
        <is>
          <t>Cardiovascular drug therapy / edited by Stephen N. Hunyor.</t>
        </is>
      </c>
      <c r="H363" t="inlineStr">
        <is>
          <t>No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N363" t="inlineStr">
        <is>
          <t>Sydney ; Baltimore, Md. : Williams &amp; Wilkins and Associates PTY Ltd. c1987.</t>
        </is>
      </c>
      <c r="O363" t="inlineStr">
        <is>
          <t>1987</t>
        </is>
      </c>
      <c r="Q363" t="inlineStr">
        <is>
          <t>eng</t>
        </is>
      </c>
      <c r="R363" t="inlineStr">
        <is>
          <t xml:space="preserve">at </t>
        </is>
      </c>
      <c r="T363" t="inlineStr">
        <is>
          <t xml:space="preserve">QV </t>
        </is>
      </c>
      <c r="U363" t="n">
        <v>9</v>
      </c>
      <c r="V363" t="n">
        <v>9</v>
      </c>
      <c r="W363" t="inlineStr">
        <is>
          <t>1998-10-20</t>
        </is>
      </c>
      <c r="X363" t="inlineStr">
        <is>
          <t>1998-10-20</t>
        </is>
      </c>
      <c r="Y363" t="inlineStr">
        <is>
          <t>1988-02-20</t>
        </is>
      </c>
      <c r="Z363" t="inlineStr">
        <is>
          <t>1988-02-20</t>
        </is>
      </c>
      <c r="AA363" t="n">
        <v>82</v>
      </c>
      <c r="AB363" t="n">
        <v>53</v>
      </c>
      <c r="AC363" t="n">
        <v>55</v>
      </c>
      <c r="AD363" t="n">
        <v>1</v>
      </c>
      <c r="AE363" t="n">
        <v>1</v>
      </c>
      <c r="AF363" t="n">
        <v>2</v>
      </c>
      <c r="AG363" t="n">
        <v>2</v>
      </c>
      <c r="AH363" t="n">
        <v>1</v>
      </c>
      <c r="AI363" t="n">
        <v>1</v>
      </c>
      <c r="AJ363" t="n">
        <v>1</v>
      </c>
      <c r="AK363" t="n">
        <v>1</v>
      </c>
      <c r="AL363" t="n">
        <v>1</v>
      </c>
      <c r="AM363" t="n">
        <v>1</v>
      </c>
      <c r="AN363" t="n">
        <v>0</v>
      </c>
      <c r="AO363" t="n">
        <v>0</v>
      </c>
      <c r="AP363" t="n">
        <v>0</v>
      </c>
      <c r="AQ363" t="n">
        <v>0</v>
      </c>
      <c r="AR363" t="inlineStr">
        <is>
          <t>No</t>
        </is>
      </c>
      <c r="AS363" t="inlineStr">
        <is>
          <t>Yes</t>
        </is>
      </c>
      <c r="AT363">
        <f>HYPERLINK("http://catalog.hathitrust.org/Record/000857902","HathiTrust Record")</f>
        <v/>
      </c>
      <c r="AU363">
        <f>HYPERLINK("https://creighton-primo.hosted.exlibrisgroup.com/primo-explore/search?tab=default_tab&amp;search_scope=EVERYTHING&amp;vid=01CRU&amp;lang=en_US&amp;offset=0&amp;query=any,contains,991001171289702656","Catalog Record")</f>
        <v/>
      </c>
      <c r="AV363">
        <f>HYPERLINK("http://www.worldcat.org/oclc/18780778","WorldCat Record")</f>
        <v/>
      </c>
      <c r="AW363" t="inlineStr">
        <is>
          <t>55153358:eng</t>
        </is>
      </c>
      <c r="AX363" t="inlineStr">
        <is>
          <t>18780778</t>
        </is>
      </c>
      <c r="AY363" t="inlineStr">
        <is>
          <t>991001171289702656</t>
        </is>
      </c>
      <c r="AZ363" t="inlineStr">
        <is>
          <t>991001171289702656</t>
        </is>
      </c>
      <c r="BA363" t="inlineStr">
        <is>
          <t>2256441700002656</t>
        </is>
      </c>
      <c r="BB363" t="inlineStr">
        <is>
          <t>BOOK</t>
        </is>
      </c>
      <c r="BD363" t="inlineStr">
        <is>
          <t>9780864330055</t>
        </is>
      </c>
      <c r="BE363" t="inlineStr">
        <is>
          <t>30001000975161</t>
        </is>
      </c>
      <c r="BF363" t="inlineStr">
        <is>
          <t>893363843</t>
        </is>
      </c>
    </row>
    <row r="364">
      <c r="B364" t="inlineStr">
        <is>
          <t>CUHSL</t>
        </is>
      </c>
      <c r="C364" t="inlineStr">
        <is>
          <t>SHELVES</t>
        </is>
      </c>
      <c r="D364" t="inlineStr">
        <is>
          <t>QV 150 C275 1990</t>
        </is>
      </c>
      <c r="E364" t="inlineStr">
        <is>
          <t>0                      QV 0150000C  275         1990</t>
        </is>
      </c>
      <c r="F364" t="inlineStr">
        <is>
          <t>Cardiovascular pharmacology / editor, Michael J. Antonaccio.</t>
        </is>
      </c>
      <c r="H364" t="inlineStr">
        <is>
          <t>No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N364" t="inlineStr">
        <is>
          <t>New York : Raven Press, c1990.</t>
        </is>
      </c>
      <c r="O364" t="inlineStr">
        <is>
          <t>1990</t>
        </is>
      </c>
      <c r="P364" t="inlineStr">
        <is>
          <t>3rd ed.</t>
        </is>
      </c>
      <c r="Q364" t="inlineStr">
        <is>
          <t>eng</t>
        </is>
      </c>
      <c r="R364" t="inlineStr">
        <is>
          <t>xxu</t>
        </is>
      </c>
      <c r="T364" t="inlineStr">
        <is>
          <t xml:space="preserve">QV </t>
        </is>
      </c>
      <c r="U364" t="n">
        <v>18</v>
      </c>
      <c r="V364" t="n">
        <v>18</v>
      </c>
      <c r="W364" t="inlineStr">
        <is>
          <t>2007-12-04</t>
        </is>
      </c>
      <c r="X364" t="inlineStr">
        <is>
          <t>2007-12-04</t>
        </is>
      </c>
      <c r="Y364" t="inlineStr">
        <is>
          <t>1991-02-19</t>
        </is>
      </c>
      <c r="Z364" t="inlineStr">
        <is>
          <t>1991-02-19</t>
        </is>
      </c>
      <c r="AA364" t="n">
        <v>162</v>
      </c>
      <c r="AB364" t="n">
        <v>108</v>
      </c>
      <c r="AC364" t="n">
        <v>234</v>
      </c>
      <c r="AD364" t="n">
        <v>1</v>
      </c>
      <c r="AE364" t="n">
        <v>2</v>
      </c>
      <c r="AF364" t="n">
        <v>2</v>
      </c>
      <c r="AG364" t="n">
        <v>8</v>
      </c>
      <c r="AH364" t="n">
        <v>2</v>
      </c>
      <c r="AI364" t="n">
        <v>4</v>
      </c>
      <c r="AJ364" t="n">
        <v>0</v>
      </c>
      <c r="AK364" t="n">
        <v>3</v>
      </c>
      <c r="AL364" t="n">
        <v>0</v>
      </c>
      <c r="AM364" t="n">
        <v>1</v>
      </c>
      <c r="AN364" t="n">
        <v>0</v>
      </c>
      <c r="AO364" t="n">
        <v>1</v>
      </c>
      <c r="AP364" t="n">
        <v>0</v>
      </c>
      <c r="AQ364" t="n">
        <v>0</v>
      </c>
      <c r="AR364" t="inlineStr">
        <is>
          <t>No</t>
        </is>
      </c>
      <c r="AS364" t="inlineStr">
        <is>
          <t>Yes</t>
        </is>
      </c>
      <c r="AT364">
        <f>HYPERLINK("http://catalog.hathitrust.org/Record/002208724","HathiTrust Record")</f>
        <v/>
      </c>
      <c r="AU364">
        <f>HYPERLINK("https://creighton-primo.hosted.exlibrisgroup.com/primo-explore/search?tab=default_tab&amp;search_scope=EVERYTHING&amp;vid=01CRU&amp;lang=en_US&amp;offset=0&amp;query=any,contains,991000821819702656","Catalog Record")</f>
        <v/>
      </c>
      <c r="AV364">
        <f>HYPERLINK("http://www.worldcat.org/oclc/21517357","WorldCat Record")</f>
        <v/>
      </c>
      <c r="AW364" t="inlineStr">
        <is>
          <t>54157747:eng</t>
        </is>
      </c>
      <c r="AX364" t="inlineStr">
        <is>
          <t>21517357</t>
        </is>
      </c>
      <c r="AY364" t="inlineStr">
        <is>
          <t>991000821819702656</t>
        </is>
      </c>
      <c r="AZ364" t="inlineStr">
        <is>
          <t>991000821819702656</t>
        </is>
      </c>
      <c r="BA364" t="inlineStr">
        <is>
          <t>2261075030002656</t>
        </is>
      </c>
      <c r="BB364" t="inlineStr">
        <is>
          <t>BOOK</t>
        </is>
      </c>
      <c r="BD364" t="inlineStr">
        <is>
          <t>9780881676440</t>
        </is>
      </c>
      <c r="BE364" t="inlineStr">
        <is>
          <t>30001002087635</t>
        </is>
      </c>
      <c r="BF364" t="inlineStr">
        <is>
          <t>893743504</t>
        </is>
      </c>
    </row>
    <row r="365">
      <c r="B365" t="inlineStr">
        <is>
          <t>CUHSL</t>
        </is>
      </c>
      <c r="C365" t="inlineStr">
        <is>
          <t>SHELVES</t>
        </is>
      </c>
      <c r="D365" t="inlineStr">
        <is>
          <t>QV 150 C955b 1994</t>
        </is>
      </c>
      <c r="E365" t="inlineStr">
        <is>
          <t>0                      QV 0150000C  955b        1994</t>
        </is>
      </c>
      <c r="F365" t="inlineStr">
        <is>
          <t>Beta-blockers in clinical practice / J.M. Cruickshank, B.N.C. Prichard.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M365" t="inlineStr">
        <is>
          <t>Cruickshank, J. M.</t>
        </is>
      </c>
      <c r="N365" t="inlineStr">
        <is>
          <t>Edinburgh : Churchill Livingstone, c1994.</t>
        </is>
      </c>
      <c r="O365" t="inlineStr">
        <is>
          <t>1994</t>
        </is>
      </c>
      <c r="P365" t="inlineStr">
        <is>
          <t>2nd ed.</t>
        </is>
      </c>
      <c r="Q365" t="inlineStr">
        <is>
          <t>eng</t>
        </is>
      </c>
      <c r="R365" t="inlineStr">
        <is>
          <t>stk</t>
        </is>
      </c>
      <c r="T365" t="inlineStr">
        <is>
          <t xml:space="preserve">QV </t>
        </is>
      </c>
      <c r="U365" t="n">
        <v>13</v>
      </c>
      <c r="V365" t="n">
        <v>13</v>
      </c>
      <c r="W365" t="inlineStr">
        <is>
          <t>2007-12-04</t>
        </is>
      </c>
      <c r="X365" t="inlineStr">
        <is>
          <t>2007-12-04</t>
        </is>
      </c>
      <c r="Y365" t="inlineStr">
        <is>
          <t>1995-02-17</t>
        </is>
      </c>
      <c r="Z365" t="inlineStr">
        <is>
          <t>1995-02-17</t>
        </is>
      </c>
      <c r="AA365" t="n">
        <v>54</v>
      </c>
      <c r="AB365" t="n">
        <v>33</v>
      </c>
      <c r="AC365" t="n">
        <v>69</v>
      </c>
      <c r="AD365" t="n">
        <v>1</v>
      </c>
      <c r="AE365" t="n">
        <v>1</v>
      </c>
      <c r="AF365" t="n">
        <v>0</v>
      </c>
      <c r="AG365" t="n">
        <v>1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1</v>
      </c>
      <c r="AN365" t="n">
        <v>0</v>
      </c>
      <c r="AO365" t="n">
        <v>0</v>
      </c>
      <c r="AP365" t="n">
        <v>0</v>
      </c>
      <c r="AQ365" t="n">
        <v>0</v>
      </c>
      <c r="AR365" t="inlineStr">
        <is>
          <t>No</t>
        </is>
      </c>
      <c r="AS365" t="inlineStr">
        <is>
          <t>Yes</t>
        </is>
      </c>
      <c r="AT365">
        <f>HYPERLINK("http://catalog.hathitrust.org/Record/002902453","HathiTrust Record")</f>
        <v/>
      </c>
      <c r="AU365">
        <f>HYPERLINK("https://creighton-primo.hosted.exlibrisgroup.com/primo-explore/search?tab=default_tab&amp;search_scope=EVERYTHING&amp;vid=01CRU&amp;lang=en_US&amp;offset=0&amp;query=any,contains,991001396469702656","Catalog Record")</f>
        <v/>
      </c>
      <c r="AV365">
        <f>HYPERLINK("http://www.worldcat.org/oclc/30915924","WorldCat Record")</f>
        <v/>
      </c>
      <c r="AW365" t="inlineStr">
        <is>
          <t>12486799:eng</t>
        </is>
      </c>
      <c r="AX365" t="inlineStr">
        <is>
          <t>30915924</t>
        </is>
      </c>
      <c r="AY365" t="inlineStr">
        <is>
          <t>991001396469702656</t>
        </is>
      </c>
      <c r="AZ365" t="inlineStr">
        <is>
          <t>991001396469702656</t>
        </is>
      </c>
      <c r="BA365" t="inlineStr">
        <is>
          <t>2271201900002656</t>
        </is>
      </c>
      <c r="BB365" t="inlineStr">
        <is>
          <t>BOOK</t>
        </is>
      </c>
      <c r="BD365" t="inlineStr">
        <is>
          <t>9780443045226</t>
        </is>
      </c>
      <c r="BE365" t="inlineStr">
        <is>
          <t>30001003146166</t>
        </is>
      </c>
      <c r="BF365" t="inlineStr">
        <is>
          <t>893552442</t>
        </is>
      </c>
    </row>
    <row r="366">
      <c r="B366" t="inlineStr">
        <is>
          <t>CUHSL</t>
        </is>
      </c>
      <c r="C366" t="inlineStr">
        <is>
          <t>SHELVES</t>
        </is>
      </c>
      <c r="D366" t="inlineStr">
        <is>
          <t>QV 150 C9763 1989</t>
        </is>
      </c>
      <c r="E366" t="inlineStr">
        <is>
          <t>0                      QV 0150000C  9763        1989</t>
        </is>
      </c>
      <c r="F366" t="inlineStr">
        <is>
          <t>Current topics in antiarrhythmic agents : mode of action and clinical usage : international satellite symposium of the 53rd Annual Meeting of the Japanese Circulation Society, Nagoya, Japan, March 27-28, 1989 / editors, Junji Toyama, Luc M. Hondeghem.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0</t>
        </is>
      </c>
      <c r="N366" t="inlineStr">
        <is>
          <t>Amsterdam ; Princeton : Excerpta Medica, c1989.</t>
        </is>
      </c>
      <c r="O366" t="inlineStr">
        <is>
          <t>1989</t>
        </is>
      </c>
      <c r="Q366" t="inlineStr">
        <is>
          <t>eng</t>
        </is>
      </c>
      <c r="R366" t="inlineStr">
        <is>
          <t xml:space="preserve">ne </t>
        </is>
      </c>
      <c r="S366" t="inlineStr">
        <is>
          <t>Current clinical practice series ; no. 56</t>
        </is>
      </c>
      <c r="T366" t="inlineStr">
        <is>
          <t xml:space="preserve">QV </t>
        </is>
      </c>
      <c r="U366" t="n">
        <v>6</v>
      </c>
      <c r="V366" t="n">
        <v>6</v>
      </c>
      <c r="W366" t="inlineStr">
        <is>
          <t>1992-09-22</t>
        </is>
      </c>
      <c r="X366" t="inlineStr">
        <is>
          <t>1992-09-22</t>
        </is>
      </c>
      <c r="Y366" t="inlineStr">
        <is>
          <t>1991-02-25</t>
        </is>
      </c>
      <c r="Z366" t="inlineStr">
        <is>
          <t>1991-02-25</t>
        </is>
      </c>
      <c r="AA366" t="n">
        <v>17</v>
      </c>
      <c r="AB366" t="n">
        <v>10</v>
      </c>
      <c r="AC366" t="n">
        <v>24</v>
      </c>
      <c r="AD366" t="n">
        <v>1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inlineStr">
        <is>
          <t>No</t>
        </is>
      </c>
      <c r="AS366" t="inlineStr">
        <is>
          <t>No</t>
        </is>
      </c>
      <c r="AU366">
        <f>HYPERLINK("https://creighton-primo.hosted.exlibrisgroup.com/primo-explore/search?tab=default_tab&amp;search_scope=EVERYTHING&amp;vid=01CRU&amp;lang=en_US&amp;offset=0&amp;query=any,contains,991000823169702656","Catalog Record")</f>
        <v/>
      </c>
      <c r="AV366">
        <f>HYPERLINK("http://www.worldcat.org/oclc/24378730","WorldCat Record")</f>
        <v/>
      </c>
      <c r="AW366" t="inlineStr">
        <is>
          <t>67830342:eng</t>
        </is>
      </c>
      <c r="AX366" t="inlineStr">
        <is>
          <t>24378730</t>
        </is>
      </c>
      <c r="AY366" t="inlineStr">
        <is>
          <t>991000823169702656</t>
        </is>
      </c>
      <c r="AZ366" t="inlineStr">
        <is>
          <t>991000823169702656</t>
        </is>
      </c>
      <c r="BA366" t="inlineStr">
        <is>
          <t>2260964520002656</t>
        </is>
      </c>
      <c r="BB366" t="inlineStr">
        <is>
          <t>BOOK</t>
        </is>
      </c>
      <c r="BD366" t="inlineStr">
        <is>
          <t>9789021917658</t>
        </is>
      </c>
      <c r="BE366" t="inlineStr">
        <is>
          <t>30001002087908</t>
        </is>
      </c>
      <c r="BF366" t="inlineStr">
        <is>
          <t>893459890</t>
        </is>
      </c>
    </row>
    <row r="367">
      <c r="B367" t="inlineStr">
        <is>
          <t>CUHSL</t>
        </is>
      </c>
      <c r="C367" t="inlineStr">
        <is>
          <t>SHELVES</t>
        </is>
      </c>
      <c r="D367" t="inlineStr">
        <is>
          <t>QV 150 D7938 1991</t>
        </is>
      </c>
      <c r="E367" t="inlineStr">
        <is>
          <t>0                      QV 0150000D  7938        1991</t>
        </is>
      </c>
      <c r="F367" t="inlineStr">
        <is>
          <t>Drugs for the heart / edited by Lionel H. Opie with the collaboration of Kanu Chatterjee ... [et al.] ; foreword by Eugene Braunwald.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Yes</t>
        </is>
      </c>
      <c r="L367" t="inlineStr">
        <is>
          <t>1</t>
        </is>
      </c>
      <c r="N367" t="inlineStr">
        <is>
          <t>Philadelphia : W.B. Saunders Co., c1991.</t>
        </is>
      </c>
      <c r="O367" t="inlineStr">
        <is>
          <t>1991</t>
        </is>
      </c>
      <c r="P367" t="inlineStr">
        <is>
          <t>3rd ed.</t>
        </is>
      </c>
      <c r="Q367" t="inlineStr">
        <is>
          <t>eng</t>
        </is>
      </c>
      <c r="R367" t="inlineStr">
        <is>
          <t>pau</t>
        </is>
      </c>
      <c r="T367" t="inlineStr">
        <is>
          <t xml:space="preserve">QV </t>
        </is>
      </c>
      <c r="U367" t="n">
        <v>18</v>
      </c>
      <c r="V367" t="n">
        <v>18</v>
      </c>
      <c r="W367" t="inlineStr">
        <is>
          <t>2002-07-29</t>
        </is>
      </c>
      <c r="X367" t="inlineStr">
        <is>
          <t>2002-07-29</t>
        </is>
      </c>
      <c r="Y367" t="inlineStr">
        <is>
          <t>1991-02-19</t>
        </is>
      </c>
      <c r="Z367" t="inlineStr">
        <is>
          <t>1991-02-19</t>
        </is>
      </c>
      <c r="AA367" t="n">
        <v>153</v>
      </c>
      <c r="AB367" t="n">
        <v>88</v>
      </c>
      <c r="AC367" t="n">
        <v>508</v>
      </c>
      <c r="AD367" t="n">
        <v>1</v>
      </c>
      <c r="AE367" t="n">
        <v>1</v>
      </c>
      <c r="AF367" t="n">
        <v>0</v>
      </c>
      <c r="AG367" t="n">
        <v>13</v>
      </c>
      <c r="AH367" t="n">
        <v>0</v>
      </c>
      <c r="AI367" t="n">
        <v>5</v>
      </c>
      <c r="AJ367" t="n">
        <v>0</v>
      </c>
      <c r="AK367" t="n">
        <v>5</v>
      </c>
      <c r="AL367" t="n">
        <v>0</v>
      </c>
      <c r="AM367" t="n">
        <v>6</v>
      </c>
      <c r="AN367" t="n">
        <v>0</v>
      </c>
      <c r="AO367" t="n">
        <v>0</v>
      </c>
      <c r="AP367" t="n">
        <v>0</v>
      </c>
      <c r="AQ367" t="n">
        <v>0</v>
      </c>
      <c r="AR367" t="inlineStr">
        <is>
          <t>No</t>
        </is>
      </c>
      <c r="AS367" t="inlineStr">
        <is>
          <t>Yes</t>
        </is>
      </c>
      <c r="AT367">
        <f>HYPERLINK("http://catalog.hathitrust.org/Record/002500874","HathiTrust Record")</f>
        <v/>
      </c>
      <c r="AU367">
        <f>HYPERLINK("https://creighton-primo.hosted.exlibrisgroup.com/primo-explore/search?tab=default_tab&amp;search_scope=EVERYTHING&amp;vid=01CRU&amp;lang=en_US&amp;offset=0&amp;query=any,contains,991000821199702656","Catalog Record")</f>
        <v/>
      </c>
      <c r="AV367">
        <f>HYPERLINK("http://www.worldcat.org/oclc/22307253","WorldCat Record")</f>
        <v/>
      </c>
      <c r="AW367" t="inlineStr">
        <is>
          <t>1078002363:eng</t>
        </is>
      </c>
      <c r="AX367" t="inlineStr">
        <is>
          <t>22307253</t>
        </is>
      </c>
      <c r="AY367" t="inlineStr">
        <is>
          <t>991000821199702656</t>
        </is>
      </c>
      <c r="AZ367" t="inlineStr">
        <is>
          <t>991000821199702656</t>
        </is>
      </c>
      <c r="BA367" t="inlineStr">
        <is>
          <t>2260105430002656</t>
        </is>
      </c>
      <c r="BB367" t="inlineStr">
        <is>
          <t>BOOK</t>
        </is>
      </c>
      <c r="BD367" t="inlineStr">
        <is>
          <t>9780721632780</t>
        </is>
      </c>
      <c r="BE367" t="inlineStr">
        <is>
          <t>30001002087585</t>
        </is>
      </c>
      <c r="BF367" t="inlineStr">
        <is>
          <t>893267540</t>
        </is>
      </c>
    </row>
    <row r="368">
      <c r="B368" t="inlineStr">
        <is>
          <t>CUHSL</t>
        </is>
      </c>
      <c r="C368" t="inlineStr">
        <is>
          <t>SHELVES</t>
        </is>
      </c>
      <c r="D368" t="inlineStr">
        <is>
          <t>QV150 O61d 2001</t>
        </is>
      </c>
      <c r="E368" t="inlineStr">
        <is>
          <t>0                      QV 0150000O  61d         2001</t>
        </is>
      </c>
      <c r="F368" t="inlineStr">
        <is>
          <t>Drugs for the heart / Lionel H. Opie, co-editor Bernard J. Gersh ; with the collaboration of A. John Camm ... [et. al ] ; foreword by Eugene Braunwald.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Yes</t>
        </is>
      </c>
      <c r="L368" t="inlineStr">
        <is>
          <t>1</t>
        </is>
      </c>
      <c r="N368" t="inlineStr">
        <is>
          <t>Philadelphia : Saunders, c2001.</t>
        </is>
      </c>
      <c r="O368" t="inlineStr">
        <is>
          <t>2001</t>
        </is>
      </c>
      <c r="P368" t="inlineStr">
        <is>
          <t>5th ed.</t>
        </is>
      </c>
      <c r="Q368" t="inlineStr">
        <is>
          <t>eng</t>
        </is>
      </c>
      <c r="R368" t="inlineStr">
        <is>
          <t>pau</t>
        </is>
      </c>
      <c r="T368" t="inlineStr">
        <is>
          <t xml:space="preserve">QV </t>
        </is>
      </c>
      <c r="U368" t="n">
        <v>3</v>
      </c>
      <c r="V368" t="n">
        <v>3</v>
      </c>
      <c r="W368" t="inlineStr">
        <is>
          <t>2003-09-22</t>
        </is>
      </c>
      <c r="X368" t="inlineStr">
        <is>
          <t>2003-09-22</t>
        </is>
      </c>
      <c r="Y368" t="inlineStr">
        <is>
          <t>2002-12-19</t>
        </is>
      </c>
      <c r="Z368" t="inlineStr">
        <is>
          <t>2002-12-19</t>
        </is>
      </c>
      <c r="AA368" t="n">
        <v>133</v>
      </c>
      <c r="AB368" t="n">
        <v>81</v>
      </c>
      <c r="AC368" t="n">
        <v>508</v>
      </c>
      <c r="AD368" t="n">
        <v>1</v>
      </c>
      <c r="AE368" t="n">
        <v>1</v>
      </c>
      <c r="AF368" t="n">
        <v>1</v>
      </c>
      <c r="AG368" t="n">
        <v>13</v>
      </c>
      <c r="AH368" t="n">
        <v>1</v>
      </c>
      <c r="AI368" t="n">
        <v>5</v>
      </c>
      <c r="AJ368" t="n">
        <v>0</v>
      </c>
      <c r="AK368" t="n">
        <v>5</v>
      </c>
      <c r="AL368" t="n">
        <v>0</v>
      </c>
      <c r="AM368" t="n">
        <v>6</v>
      </c>
      <c r="AN368" t="n">
        <v>0</v>
      </c>
      <c r="AO368" t="n">
        <v>0</v>
      </c>
      <c r="AP368" t="n">
        <v>0</v>
      </c>
      <c r="AQ368" t="n">
        <v>0</v>
      </c>
      <c r="AR368" t="inlineStr">
        <is>
          <t>No</t>
        </is>
      </c>
      <c r="AS368" t="inlineStr">
        <is>
          <t>Yes</t>
        </is>
      </c>
      <c r="AT368">
        <f>HYPERLINK("http://catalog.hathitrust.org/Record/003567630","HathiTrust Record")</f>
        <v/>
      </c>
      <c r="AU368">
        <f>HYPERLINK("https://creighton-primo.hosted.exlibrisgroup.com/primo-explore/search?tab=default_tab&amp;search_scope=EVERYTHING&amp;vid=01CRU&amp;lang=en_US&amp;offset=0&amp;query=any,contains,991000333809702656","Catalog Record")</f>
        <v/>
      </c>
      <c r="AV368">
        <f>HYPERLINK("http://www.worldcat.org/oclc/44626891","WorldCat Record")</f>
        <v/>
      </c>
      <c r="AW368" t="inlineStr">
        <is>
          <t>1078002363:eng</t>
        </is>
      </c>
      <c r="AX368" t="inlineStr">
        <is>
          <t>44626891</t>
        </is>
      </c>
      <c r="AY368" t="inlineStr">
        <is>
          <t>991000333809702656</t>
        </is>
      </c>
      <c r="AZ368" t="inlineStr">
        <is>
          <t>991000333809702656</t>
        </is>
      </c>
      <c r="BA368" t="inlineStr">
        <is>
          <t>2261714480002656</t>
        </is>
      </c>
      <c r="BB368" t="inlineStr">
        <is>
          <t>BOOK</t>
        </is>
      </c>
      <c r="BD368" t="inlineStr">
        <is>
          <t>9780721687575</t>
        </is>
      </c>
      <c r="BE368" t="inlineStr">
        <is>
          <t>30001004500825</t>
        </is>
      </c>
      <c r="BF368" t="inlineStr">
        <is>
          <t>893466191</t>
        </is>
      </c>
    </row>
    <row r="369">
      <c r="B369" t="inlineStr">
        <is>
          <t>CUHSL</t>
        </is>
      </c>
      <c r="C369" t="inlineStr">
        <is>
          <t>SHELVES</t>
        </is>
      </c>
      <c r="D369" t="inlineStr">
        <is>
          <t>QV 150 P5365 1984</t>
        </is>
      </c>
      <c r="E369" t="inlineStr">
        <is>
          <t>0                      QV 0150000P  5365        1984</t>
        </is>
      </c>
      <c r="F369" t="inlineStr">
        <is>
          <t>Pharmacology of antihypertensive drugs / editor, P.A. Van Zwieten.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N369" t="inlineStr">
        <is>
          <t>Amsterdam ; New York : Elsevier, c1984.</t>
        </is>
      </c>
      <c r="O369" t="inlineStr">
        <is>
          <t>1984</t>
        </is>
      </c>
      <c r="Q369" t="inlineStr">
        <is>
          <t>eng</t>
        </is>
      </c>
      <c r="R369" t="inlineStr">
        <is>
          <t xml:space="preserve">ne </t>
        </is>
      </c>
      <c r="S369" t="inlineStr">
        <is>
          <t>Handbook of hypertension ; v. 3</t>
        </is>
      </c>
      <c r="T369" t="inlineStr">
        <is>
          <t xml:space="preserve">QV </t>
        </is>
      </c>
      <c r="U369" t="n">
        <v>9</v>
      </c>
      <c r="V369" t="n">
        <v>9</v>
      </c>
      <c r="W369" t="inlineStr">
        <is>
          <t>2007-12-04</t>
        </is>
      </c>
      <c r="X369" t="inlineStr">
        <is>
          <t>2007-12-04</t>
        </is>
      </c>
      <c r="Y369" t="inlineStr">
        <is>
          <t>1988-02-08</t>
        </is>
      </c>
      <c r="Z369" t="inlineStr">
        <is>
          <t>1988-02-08</t>
        </is>
      </c>
      <c r="AA369" t="n">
        <v>123</v>
      </c>
      <c r="AB369" t="n">
        <v>78</v>
      </c>
      <c r="AC369" t="n">
        <v>108</v>
      </c>
      <c r="AD369" t="n">
        <v>1</v>
      </c>
      <c r="AE369" t="n">
        <v>1</v>
      </c>
      <c r="AF369" t="n">
        <v>1</v>
      </c>
      <c r="AG369" t="n">
        <v>3</v>
      </c>
      <c r="AH369" t="n">
        <v>0</v>
      </c>
      <c r="AI369" t="n">
        <v>1</v>
      </c>
      <c r="AJ369" t="n">
        <v>1</v>
      </c>
      <c r="AK369" t="n">
        <v>2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HYPERLINK("http://catalog.hathitrust.org/Record/000946349","HathiTrust Record")</f>
        <v/>
      </c>
      <c r="AU369">
        <f>HYPERLINK("https://creighton-primo.hosted.exlibrisgroup.com/primo-explore/search?tab=default_tab&amp;search_scope=EVERYTHING&amp;vid=01CRU&amp;lang=en_US&amp;offset=0&amp;query=any,contains,991000959529702656","Catalog Record")</f>
        <v/>
      </c>
      <c r="AV369">
        <f>HYPERLINK("http://www.worldcat.org/oclc/10574784","WorldCat Record")</f>
        <v/>
      </c>
      <c r="AW369" t="inlineStr">
        <is>
          <t>659489023:eng</t>
        </is>
      </c>
      <c r="AX369" t="inlineStr">
        <is>
          <t>10574784</t>
        </is>
      </c>
      <c r="AY369" t="inlineStr">
        <is>
          <t>991000959529702656</t>
        </is>
      </c>
      <c r="AZ369" t="inlineStr">
        <is>
          <t>991000959529702656</t>
        </is>
      </c>
      <c r="BA369" t="inlineStr">
        <is>
          <t>2264032250002656</t>
        </is>
      </c>
      <c r="BB369" t="inlineStr">
        <is>
          <t>BOOK</t>
        </is>
      </c>
      <c r="BD369" t="inlineStr">
        <is>
          <t>9780444903136</t>
        </is>
      </c>
      <c r="BE369" t="inlineStr">
        <is>
          <t>30001000196388</t>
        </is>
      </c>
      <c r="BF369" t="inlineStr">
        <is>
          <t>893358046</t>
        </is>
      </c>
    </row>
    <row r="370">
      <c r="B370" t="inlineStr">
        <is>
          <t>CUHSL</t>
        </is>
      </c>
      <c r="C370" t="inlineStr">
        <is>
          <t>SHELVES</t>
        </is>
      </c>
      <c r="D370" t="inlineStr">
        <is>
          <t>QV 150 P957 1991</t>
        </is>
      </c>
      <c r="E370" t="inlineStr">
        <is>
          <t>0                      QV 0150000P  957         1991</t>
        </is>
      </c>
      <c r="F370" t="inlineStr">
        <is>
          <t>Principles of cardiac toxicology / [edited by] Steven I. Baskin.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No</t>
        </is>
      </c>
      <c r="L370" t="inlineStr">
        <is>
          <t>0</t>
        </is>
      </c>
      <c r="N370" t="inlineStr">
        <is>
          <t>Boca Raton : CRC Press, c1991.</t>
        </is>
      </c>
      <c r="O370" t="inlineStr">
        <is>
          <t>1991</t>
        </is>
      </c>
      <c r="Q370" t="inlineStr">
        <is>
          <t>eng</t>
        </is>
      </c>
      <c r="R370" t="inlineStr">
        <is>
          <t>flu</t>
        </is>
      </c>
      <c r="T370" t="inlineStr">
        <is>
          <t xml:space="preserve">QV </t>
        </is>
      </c>
      <c r="U370" t="n">
        <v>2</v>
      </c>
      <c r="V370" t="n">
        <v>2</v>
      </c>
      <c r="W370" t="inlineStr">
        <is>
          <t>1991-11-22</t>
        </is>
      </c>
      <c r="X370" t="inlineStr">
        <is>
          <t>1991-11-22</t>
        </is>
      </c>
      <c r="Y370" t="inlineStr">
        <is>
          <t>1991-11-22</t>
        </is>
      </c>
      <c r="Z370" t="inlineStr">
        <is>
          <t>1991-11-22</t>
        </is>
      </c>
      <c r="AA370" t="n">
        <v>86</v>
      </c>
      <c r="AB370" t="n">
        <v>68</v>
      </c>
      <c r="AC370" t="n">
        <v>91</v>
      </c>
      <c r="AD370" t="n">
        <v>1</v>
      </c>
      <c r="AE370" t="n">
        <v>1</v>
      </c>
      <c r="AF370" t="n">
        <v>3</v>
      </c>
      <c r="AG370" t="n">
        <v>3</v>
      </c>
      <c r="AH370" t="n">
        <v>0</v>
      </c>
      <c r="AI370" t="n">
        <v>0</v>
      </c>
      <c r="AJ370" t="n">
        <v>1</v>
      </c>
      <c r="AK370" t="n">
        <v>1</v>
      </c>
      <c r="AL370" t="n">
        <v>2</v>
      </c>
      <c r="AM370" t="n">
        <v>2</v>
      </c>
      <c r="AN370" t="n">
        <v>0</v>
      </c>
      <c r="AO370" t="n">
        <v>0</v>
      </c>
      <c r="AP370" t="n">
        <v>0</v>
      </c>
      <c r="AQ370" t="n">
        <v>0</v>
      </c>
      <c r="AR370" t="inlineStr">
        <is>
          <t>No</t>
        </is>
      </c>
      <c r="AS370" t="inlineStr">
        <is>
          <t>No</t>
        </is>
      </c>
      <c r="AU370">
        <f>HYPERLINK("https://creighton-primo.hosted.exlibrisgroup.com/primo-explore/search?tab=default_tab&amp;search_scope=EVERYTHING&amp;vid=01CRU&amp;lang=en_US&amp;offset=0&amp;query=any,contains,991001022569702656","Catalog Record")</f>
        <v/>
      </c>
      <c r="AV370">
        <f>HYPERLINK("http://www.worldcat.org/oclc/23287756","WorldCat Record")</f>
        <v/>
      </c>
      <c r="AW370" t="inlineStr">
        <is>
          <t>25425629:eng</t>
        </is>
      </c>
      <c r="AX370" t="inlineStr">
        <is>
          <t>23287756</t>
        </is>
      </c>
      <c r="AY370" t="inlineStr">
        <is>
          <t>991001022569702656</t>
        </is>
      </c>
      <c r="AZ370" t="inlineStr">
        <is>
          <t>991001022569702656</t>
        </is>
      </c>
      <c r="BA370" t="inlineStr">
        <is>
          <t>2272111430002656</t>
        </is>
      </c>
      <c r="BB370" t="inlineStr">
        <is>
          <t>BOOK</t>
        </is>
      </c>
      <c r="BD370" t="inlineStr">
        <is>
          <t>9780849388095</t>
        </is>
      </c>
      <c r="BE370" t="inlineStr">
        <is>
          <t>30001002242081</t>
        </is>
      </c>
      <c r="BF370" t="inlineStr">
        <is>
          <t>893450790</t>
        </is>
      </c>
    </row>
    <row r="371">
      <c r="B371" t="inlineStr">
        <is>
          <t>CUHSL</t>
        </is>
      </c>
      <c r="C371" t="inlineStr">
        <is>
          <t>SHELVES</t>
        </is>
      </c>
      <c r="D371" t="inlineStr">
        <is>
          <t>QV 150 R19 1957</t>
        </is>
      </c>
      <c r="E371" t="inlineStr">
        <is>
          <t>0                      QV 0150000R  19          1957</t>
        </is>
      </c>
      <c r="F371" t="inlineStr">
        <is>
          <t>Rauwolfia : botany, pharmacognosy, chemistry &amp; pharmacology / Robert E. Woodson .... [et al.] ; with a foreword by Arnold J. Lehman.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N371" t="inlineStr">
        <is>
          <t>Boston : Little, Brown, 1957.</t>
        </is>
      </c>
      <c r="O371" t="inlineStr">
        <is>
          <t>1957</t>
        </is>
      </c>
      <c r="P371" t="inlineStr">
        <is>
          <t>[1st ed.]</t>
        </is>
      </c>
      <c r="Q371" t="inlineStr">
        <is>
          <t>eng</t>
        </is>
      </c>
      <c r="R371" t="inlineStr">
        <is>
          <t>mau</t>
        </is>
      </c>
      <c r="T371" t="inlineStr">
        <is>
          <t xml:space="preserve">QV </t>
        </is>
      </c>
      <c r="U371" t="n">
        <v>1</v>
      </c>
      <c r="V371" t="n">
        <v>1</v>
      </c>
      <c r="W371" t="inlineStr">
        <is>
          <t>1988-09-03</t>
        </is>
      </c>
      <c r="X371" t="inlineStr">
        <is>
          <t>1988-09-03</t>
        </is>
      </c>
      <c r="Y371" t="inlineStr">
        <is>
          <t>1988-03-21</t>
        </is>
      </c>
      <c r="Z371" t="inlineStr">
        <is>
          <t>1988-03-21</t>
        </is>
      </c>
      <c r="AA371" t="n">
        <v>388</v>
      </c>
      <c r="AB371" t="n">
        <v>333</v>
      </c>
      <c r="AC371" t="n">
        <v>340</v>
      </c>
      <c r="AD371" t="n">
        <v>5</v>
      </c>
      <c r="AE371" t="n">
        <v>5</v>
      </c>
      <c r="AF371" t="n">
        <v>20</v>
      </c>
      <c r="AG371" t="n">
        <v>20</v>
      </c>
      <c r="AH371" t="n">
        <v>3</v>
      </c>
      <c r="AI371" t="n">
        <v>3</v>
      </c>
      <c r="AJ371" t="n">
        <v>2</v>
      </c>
      <c r="AK371" t="n">
        <v>2</v>
      </c>
      <c r="AL371" t="n">
        <v>14</v>
      </c>
      <c r="AM371" t="n">
        <v>14</v>
      </c>
      <c r="AN371" t="n">
        <v>4</v>
      </c>
      <c r="AO371" t="n">
        <v>4</v>
      </c>
      <c r="AP371" t="n">
        <v>0</v>
      </c>
      <c r="AQ371" t="n">
        <v>0</v>
      </c>
      <c r="AR371" t="inlineStr">
        <is>
          <t>No</t>
        </is>
      </c>
      <c r="AS371" t="inlineStr">
        <is>
          <t>Yes</t>
        </is>
      </c>
      <c r="AT371">
        <f>HYPERLINK("http://catalog.hathitrust.org/Record/001573870","HathiTrust Record")</f>
        <v/>
      </c>
      <c r="AU371">
        <f>HYPERLINK("https://creighton-primo.hosted.exlibrisgroup.com/primo-explore/search?tab=default_tab&amp;search_scope=EVERYTHING&amp;vid=01CRU&amp;lang=en_US&amp;offset=0&amp;query=any,contains,991000959579702656","Catalog Record")</f>
        <v/>
      </c>
      <c r="AV371">
        <f>HYPERLINK("http://www.worldcat.org/oclc/1200431","WorldCat Record")</f>
        <v/>
      </c>
      <c r="AW371" t="inlineStr">
        <is>
          <t>143355825:eng</t>
        </is>
      </c>
      <c r="AX371" t="inlineStr">
        <is>
          <t>1200431</t>
        </is>
      </c>
      <c r="AY371" t="inlineStr">
        <is>
          <t>991000959579702656</t>
        </is>
      </c>
      <c r="AZ371" t="inlineStr">
        <is>
          <t>991000959579702656</t>
        </is>
      </c>
      <c r="BA371" t="inlineStr">
        <is>
          <t>2266127540002656</t>
        </is>
      </c>
      <c r="BB371" t="inlineStr">
        <is>
          <t>BOOK</t>
        </is>
      </c>
      <c r="BE371" t="inlineStr">
        <is>
          <t>30001000196438</t>
        </is>
      </c>
      <c r="BF371" t="inlineStr">
        <is>
          <t>893284179</t>
        </is>
      </c>
    </row>
    <row r="372">
      <c r="B372" t="inlineStr">
        <is>
          <t>CUHSL</t>
        </is>
      </c>
      <c r="C372" t="inlineStr">
        <is>
          <t>SHELVES</t>
        </is>
      </c>
      <c r="D372" t="inlineStr">
        <is>
          <t>QV 150 S358c 1988</t>
        </is>
      </c>
      <c r="E372" t="inlineStr">
        <is>
          <t>0                      QV 0150000S  358c        1988</t>
        </is>
      </c>
      <c r="F372" t="inlineStr">
        <is>
          <t>Cardiovascular drug therapy in the elderly / Adam Schneeweiss, Gotthard Schettler.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Schneeweiss, Adam.</t>
        </is>
      </c>
      <c r="N372" t="inlineStr">
        <is>
          <t>Boston : Nijhoff ; Norwell, MA, USA : Distributors for North America, Kluwer Academic Publishers, c1988.</t>
        </is>
      </c>
      <c r="O372" t="inlineStr">
        <is>
          <t>1988</t>
        </is>
      </c>
      <c r="Q372" t="inlineStr">
        <is>
          <t>eng</t>
        </is>
      </c>
      <c r="R372" t="inlineStr">
        <is>
          <t>xxu</t>
        </is>
      </c>
      <c r="S372" t="inlineStr">
        <is>
          <t>Developments in cardiovascular medicine ; DICM72</t>
        </is>
      </c>
      <c r="T372" t="inlineStr">
        <is>
          <t xml:space="preserve">QV </t>
        </is>
      </c>
      <c r="U372" t="n">
        <v>6</v>
      </c>
      <c r="V372" t="n">
        <v>6</v>
      </c>
      <c r="W372" t="inlineStr">
        <is>
          <t>2007-12-04</t>
        </is>
      </c>
      <c r="X372" t="inlineStr">
        <is>
          <t>2007-12-04</t>
        </is>
      </c>
      <c r="Y372" t="inlineStr">
        <is>
          <t>1989-07-07</t>
        </is>
      </c>
      <c r="Z372" t="inlineStr">
        <is>
          <t>1989-07-07</t>
        </is>
      </c>
      <c r="AA372" t="n">
        <v>70</v>
      </c>
      <c r="AB372" t="n">
        <v>56</v>
      </c>
      <c r="AC372" t="n">
        <v>80</v>
      </c>
      <c r="AD372" t="n">
        <v>1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0</v>
      </c>
      <c r="AQ372" t="n">
        <v>0</v>
      </c>
      <c r="AR372" t="inlineStr">
        <is>
          <t>No</t>
        </is>
      </c>
      <c r="AS372" t="inlineStr">
        <is>
          <t>Yes</t>
        </is>
      </c>
      <c r="AT372">
        <f>HYPERLINK("http://catalog.hathitrust.org/Record/000905966","HathiTrust Record")</f>
        <v/>
      </c>
      <c r="AU372">
        <f>HYPERLINK("https://creighton-primo.hosted.exlibrisgroup.com/primo-explore/search?tab=default_tab&amp;search_scope=EVERYTHING&amp;vid=01CRU&amp;lang=en_US&amp;offset=0&amp;query=any,contains,991001310659702656","Catalog Record")</f>
        <v/>
      </c>
      <c r="AV372">
        <f>HYPERLINK("http://www.worldcat.org/oclc/15428959","WorldCat Record")</f>
        <v/>
      </c>
      <c r="AW372" t="inlineStr">
        <is>
          <t>10518356:eng</t>
        </is>
      </c>
      <c r="AX372" t="inlineStr">
        <is>
          <t>15428959</t>
        </is>
      </c>
      <c r="AY372" t="inlineStr">
        <is>
          <t>991001310659702656</t>
        </is>
      </c>
      <c r="AZ372" t="inlineStr">
        <is>
          <t>991001310659702656</t>
        </is>
      </c>
      <c r="BA372" t="inlineStr">
        <is>
          <t>2261296740002656</t>
        </is>
      </c>
      <c r="BB372" t="inlineStr">
        <is>
          <t>BOOK</t>
        </is>
      </c>
      <c r="BD372" t="inlineStr">
        <is>
          <t>9780898388831</t>
        </is>
      </c>
      <c r="BE372" t="inlineStr">
        <is>
          <t>30001001750746</t>
        </is>
      </c>
      <c r="BF372" t="inlineStr">
        <is>
          <t>893460460</t>
        </is>
      </c>
    </row>
    <row r="373">
      <c r="B373" t="inlineStr">
        <is>
          <t>CUHSL</t>
        </is>
      </c>
      <c r="C373" t="inlineStr">
        <is>
          <t>SHELVES</t>
        </is>
      </c>
      <c r="D373" t="inlineStr">
        <is>
          <t>QV 150 S996p 1991</t>
        </is>
      </c>
      <c r="E373" t="inlineStr">
        <is>
          <t>0                      QV 0150000S  996p        1991</t>
        </is>
      </c>
      <c r="F373" t="inlineStr">
        <is>
          <t>Pharmaceutical chemistry of antihypertensive agents / authors, György Szász, Susanne Budvári-Bárány.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Szász, György.</t>
        </is>
      </c>
      <c r="N373" t="inlineStr">
        <is>
          <t>Boca Raton : CRC Press, c1991.</t>
        </is>
      </c>
      <c r="O373" t="inlineStr">
        <is>
          <t>1991</t>
        </is>
      </c>
      <c r="Q373" t="inlineStr">
        <is>
          <t>eng</t>
        </is>
      </c>
      <c r="R373" t="inlineStr">
        <is>
          <t>flu</t>
        </is>
      </c>
      <c r="T373" t="inlineStr">
        <is>
          <t xml:space="preserve">QV </t>
        </is>
      </c>
      <c r="U373" t="n">
        <v>11</v>
      </c>
      <c r="V373" t="n">
        <v>11</v>
      </c>
      <c r="W373" t="inlineStr">
        <is>
          <t>1997-09-21</t>
        </is>
      </c>
      <c r="X373" t="inlineStr">
        <is>
          <t>1997-09-21</t>
        </is>
      </c>
      <c r="Y373" t="inlineStr">
        <is>
          <t>1991-02-08</t>
        </is>
      </c>
      <c r="Z373" t="inlineStr">
        <is>
          <t>1991-02-08</t>
        </is>
      </c>
      <c r="AA373" t="n">
        <v>55</v>
      </c>
      <c r="AB373" t="n">
        <v>41</v>
      </c>
      <c r="AC373" t="n">
        <v>41</v>
      </c>
      <c r="AD373" t="n">
        <v>1</v>
      </c>
      <c r="AE373" t="n">
        <v>1</v>
      </c>
      <c r="AF373" t="n">
        <v>2</v>
      </c>
      <c r="AG373" t="n">
        <v>2</v>
      </c>
      <c r="AH373" t="n">
        <v>1</v>
      </c>
      <c r="AI373" t="n">
        <v>1</v>
      </c>
      <c r="AJ373" t="n">
        <v>1</v>
      </c>
      <c r="AK373" t="n">
        <v>1</v>
      </c>
      <c r="AL373" t="n">
        <v>0</v>
      </c>
      <c r="AM373" t="n">
        <v>0</v>
      </c>
      <c r="AN373" t="n">
        <v>0</v>
      </c>
      <c r="AO373" t="n">
        <v>0</v>
      </c>
      <c r="AP373" t="n">
        <v>0</v>
      </c>
      <c r="AQ373" t="n">
        <v>0</v>
      </c>
      <c r="AR373" t="inlineStr">
        <is>
          <t>No</t>
        </is>
      </c>
      <c r="AS373" t="inlineStr">
        <is>
          <t>No</t>
        </is>
      </c>
      <c r="AU373">
        <f>HYPERLINK("https://creighton-primo.hosted.exlibrisgroup.com/primo-explore/search?tab=default_tab&amp;search_scope=EVERYTHING&amp;vid=01CRU&amp;lang=en_US&amp;offset=0&amp;query=any,contains,991000818639702656","Catalog Record")</f>
        <v/>
      </c>
      <c r="AV373">
        <f>HYPERLINK("http://www.worldcat.org/oclc/22314236","WorldCat Record")</f>
        <v/>
      </c>
      <c r="AW373" t="inlineStr">
        <is>
          <t>24161651:eng</t>
        </is>
      </c>
      <c r="AX373" t="inlineStr">
        <is>
          <t>22314236</t>
        </is>
      </c>
      <c r="AY373" t="inlineStr">
        <is>
          <t>991000818639702656</t>
        </is>
      </c>
      <c r="AZ373" t="inlineStr">
        <is>
          <t>991000818639702656</t>
        </is>
      </c>
      <c r="BA373" t="inlineStr">
        <is>
          <t>2263959530002656</t>
        </is>
      </c>
      <c r="BB373" t="inlineStr">
        <is>
          <t>BOOK</t>
        </is>
      </c>
      <c r="BD373" t="inlineStr">
        <is>
          <t>9780849347245</t>
        </is>
      </c>
      <c r="BE373" t="inlineStr">
        <is>
          <t>30001002087049</t>
        </is>
      </c>
      <c r="BF373" t="inlineStr">
        <is>
          <t>893357712</t>
        </is>
      </c>
    </row>
    <row r="374">
      <c r="B374" t="inlineStr">
        <is>
          <t>CUHSL</t>
        </is>
      </c>
      <c r="C374" t="inlineStr">
        <is>
          <t>SHELVES</t>
        </is>
      </c>
      <c r="D374" t="inlineStr">
        <is>
          <t>QV 153 C266 1981</t>
        </is>
      </c>
      <c r="E374" t="inlineStr">
        <is>
          <t>0                      QV 0153000C  266         1981</t>
        </is>
      </c>
      <c r="F374" t="inlineStr">
        <is>
          <t>Cardiac glycosides / editor, K. Greeff.</t>
        </is>
      </c>
      <c r="H374" t="inlineStr">
        <is>
          <t>Yes</t>
        </is>
      </c>
      <c r="I374" t="inlineStr">
        <is>
          <t>1</t>
        </is>
      </c>
      <c r="J374" t="inlineStr">
        <is>
          <t>Yes</t>
        </is>
      </c>
      <c r="K374" t="inlineStr">
        <is>
          <t>No</t>
        </is>
      </c>
      <c r="L374" t="inlineStr">
        <is>
          <t>0</t>
        </is>
      </c>
      <c r="N374" t="inlineStr">
        <is>
          <t>Berlin ; New York : Springer-Verlag, c1981.</t>
        </is>
      </c>
      <c r="O374" t="inlineStr">
        <is>
          <t>1981</t>
        </is>
      </c>
      <c r="Q374" t="inlineStr">
        <is>
          <t>eng</t>
        </is>
      </c>
      <c r="R374" t="inlineStr">
        <is>
          <t xml:space="preserve">gw </t>
        </is>
      </c>
      <c r="S374" t="inlineStr">
        <is>
          <t>Handbook of experimental pharmacology ; v. 56</t>
        </is>
      </c>
      <c r="T374" t="inlineStr">
        <is>
          <t xml:space="preserve">QV </t>
        </is>
      </c>
      <c r="U374" t="n">
        <v>2</v>
      </c>
      <c r="V374" t="n">
        <v>5</v>
      </c>
      <c r="W374" t="inlineStr">
        <is>
          <t>1996-03-28</t>
        </is>
      </c>
      <c r="X374" t="inlineStr">
        <is>
          <t>1996-03-28</t>
        </is>
      </c>
      <c r="Y374" t="inlineStr">
        <is>
          <t>1988-02-08</t>
        </is>
      </c>
      <c r="Z374" t="inlineStr">
        <is>
          <t>1988-02-08</t>
        </is>
      </c>
      <c r="AA374" t="n">
        <v>149</v>
      </c>
      <c r="AB374" t="n">
        <v>103</v>
      </c>
      <c r="AC374" t="n">
        <v>105</v>
      </c>
      <c r="AD374" t="n">
        <v>1</v>
      </c>
      <c r="AE374" t="n">
        <v>1</v>
      </c>
      <c r="AF374" t="n">
        <v>2</v>
      </c>
      <c r="AG374" t="n">
        <v>2</v>
      </c>
      <c r="AH374" t="n">
        <v>0</v>
      </c>
      <c r="AI374" t="n">
        <v>0</v>
      </c>
      <c r="AJ374" t="n">
        <v>2</v>
      </c>
      <c r="AK374" t="n">
        <v>2</v>
      </c>
      <c r="AL374" t="n">
        <v>0</v>
      </c>
      <c r="AM374" t="n">
        <v>0</v>
      </c>
      <c r="AN374" t="n">
        <v>0</v>
      </c>
      <c r="AO374" t="n">
        <v>0</v>
      </c>
      <c r="AP374" t="n">
        <v>0</v>
      </c>
      <c r="AQ374" t="n">
        <v>0</v>
      </c>
      <c r="AR374" t="inlineStr">
        <is>
          <t>No</t>
        </is>
      </c>
      <c r="AS374" t="inlineStr">
        <is>
          <t>Yes</t>
        </is>
      </c>
      <c r="AT374">
        <f>HYPERLINK("http://catalog.hathitrust.org/Record/000225323","HathiTrust Record")</f>
        <v/>
      </c>
      <c r="AU374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V374">
        <f>HYPERLINK("http://www.worldcat.org/oclc/7957792","WorldCat Record")</f>
        <v/>
      </c>
      <c r="AW374" t="inlineStr">
        <is>
          <t>1062813132:eng</t>
        </is>
      </c>
      <c r="AX374" t="inlineStr">
        <is>
          <t>7957792</t>
        </is>
      </c>
      <c r="AY374" t="inlineStr">
        <is>
          <t>991000960099702656</t>
        </is>
      </c>
      <c r="AZ374" t="inlineStr">
        <is>
          <t>991000960099702656</t>
        </is>
      </c>
      <c r="BA374" t="inlineStr">
        <is>
          <t>2269652110002656</t>
        </is>
      </c>
      <c r="BB374" t="inlineStr">
        <is>
          <t>BOOK</t>
        </is>
      </c>
      <c r="BE374" t="inlineStr">
        <is>
          <t>30001000196875</t>
        </is>
      </c>
      <c r="BF374" t="inlineStr">
        <is>
          <t>893161568</t>
        </is>
      </c>
    </row>
    <row r="375">
      <c r="B375" t="inlineStr">
        <is>
          <t>CUHSL</t>
        </is>
      </c>
      <c r="C375" t="inlineStr">
        <is>
          <t>SHELVES</t>
        </is>
      </c>
      <c r="D375" t="inlineStr">
        <is>
          <t>QV153 C266 1981 PT. 2</t>
        </is>
      </c>
      <c r="E375" t="inlineStr">
        <is>
          <t>0                      QV 0153000C  266         1981                                        PT. 2</t>
        </is>
      </c>
      <c r="F375" t="inlineStr">
        <is>
          <t>Cardiac glycosides / editor, K. Greeff.</t>
        </is>
      </c>
      <c r="G375" t="inlineStr">
        <is>
          <t>PT. 2*</t>
        </is>
      </c>
      <c r="H375" t="inlineStr">
        <is>
          <t>Yes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N375" t="inlineStr">
        <is>
          <t>Berlin ; New York : Springer-Verlag, c1981.</t>
        </is>
      </c>
      <c r="O375" t="inlineStr">
        <is>
          <t>1981</t>
        </is>
      </c>
      <c r="Q375" t="inlineStr">
        <is>
          <t>eng</t>
        </is>
      </c>
      <c r="R375" t="inlineStr">
        <is>
          <t xml:space="preserve">gw </t>
        </is>
      </c>
      <c r="S375" t="inlineStr">
        <is>
          <t>Handbook of experimental pharmacology ; v. 56</t>
        </is>
      </c>
      <c r="T375" t="inlineStr">
        <is>
          <t xml:space="preserve">QV </t>
        </is>
      </c>
      <c r="U375" t="n">
        <v>3</v>
      </c>
      <c r="V375" t="n">
        <v>5</v>
      </c>
      <c r="W375" t="inlineStr">
        <is>
          <t>1995-11-02</t>
        </is>
      </c>
      <c r="X375" t="inlineStr">
        <is>
          <t>1996-03-28</t>
        </is>
      </c>
      <c r="Y375" t="inlineStr">
        <is>
          <t>1988-02-08</t>
        </is>
      </c>
      <c r="Z375" t="inlineStr">
        <is>
          <t>1988-02-08</t>
        </is>
      </c>
      <c r="AA375" t="n">
        <v>149</v>
      </c>
      <c r="AB375" t="n">
        <v>103</v>
      </c>
      <c r="AC375" t="n">
        <v>105</v>
      </c>
      <c r="AD375" t="n">
        <v>1</v>
      </c>
      <c r="AE375" t="n">
        <v>1</v>
      </c>
      <c r="AF375" t="n">
        <v>2</v>
      </c>
      <c r="AG375" t="n">
        <v>2</v>
      </c>
      <c r="AH375" t="n">
        <v>0</v>
      </c>
      <c r="AI375" t="n">
        <v>0</v>
      </c>
      <c r="AJ375" t="n">
        <v>2</v>
      </c>
      <c r="AK375" t="n">
        <v>2</v>
      </c>
      <c r="AL375" t="n">
        <v>0</v>
      </c>
      <c r="AM375" t="n">
        <v>0</v>
      </c>
      <c r="AN375" t="n">
        <v>0</v>
      </c>
      <c r="AO375" t="n">
        <v>0</v>
      </c>
      <c r="AP375" t="n">
        <v>0</v>
      </c>
      <c r="AQ375" t="n">
        <v>0</v>
      </c>
      <c r="AR375" t="inlineStr">
        <is>
          <t>No</t>
        </is>
      </c>
      <c r="AS375" t="inlineStr">
        <is>
          <t>Yes</t>
        </is>
      </c>
      <c r="AT375">
        <f>HYPERLINK("http://catalog.hathitrust.org/Record/000225323","HathiTrust Record")</f>
        <v/>
      </c>
      <c r="AU375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V375">
        <f>HYPERLINK("http://www.worldcat.org/oclc/7957792","WorldCat Record")</f>
        <v/>
      </c>
      <c r="AW375" t="inlineStr">
        <is>
          <t>1062813132:eng</t>
        </is>
      </c>
      <c r="AX375" t="inlineStr">
        <is>
          <t>7957792</t>
        </is>
      </c>
      <c r="AY375" t="inlineStr">
        <is>
          <t>991000960099702656</t>
        </is>
      </c>
      <c r="AZ375" t="inlineStr">
        <is>
          <t>991000960099702656</t>
        </is>
      </c>
      <c r="BA375" t="inlineStr">
        <is>
          <t>2269652110002656</t>
        </is>
      </c>
      <c r="BB375" t="inlineStr">
        <is>
          <t>BOOK</t>
        </is>
      </c>
      <c r="BE375" t="inlineStr">
        <is>
          <t>30001000196867</t>
        </is>
      </c>
      <c r="BF375" t="inlineStr">
        <is>
          <t>893161567</t>
        </is>
      </c>
    </row>
    <row r="376">
      <c r="B376" t="inlineStr">
        <is>
          <t>CUHSL</t>
        </is>
      </c>
      <c r="C376" t="inlineStr">
        <is>
          <t>SHELVES</t>
        </is>
      </c>
      <c r="D376" t="inlineStr">
        <is>
          <t>QV 175 R269r 1991</t>
        </is>
      </c>
      <c r="E376" t="inlineStr">
        <is>
          <t>0                      QV 0175000R  269r        1991</t>
        </is>
      </c>
      <c r="F376" t="inlineStr">
        <is>
          <t>RU 486 : misconceptions, myths and morals / by Janice G. Raymond, Renate Klein, Lynette J. Dumble.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Raymond, Janice G.</t>
        </is>
      </c>
      <c r="N376" t="inlineStr">
        <is>
          <t>Cambridge, Mass., USA : Institute on Women and Technology, c1991.</t>
        </is>
      </c>
      <c r="O376" t="inlineStr">
        <is>
          <t>1991</t>
        </is>
      </c>
      <c r="Q376" t="inlineStr">
        <is>
          <t>eng</t>
        </is>
      </c>
      <c r="R376" t="inlineStr">
        <is>
          <t>mau</t>
        </is>
      </c>
      <c r="T376" t="inlineStr">
        <is>
          <t xml:space="preserve">QV </t>
        </is>
      </c>
      <c r="U376" t="n">
        <v>6</v>
      </c>
      <c r="V376" t="n">
        <v>6</v>
      </c>
      <c r="W376" t="inlineStr">
        <is>
          <t>1997-04-28</t>
        </is>
      </c>
      <c r="X376" t="inlineStr">
        <is>
          <t>1997-04-28</t>
        </is>
      </c>
      <c r="Y376" t="inlineStr">
        <is>
          <t>1991-12-12</t>
        </is>
      </c>
      <c r="Z376" t="inlineStr">
        <is>
          <t>1991-12-12</t>
        </is>
      </c>
      <c r="AA376" t="n">
        <v>115</v>
      </c>
      <c r="AB376" t="n">
        <v>96</v>
      </c>
      <c r="AC376" t="n">
        <v>505</v>
      </c>
      <c r="AD376" t="n">
        <v>1</v>
      </c>
      <c r="AE376" t="n">
        <v>4</v>
      </c>
      <c r="AF376" t="n">
        <v>1</v>
      </c>
      <c r="AG376" t="n">
        <v>6</v>
      </c>
      <c r="AH376" t="n">
        <v>0</v>
      </c>
      <c r="AI376" t="n">
        <v>2</v>
      </c>
      <c r="AJ376" t="n">
        <v>1</v>
      </c>
      <c r="AK376" t="n">
        <v>1</v>
      </c>
      <c r="AL376" t="n">
        <v>0</v>
      </c>
      <c r="AM376" t="n">
        <v>1</v>
      </c>
      <c r="AN376" t="n">
        <v>0</v>
      </c>
      <c r="AO376" t="n">
        <v>3</v>
      </c>
      <c r="AP376" t="n">
        <v>0</v>
      </c>
      <c r="AQ376" t="n">
        <v>0</v>
      </c>
      <c r="AR376" t="inlineStr">
        <is>
          <t>No</t>
        </is>
      </c>
      <c r="AS376" t="inlineStr">
        <is>
          <t>Yes</t>
        </is>
      </c>
      <c r="AT376">
        <f>HYPERLINK("http://catalog.hathitrust.org/Record/002559428","HathiTrust Record")</f>
        <v/>
      </c>
      <c r="AU376">
        <f>HYPERLINK("https://creighton-primo.hosted.exlibrisgroup.com/primo-explore/search?tab=default_tab&amp;search_scope=EVERYTHING&amp;vid=01CRU&amp;lang=en_US&amp;offset=0&amp;query=any,contains,991001025579702656","Catalog Record")</f>
        <v/>
      </c>
      <c r="AV376">
        <f>HYPERLINK("http://www.worldcat.org/oclc/24808026","WorldCat Record")</f>
        <v/>
      </c>
      <c r="AW376" t="inlineStr">
        <is>
          <t>793886010:eng</t>
        </is>
      </c>
      <c r="AX376" t="inlineStr">
        <is>
          <t>24808026</t>
        </is>
      </c>
      <c r="AY376" t="inlineStr">
        <is>
          <t>991001025579702656</t>
        </is>
      </c>
      <c r="AZ376" t="inlineStr">
        <is>
          <t>991001025579702656</t>
        </is>
      </c>
      <c r="BA376" t="inlineStr">
        <is>
          <t>2256169750002656</t>
        </is>
      </c>
      <c r="BB376" t="inlineStr">
        <is>
          <t>BOOK</t>
        </is>
      </c>
      <c r="BD376" t="inlineStr">
        <is>
          <t>9780963008305</t>
        </is>
      </c>
      <c r="BE376" t="inlineStr">
        <is>
          <t>30001002242602</t>
        </is>
      </c>
      <c r="BF376" t="inlineStr">
        <is>
          <t>893267994</t>
        </is>
      </c>
    </row>
    <row r="377">
      <c r="B377" t="inlineStr">
        <is>
          <t>CUHSL</t>
        </is>
      </c>
      <c r="C377" t="inlineStr">
        <is>
          <t>SHELVES</t>
        </is>
      </c>
      <c r="D377" t="inlineStr">
        <is>
          <t>QV 177 S439d 1969</t>
        </is>
      </c>
      <c r="E377" t="inlineStr">
        <is>
          <t>0                      QV 0177000S  439d        1969</t>
        </is>
      </c>
      <c r="F377" t="inlineStr">
        <is>
          <t>The doctors' case against the pill.</t>
        </is>
      </c>
      <c r="H377" t="inlineStr">
        <is>
          <t>No</t>
        </is>
      </c>
      <c r="I377" t="inlineStr">
        <is>
          <t>1</t>
        </is>
      </c>
      <c r="J377" t="inlineStr">
        <is>
          <t>No</t>
        </is>
      </c>
      <c r="K377" t="inlineStr">
        <is>
          <t>No</t>
        </is>
      </c>
      <c r="L377" t="inlineStr">
        <is>
          <t>0</t>
        </is>
      </c>
      <c r="M377" t="inlineStr">
        <is>
          <t>Seaman, Barbara.</t>
        </is>
      </c>
      <c r="N377" t="inlineStr">
        <is>
          <t>New York : P.H. Wyden, 1969.</t>
        </is>
      </c>
      <c r="O377" t="inlineStr">
        <is>
          <t>1969</t>
        </is>
      </c>
      <c r="Q377" t="inlineStr">
        <is>
          <t>eng</t>
        </is>
      </c>
      <c r="R377" t="inlineStr">
        <is>
          <t>nyu</t>
        </is>
      </c>
      <c r="T377" t="inlineStr">
        <is>
          <t xml:space="preserve">QV </t>
        </is>
      </c>
      <c r="U377" t="n">
        <v>1</v>
      </c>
      <c r="V377" t="n">
        <v>1</v>
      </c>
      <c r="W377" t="inlineStr">
        <is>
          <t>1996-04-30</t>
        </is>
      </c>
      <c r="X377" t="inlineStr">
        <is>
          <t>1996-04-30</t>
        </is>
      </c>
      <c r="Y377" t="inlineStr">
        <is>
          <t>1988-03-25</t>
        </is>
      </c>
      <c r="Z377" t="inlineStr">
        <is>
          <t>1988-03-25</t>
        </is>
      </c>
      <c r="AA377" t="n">
        <v>335</v>
      </c>
      <c r="AB377" t="n">
        <v>314</v>
      </c>
      <c r="AC377" t="n">
        <v>605</v>
      </c>
      <c r="AD377" t="n">
        <v>5</v>
      </c>
      <c r="AE377" t="n">
        <v>6</v>
      </c>
      <c r="AF377" t="n">
        <v>13</v>
      </c>
      <c r="AG377" t="n">
        <v>15</v>
      </c>
      <c r="AH377" t="n">
        <v>2</v>
      </c>
      <c r="AI377" t="n">
        <v>4</v>
      </c>
      <c r="AJ377" t="n">
        <v>3</v>
      </c>
      <c r="AK377" t="n">
        <v>3</v>
      </c>
      <c r="AL377" t="n">
        <v>5</v>
      </c>
      <c r="AM377" t="n">
        <v>6</v>
      </c>
      <c r="AN377" t="n">
        <v>4</v>
      </c>
      <c r="AO377" t="n">
        <v>4</v>
      </c>
      <c r="AP377" t="n">
        <v>0</v>
      </c>
      <c r="AQ377" t="n">
        <v>0</v>
      </c>
      <c r="AR377" t="inlineStr">
        <is>
          <t>No</t>
        </is>
      </c>
      <c r="AS377" t="inlineStr">
        <is>
          <t>Yes</t>
        </is>
      </c>
      <c r="AT377">
        <f>HYPERLINK("http://catalog.hathitrust.org/Record/001569651","HathiTrust Record")</f>
        <v/>
      </c>
      <c r="AU377">
        <f>HYPERLINK("https://creighton-primo.hosted.exlibrisgroup.com/primo-explore/search?tab=default_tab&amp;search_scope=EVERYTHING&amp;vid=01CRU&amp;lang=en_US&amp;offset=0&amp;query=any,contains,991000960059702656","Catalog Record")</f>
        <v/>
      </c>
      <c r="AV377">
        <f>HYPERLINK("http://www.worldcat.org/oclc/30564","WorldCat Record")</f>
        <v/>
      </c>
      <c r="AW377" t="inlineStr">
        <is>
          <t>1179473:eng</t>
        </is>
      </c>
      <c r="AX377" t="inlineStr">
        <is>
          <t>30564</t>
        </is>
      </c>
      <c r="AY377" t="inlineStr">
        <is>
          <t>991000960059702656</t>
        </is>
      </c>
      <c r="AZ377" t="inlineStr">
        <is>
          <t>991000960059702656</t>
        </is>
      </c>
      <c r="BA377" t="inlineStr">
        <is>
          <t>2262257690002656</t>
        </is>
      </c>
      <c r="BB377" t="inlineStr">
        <is>
          <t>BOOK</t>
        </is>
      </c>
      <c r="BE377" t="inlineStr">
        <is>
          <t>30001000196685</t>
        </is>
      </c>
      <c r="BF377" t="inlineStr">
        <is>
          <t>893374131</t>
        </is>
      </c>
    </row>
    <row r="378">
      <c r="B378" t="inlineStr">
        <is>
          <t>CUHSL</t>
        </is>
      </c>
      <c r="C378" t="inlineStr">
        <is>
          <t>SHELVES</t>
        </is>
      </c>
      <c r="D378" t="inlineStr">
        <is>
          <t>QV183 B749i 1962</t>
        </is>
      </c>
      <c r="E378" t="inlineStr">
        <is>
          <t>0                      QV 0183000B  749i        1962</t>
        </is>
      </c>
      <c r="F378" t="inlineStr">
        <is>
          <t>Iron metabolism / Thomas H. Bothwell and Clement A. Finch.</t>
        </is>
      </c>
      <c r="H378" t="inlineStr">
        <is>
          <t>No</t>
        </is>
      </c>
      <c r="I378" t="inlineStr">
        <is>
          <t>1</t>
        </is>
      </c>
      <c r="J378" t="inlineStr">
        <is>
          <t>No</t>
        </is>
      </c>
      <c r="K378" t="inlineStr">
        <is>
          <t>No</t>
        </is>
      </c>
      <c r="L378" t="inlineStr">
        <is>
          <t>0</t>
        </is>
      </c>
      <c r="M378" t="inlineStr">
        <is>
          <t>Bothwell, Thomas H. (Thomas Hamilton)</t>
        </is>
      </c>
      <c r="N378" t="inlineStr">
        <is>
          <t>Boston : Little, Brown, c1962.</t>
        </is>
      </c>
      <c r="O378" t="inlineStr">
        <is>
          <t>1962</t>
        </is>
      </c>
      <c r="P378" t="inlineStr">
        <is>
          <t>[1st ed.].</t>
        </is>
      </c>
      <c r="Q378" t="inlineStr">
        <is>
          <t>eng</t>
        </is>
      </c>
      <c r="R378" t="inlineStr">
        <is>
          <t>mau</t>
        </is>
      </c>
      <c r="T378" t="inlineStr">
        <is>
          <t xml:space="preserve">QV </t>
        </is>
      </c>
      <c r="U378" t="n">
        <v>2</v>
      </c>
      <c r="V378" t="n">
        <v>2</v>
      </c>
      <c r="W378" t="inlineStr">
        <is>
          <t>1999-11-24</t>
        </is>
      </c>
      <c r="X378" t="inlineStr">
        <is>
          <t>1999-11-24</t>
        </is>
      </c>
      <c r="Y378" t="inlineStr">
        <is>
          <t>1988-03-17</t>
        </is>
      </c>
      <c r="Z378" t="inlineStr">
        <is>
          <t>1988-03-17</t>
        </is>
      </c>
      <c r="AA378" t="n">
        <v>151</v>
      </c>
      <c r="AB378" t="n">
        <v>112</v>
      </c>
      <c r="AC378" t="n">
        <v>115</v>
      </c>
      <c r="AD378" t="n">
        <v>1</v>
      </c>
      <c r="AE378" t="n">
        <v>1</v>
      </c>
      <c r="AF378" t="n">
        <v>1</v>
      </c>
      <c r="AG378" t="n">
        <v>1</v>
      </c>
      <c r="AH378" t="n">
        <v>0</v>
      </c>
      <c r="AI378" t="n">
        <v>0</v>
      </c>
      <c r="AJ378" t="n">
        <v>0</v>
      </c>
      <c r="AK378" t="n">
        <v>0</v>
      </c>
      <c r="AL378" t="n">
        <v>1</v>
      </c>
      <c r="AM378" t="n">
        <v>1</v>
      </c>
      <c r="AN378" t="n">
        <v>0</v>
      </c>
      <c r="AO378" t="n">
        <v>0</v>
      </c>
      <c r="AP378" t="n">
        <v>0</v>
      </c>
      <c r="AQ378" t="n">
        <v>0</v>
      </c>
      <c r="AR378" t="inlineStr">
        <is>
          <t>No</t>
        </is>
      </c>
      <c r="AS378" t="inlineStr">
        <is>
          <t>Yes</t>
        </is>
      </c>
      <c r="AT378">
        <f>HYPERLINK("http://catalog.hathitrust.org/Record/001576933","HathiTrust Record")</f>
        <v/>
      </c>
      <c r="AU378">
        <f>HYPERLINK("https://creighton-primo.hosted.exlibrisgroup.com/primo-explore/search?tab=default_tab&amp;search_scope=EVERYTHING&amp;vid=01CRU&amp;lang=en_US&amp;offset=0&amp;query=any,contains,991000960019702656","Catalog Record")</f>
        <v/>
      </c>
      <c r="AV378">
        <f>HYPERLINK("http://www.worldcat.org/oclc/559626","WorldCat Record")</f>
        <v/>
      </c>
      <c r="AW378" t="inlineStr">
        <is>
          <t>1630225:eng</t>
        </is>
      </c>
      <c r="AX378" t="inlineStr">
        <is>
          <t>559626</t>
        </is>
      </c>
      <c r="AY378" t="inlineStr">
        <is>
          <t>991000960019702656</t>
        </is>
      </c>
      <c r="AZ378" t="inlineStr">
        <is>
          <t>991000960019702656</t>
        </is>
      </c>
      <c r="BA378" t="inlineStr">
        <is>
          <t>2262157850002656</t>
        </is>
      </c>
      <c r="BB378" t="inlineStr">
        <is>
          <t>BOOK</t>
        </is>
      </c>
      <c r="BE378" t="inlineStr">
        <is>
          <t>30001000196677</t>
        </is>
      </c>
      <c r="BF378" t="inlineStr">
        <is>
          <t>893148758</t>
        </is>
      </c>
    </row>
    <row r="379">
      <c r="B379" t="inlineStr">
        <is>
          <t>CUHSL</t>
        </is>
      </c>
      <c r="C379" t="inlineStr">
        <is>
          <t>SHELVES</t>
        </is>
      </c>
      <c r="D379" t="inlineStr">
        <is>
          <t>QV 183 I701 1992</t>
        </is>
      </c>
      <c r="E379" t="inlineStr">
        <is>
          <t>0                      QV 0183000I  701         1992</t>
        </is>
      </c>
      <c r="F379" t="inlineStr">
        <is>
          <t>Iron and human disease / edited by Randall B. Lauffer.</t>
        </is>
      </c>
      <c r="H379" t="inlineStr">
        <is>
          <t>No</t>
        </is>
      </c>
      <c r="I379" t="inlineStr">
        <is>
          <t>1</t>
        </is>
      </c>
      <c r="J379" t="inlineStr">
        <is>
          <t>No</t>
        </is>
      </c>
      <c r="K379" t="inlineStr">
        <is>
          <t>No</t>
        </is>
      </c>
      <c r="L379" t="inlineStr">
        <is>
          <t>0</t>
        </is>
      </c>
      <c r="N379" t="inlineStr">
        <is>
          <t>Boca Raton : CRC Press, c1992.</t>
        </is>
      </c>
      <c r="O379" t="inlineStr">
        <is>
          <t>1992</t>
        </is>
      </c>
      <c r="Q379" t="inlineStr">
        <is>
          <t>eng</t>
        </is>
      </c>
      <c r="R379" t="inlineStr">
        <is>
          <t>flu</t>
        </is>
      </c>
      <c r="T379" t="inlineStr">
        <is>
          <t xml:space="preserve">QV </t>
        </is>
      </c>
      <c r="U379" t="n">
        <v>11</v>
      </c>
      <c r="V379" t="n">
        <v>11</v>
      </c>
      <c r="W379" t="inlineStr">
        <is>
          <t>2001-03-16</t>
        </is>
      </c>
      <c r="X379" t="inlineStr">
        <is>
          <t>2001-03-16</t>
        </is>
      </c>
      <c r="Y379" t="inlineStr">
        <is>
          <t>1992-09-09</t>
        </is>
      </c>
      <c r="Z379" t="inlineStr">
        <is>
          <t>1992-09-09</t>
        </is>
      </c>
      <c r="AA379" t="n">
        <v>120</v>
      </c>
      <c r="AB379" t="n">
        <v>86</v>
      </c>
      <c r="AC379" t="n">
        <v>122</v>
      </c>
      <c r="AD379" t="n">
        <v>2</v>
      </c>
      <c r="AE379" t="n">
        <v>2</v>
      </c>
      <c r="AF379" t="n">
        <v>2</v>
      </c>
      <c r="AG379" t="n">
        <v>2</v>
      </c>
      <c r="AH379" t="n">
        <v>0</v>
      </c>
      <c r="AI379" t="n">
        <v>0</v>
      </c>
      <c r="AJ379" t="n">
        <v>1</v>
      </c>
      <c r="AK379" t="n">
        <v>1</v>
      </c>
      <c r="AL379" t="n">
        <v>0</v>
      </c>
      <c r="AM379" t="n">
        <v>0</v>
      </c>
      <c r="AN379" t="n">
        <v>1</v>
      </c>
      <c r="AO379" t="n">
        <v>1</v>
      </c>
      <c r="AP379" t="n">
        <v>0</v>
      </c>
      <c r="AQ379" t="n">
        <v>0</v>
      </c>
      <c r="AR379" t="inlineStr">
        <is>
          <t>No</t>
        </is>
      </c>
      <c r="AS379" t="inlineStr">
        <is>
          <t>No</t>
        </is>
      </c>
      <c r="AU379">
        <f>HYPERLINK("https://creighton-primo.hosted.exlibrisgroup.com/primo-explore/search?tab=default_tab&amp;search_scope=EVERYTHING&amp;vid=01CRU&amp;lang=en_US&amp;offset=0&amp;query=any,contains,991001341579702656","Catalog Record")</f>
        <v/>
      </c>
      <c r="AV379">
        <f>HYPERLINK("http://www.worldcat.org/oclc/25282412","WorldCat Record")</f>
        <v/>
      </c>
      <c r="AW379" t="inlineStr">
        <is>
          <t>138715289:eng</t>
        </is>
      </c>
      <c r="AX379" t="inlineStr">
        <is>
          <t>25282412</t>
        </is>
      </c>
      <c r="AY379" t="inlineStr">
        <is>
          <t>991001341579702656</t>
        </is>
      </c>
      <c r="AZ379" t="inlineStr">
        <is>
          <t>991001341579702656</t>
        </is>
      </c>
      <c r="BA379" t="inlineStr">
        <is>
          <t>2271299660002656</t>
        </is>
      </c>
      <c r="BB379" t="inlineStr">
        <is>
          <t>BOOK</t>
        </is>
      </c>
      <c r="BD379" t="inlineStr">
        <is>
          <t>9780849367793</t>
        </is>
      </c>
      <c r="BE379" t="inlineStr">
        <is>
          <t>30001002455949</t>
        </is>
      </c>
      <c r="BF379" t="inlineStr">
        <is>
          <t>893274036</t>
        </is>
      </c>
    </row>
    <row r="380">
      <c r="B380" t="inlineStr">
        <is>
          <t>CUHSL</t>
        </is>
      </c>
      <c r="C380" t="inlineStr">
        <is>
          <t>SHELVES</t>
        </is>
      </c>
      <c r="D380" t="inlineStr">
        <is>
          <t>QV 183 I713 1994</t>
        </is>
      </c>
      <c r="E380" t="inlineStr">
        <is>
          <t>0                      QV 0183000I  713         1994</t>
        </is>
      </c>
      <c r="F380" t="inlineStr">
        <is>
          <t>Iron metabolism in health and disease / edited by Jeremy H. Brock ... [et al.].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N380" t="inlineStr">
        <is>
          <t>London ; Philadelpha : W.B. Saunders, c1994.</t>
        </is>
      </c>
      <c r="O380" t="inlineStr">
        <is>
          <t>1994</t>
        </is>
      </c>
      <c r="Q380" t="inlineStr">
        <is>
          <t>eng</t>
        </is>
      </c>
      <c r="R380" t="inlineStr">
        <is>
          <t>enk</t>
        </is>
      </c>
      <c r="T380" t="inlineStr">
        <is>
          <t xml:space="preserve">QV </t>
        </is>
      </c>
      <c r="U380" t="n">
        <v>9</v>
      </c>
      <c r="V380" t="n">
        <v>9</v>
      </c>
      <c r="W380" t="inlineStr">
        <is>
          <t>1999-12-06</t>
        </is>
      </c>
      <c r="X380" t="inlineStr">
        <is>
          <t>1999-12-06</t>
        </is>
      </c>
      <c r="Y380" t="inlineStr">
        <is>
          <t>1994-09-12</t>
        </is>
      </c>
      <c r="Z380" t="inlineStr">
        <is>
          <t>1994-09-12</t>
        </is>
      </c>
      <c r="AA380" t="n">
        <v>117</v>
      </c>
      <c r="AB380" t="n">
        <v>69</v>
      </c>
      <c r="AC380" t="n">
        <v>71</v>
      </c>
      <c r="AD380" t="n">
        <v>1</v>
      </c>
      <c r="AE380" t="n">
        <v>1</v>
      </c>
      <c r="AF380" t="n">
        <v>2</v>
      </c>
      <c r="AG380" t="n">
        <v>2</v>
      </c>
      <c r="AH380" t="n">
        <v>1</v>
      </c>
      <c r="AI380" t="n">
        <v>1</v>
      </c>
      <c r="AJ380" t="n">
        <v>0</v>
      </c>
      <c r="AK380" t="n">
        <v>0</v>
      </c>
      <c r="AL380" t="n">
        <v>2</v>
      </c>
      <c r="AM380" t="n">
        <v>2</v>
      </c>
      <c r="AN380" t="n">
        <v>0</v>
      </c>
      <c r="AO380" t="n">
        <v>0</v>
      </c>
      <c r="AP380" t="n">
        <v>0</v>
      </c>
      <c r="AQ380" t="n">
        <v>0</v>
      </c>
      <c r="AR380" t="inlineStr">
        <is>
          <t>No</t>
        </is>
      </c>
      <c r="AS380" t="inlineStr">
        <is>
          <t>Yes</t>
        </is>
      </c>
      <c r="AT380">
        <f>HYPERLINK("http://catalog.hathitrust.org/Record/002981869","HathiTrust Record")</f>
        <v/>
      </c>
      <c r="AU380">
        <f>HYPERLINK("https://creighton-primo.hosted.exlibrisgroup.com/primo-explore/search?tab=default_tab&amp;search_scope=EVERYTHING&amp;vid=01CRU&amp;lang=en_US&amp;offset=0&amp;query=any,contains,991000677509702656","Catalog Record")</f>
        <v/>
      </c>
      <c r="AV380">
        <f>HYPERLINK("http://www.worldcat.org/oclc/30493282","WorldCat Record")</f>
        <v/>
      </c>
      <c r="AW380" t="inlineStr">
        <is>
          <t>24206850:eng</t>
        </is>
      </c>
      <c r="AX380" t="inlineStr">
        <is>
          <t>30493282</t>
        </is>
      </c>
      <c r="AY380" t="inlineStr">
        <is>
          <t>991000677509702656</t>
        </is>
      </c>
      <c r="AZ380" t="inlineStr">
        <is>
          <t>991000677509702656</t>
        </is>
      </c>
      <c r="BA380" t="inlineStr">
        <is>
          <t>2255941370002656</t>
        </is>
      </c>
      <c r="BB380" t="inlineStr">
        <is>
          <t>BOOK</t>
        </is>
      </c>
      <c r="BD380" t="inlineStr">
        <is>
          <t>9780702017322</t>
        </is>
      </c>
      <c r="BE380" t="inlineStr">
        <is>
          <t>30001002696757</t>
        </is>
      </c>
      <c r="BF380" t="inlineStr">
        <is>
          <t>893376743</t>
        </is>
      </c>
    </row>
    <row r="381">
      <c r="B381" t="inlineStr">
        <is>
          <t>CUHSL</t>
        </is>
      </c>
      <c r="C381" t="inlineStr">
        <is>
          <t>SHELVES</t>
        </is>
      </c>
      <c r="D381" t="inlineStr">
        <is>
          <t>QV 183 J17i 1974</t>
        </is>
      </c>
      <c r="E381" t="inlineStr">
        <is>
          <t>0                      QV 0183000J  17i         1974</t>
        </is>
      </c>
      <c r="F381" t="inlineStr">
        <is>
          <t>Iron in biochemistry / Edited by A. Jacobs and M. Worwood.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M381" t="inlineStr">
        <is>
          <t>Jacobs, A. (Allan), editor.</t>
        </is>
      </c>
      <c r="N381" t="inlineStr">
        <is>
          <t>London ; New York : Academic Press, 1974.</t>
        </is>
      </c>
      <c r="O381" t="inlineStr">
        <is>
          <t>1974</t>
        </is>
      </c>
      <c r="Q381" t="inlineStr">
        <is>
          <t>eng</t>
        </is>
      </c>
      <c r="R381" t="inlineStr">
        <is>
          <t xml:space="preserve">xx </t>
        </is>
      </c>
      <c r="T381" t="inlineStr">
        <is>
          <t xml:space="preserve">QV </t>
        </is>
      </c>
      <c r="U381" t="n">
        <v>5</v>
      </c>
      <c r="V381" t="n">
        <v>5</v>
      </c>
      <c r="W381" t="inlineStr">
        <is>
          <t>2001-08-30</t>
        </is>
      </c>
      <c r="X381" t="inlineStr">
        <is>
          <t>2001-08-30</t>
        </is>
      </c>
      <c r="Y381" t="inlineStr">
        <is>
          <t>1988-03-17</t>
        </is>
      </c>
      <c r="Z381" t="inlineStr">
        <is>
          <t>1988-03-17</t>
        </is>
      </c>
      <c r="AA381" t="n">
        <v>23</v>
      </c>
      <c r="AB381" t="n">
        <v>16</v>
      </c>
      <c r="AC381" t="n">
        <v>16</v>
      </c>
      <c r="AD381" t="n">
        <v>1</v>
      </c>
      <c r="AE381" t="n">
        <v>1</v>
      </c>
      <c r="AF381" t="n">
        <v>0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0</v>
      </c>
      <c r="AM381" t="n">
        <v>0</v>
      </c>
      <c r="AN381" t="n">
        <v>0</v>
      </c>
      <c r="AO381" t="n">
        <v>0</v>
      </c>
      <c r="AP381" t="n">
        <v>0</v>
      </c>
      <c r="AQ381" t="n">
        <v>0</v>
      </c>
      <c r="AR381" t="inlineStr">
        <is>
          <t>No</t>
        </is>
      </c>
      <c r="AS381" t="inlineStr">
        <is>
          <t>No</t>
        </is>
      </c>
      <c r="AU381">
        <f>HYPERLINK("https://creighton-primo.hosted.exlibrisgroup.com/primo-explore/search?tab=default_tab&amp;search_scope=EVERYTHING&amp;vid=01CRU&amp;lang=en_US&amp;offset=0&amp;query=any,contains,991000959979702656","Catalog Record")</f>
        <v/>
      </c>
      <c r="AV381">
        <f>HYPERLINK("http://www.worldcat.org/oclc/1201484","WorldCat Record")</f>
        <v/>
      </c>
      <c r="AW381" t="inlineStr">
        <is>
          <t>3901001450:eng</t>
        </is>
      </c>
      <c r="AX381" t="inlineStr">
        <is>
          <t>1201484</t>
        </is>
      </c>
      <c r="AY381" t="inlineStr">
        <is>
          <t>991000959979702656</t>
        </is>
      </c>
      <c r="AZ381" t="inlineStr">
        <is>
          <t>991000959979702656</t>
        </is>
      </c>
      <c r="BA381" t="inlineStr">
        <is>
          <t>2263034930002656</t>
        </is>
      </c>
      <c r="BB381" t="inlineStr">
        <is>
          <t>BOOK</t>
        </is>
      </c>
      <c r="BE381" t="inlineStr">
        <is>
          <t>30001000196651</t>
        </is>
      </c>
      <c r="BF381" t="inlineStr">
        <is>
          <t>893368930</t>
        </is>
      </c>
    </row>
    <row r="382">
      <c r="B382" t="inlineStr">
        <is>
          <t>CUHSL</t>
        </is>
      </c>
      <c r="C382" t="inlineStr">
        <is>
          <t>SHELVES</t>
        </is>
      </c>
      <c r="D382" t="inlineStr">
        <is>
          <t>QV 190 C697t 1985</t>
        </is>
      </c>
      <c r="E382" t="inlineStr">
        <is>
          <t>0                      QV 0190000C  697t        1985</t>
        </is>
      </c>
      <c r="F382" t="inlineStr">
        <is>
          <t>Thrombolysis : biological and therapeutic properties of new thrombolytic agents / D. Collen, H.R. Lijnen, M. Verstraete.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Collen, D. (Désiré)</t>
        </is>
      </c>
      <c r="N382" t="inlineStr">
        <is>
          <t>Edinburgh ; New York : Churchill Livingstone, c1985.</t>
        </is>
      </c>
      <c r="O382" t="inlineStr">
        <is>
          <t>1985</t>
        </is>
      </c>
      <c r="Q382" t="inlineStr">
        <is>
          <t>eng</t>
        </is>
      </c>
      <c r="R382" t="inlineStr">
        <is>
          <t>stk</t>
        </is>
      </c>
      <c r="T382" t="inlineStr">
        <is>
          <t xml:space="preserve">QV </t>
        </is>
      </c>
      <c r="U382" t="n">
        <v>4</v>
      </c>
      <c r="V382" t="n">
        <v>4</v>
      </c>
      <c r="W382" t="inlineStr">
        <is>
          <t>1992-02-09</t>
        </is>
      </c>
      <c r="X382" t="inlineStr">
        <is>
          <t>1992-02-09</t>
        </is>
      </c>
      <c r="Y382" t="inlineStr">
        <is>
          <t>1988-02-08</t>
        </is>
      </c>
      <c r="Z382" t="inlineStr">
        <is>
          <t>1988-02-08</t>
        </is>
      </c>
      <c r="AA382" t="n">
        <v>86</v>
      </c>
      <c r="AB382" t="n">
        <v>53</v>
      </c>
      <c r="AC382" t="n">
        <v>55</v>
      </c>
      <c r="AD382" t="n">
        <v>1</v>
      </c>
      <c r="AE382" t="n">
        <v>1</v>
      </c>
      <c r="AF382" t="n">
        <v>1</v>
      </c>
      <c r="AG382" t="n">
        <v>1</v>
      </c>
      <c r="AH382" t="n">
        <v>0</v>
      </c>
      <c r="AI382" t="n">
        <v>0</v>
      </c>
      <c r="AJ382" t="n">
        <v>0</v>
      </c>
      <c r="AK382" t="n">
        <v>0</v>
      </c>
      <c r="AL382" t="n">
        <v>1</v>
      </c>
      <c r="AM382" t="n">
        <v>1</v>
      </c>
      <c r="AN382" t="n">
        <v>0</v>
      </c>
      <c r="AO382" t="n">
        <v>0</v>
      </c>
      <c r="AP382" t="n">
        <v>0</v>
      </c>
      <c r="AQ382" t="n">
        <v>0</v>
      </c>
      <c r="AR382" t="inlineStr">
        <is>
          <t>No</t>
        </is>
      </c>
      <c r="AS382" t="inlineStr">
        <is>
          <t>Yes</t>
        </is>
      </c>
      <c r="AT382">
        <f>HYPERLINK("http://catalog.hathitrust.org/Record/000806932","HathiTrust Record")</f>
        <v/>
      </c>
      <c r="AU382">
        <f>HYPERLINK("https://creighton-primo.hosted.exlibrisgroup.com/primo-explore/search?tab=default_tab&amp;search_scope=EVERYTHING&amp;vid=01CRU&amp;lang=en_US&amp;offset=0&amp;query=any,contains,991000959929702656","Catalog Record")</f>
        <v/>
      </c>
      <c r="AV382">
        <f>HYPERLINK("http://www.worldcat.org/oclc/12418782","WorldCat Record")</f>
        <v/>
      </c>
      <c r="AW382" t="inlineStr">
        <is>
          <t>836725920:eng</t>
        </is>
      </c>
      <c r="AX382" t="inlineStr">
        <is>
          <t>12418782</t>
        </is>
      </c>
      <c r="AY382" t="inlineStr">
        <is>
          <t>991000959929702656</t>
        </is>
      </c>
      <c r="AZ382" t="inlineStr">
        <is>
          <t>991000959929702656</t>
        </is>
      </c>
      <c r="BA382" t="inlineStr">
        <is>
          <t>2266865760002656</t>
        </is>
      </c>
      <c r="BB382" t="inlineStr">
        <is>
          <t>BOOK</t>
        </is>
      </c>
      <c r="BD382" t="inlineStr">
        <is>
          <t>9780443028151</t>
        </is>
      </c>
      <c r="BE382" t="inlineStr">
        <is>
          <t>30001000196628</t>
        </is>
      </c>
      <c r="BF382" t="inlineStr">
        <is>
          <t>893161566</t>
        </is>
      </c>
    </row>
    <row r="383">
      <c r="B383" t="inlineStr">
        <is>
          <t>CUHSL</t>
        </is>
      </c>
      <c r="C383" t="inlineStr">
        <is>
          <t>SHELVES</t>
        </is>
      </c>
      <c r="D383" t="inlineStr">
        <is>
          <t>QV 193 C513a 1980</t>
        </is>
      </c>
      <c r="E383" t="inlineStr">
        <is>
          <t>0                      QV 0193000C  513a        1980</t>
        </is>
      </c>
      <c r="F383" t="inlineStr">
        <is>
          <t>Anticoagulants and fibrinolytics / E.I. Chazov, K.M. Lakin ; translators, E.P. Fadeev, G.S. Vats, A.P. Bermont.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0</t>
        </is>
      </c>
      <c r="M383" t="inlineStr">
        <is>
          <t>Chazov, E. I.</t>
        </is>
      </c>
      <c r="N383" t="inlineStr">
        <is>
          <t>Chicago : Year Book Medical Publishers, c1980.</t>
        </is>
      </c>
      <c r="O383" t="inlineStr">
        <is>
          <t>1980</t>
        </is>
      </c>
      <c r="Q383" t="inlineStr">
        <is>
          <t>eng</t>
        </is>
      </c>
      <c r="R383" t="inlineStr">
        <is>
          <t>xxu</t>
        </is>
      </c>
      <c r="T383" t="inlineStr">
        <is>
          <t xml:space="preserve">QV </t>
        </is>
      </c>
      <c r="U383" t="n">
        <v>3</v>
      </c>
      <c r="V383" t="n">
        <v>3</v>
      </c>
      <c r="W383" t="inlineStr">
        <is>
          <t>1997-07-01</t>
        </is>
      </c>
      <c r="X383" t="inlineStr">
        <is>
          <t>1997-07-01</t>
        </is>
      </c>
      <c r="Y383" t="inlineStr">
        <is>
          <t>1987-08-25</t>
        </is>
      </c>
      <c r="Z383" t="inlineStr">
        <is>
          <t>1987-08-25</t>
        </is>
      </c>
      <c r="AA383" t="n">
        <v>81</v>
      </c>
      <c r="AB383" t="n">
        <v>48</v>
      </c>
      <c r="AC383" t="n">
        <v>50</v>
      </c>
      <c r="AD383" t="n">
        <v>1</v>
      </c>
      <c r="AE383" t="n">
        <v>1</v>
      </c>
      <c r="AF383" t="n">
        <v>1</v>
      </c>
      <c r="AG383" t="n">
        <v>1</v>
      </c>
      <c r="AH383" t="n">
        <v>0</v>
      </c>
      <c r="AI383" t="n">
        <v>0</v>
      </c>
      <c r="AJ383" t="n">
        <v>0</v>
      </c>
      <c r="AK383" t="n">
        <v>0</v>
      </c>
      <c r="AL383" t="n">
        <v>1</v>
      </c>
      <c r="AM383" t="n">
        <v>1</v>
      </c>
      <c r="AN383" t="n">
        <v>0</v>
      </c>
      <c r="AO383" t="n">
        <v>0</v>
      </c>
      <c r="AP383" t="n">
        <v>0</v>
      </c>
      <c r="AQ383" t="n">
        <v>0</v>
      </c>
      <c r="AR383" t="inlineStr">
        <is>
          <t>No</t>
        </is>
      </c>
      <c r="AS383" t="inlineStr">
        <is>
          <t>Yes</t>
        </is>
      </c>
      <c r="AT383">
        <f>HYPERLINK("http://catalog.hathitrust.org/Record/003794812","HathiTrust Record")</f>
        <v/>
      </c>
      <c r="AU383">
        <f>HYPERLINK("https://creighton-primo.hosted.exlibrisgroup.com/primo-explore/search?tab=default_tab&amp;search_scope=EVERYTHING&amp;vid=01CRU&amp;lang=en_US&amp;offset=0&amp;query=any,contains,991000960259702656","Catalog Record")</f>
        <v/>
      </c>
      <c r="AV383">
        <f>HYPERLINK("http://www.worldcat.org/oclc/6581208","WorldCat Record")</f>
        <v/>
      </c>
      <c r="AW383" t="inlineStr">
        <is>
          <t>23126883:eng</t>
        </is>
      </c>
      <c r="AX383" t="inlineStr">
        <is>
          <t>6581208</t>
        </is>
      </c>
      <c r="AY383" t="inlineStr">
        <is>
          <t>991000960259702656</t>
        </is>
      </c>
      <c r="AZ383" t="inlineStr">
        <is>
          <t>991000960259702656</t>
        </is>
      </c>
      <c r="BA383" t="inlineStr">
        <is>
          <t>2256088930002656</t>
        </is>
      </c>
      <c r="BB383" t="inlineStr">
        <is>
          <t>BOOK</t>
        </is>
      </c>
      <c r="BD383" t="inlineStr">
        <is>
          <t>9780815116493</t>
        </is>
      </c>
      <c r="BE383" t="inlineStr">
        <is>
          <t>30001000197097</t>
        </is>
      </c>
      <c r="BF383" t="inlineStr">
        <is>
          <t>893278526</t>
        </is>
      </c>
    </row>
    <row r="384">
      <c r="B384" t="inlineStr">
        <is>
          <t>CUHSL</t>
        </is>
      </c>
      <c r="C384" t="inlineStr">
        <is>
          <t>SHELVES</t>
        </is>
      </c>
      <c r="D384" t="inlineStr">
        <is>
          <t>QV 193 C8547 2008</t>
        </is>
      </c>
      <c r="E384" t="inlineStr">
        <is>
          <t>0                      QV 0193000C  8547        2008</t>
        </is>
      </c>
      <c r="F384" t="inlineStr">
        <is>
          <t>Coumarin anticoagulant research progress / Joseph P. Edardes, editor.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N384" t="inlineStr">
        <is>
          <t>New York : Nova Biomedical Books, c2008.</t>
        </is>
      </c>
      <c r="O384" t="inlineStr">
        <is>
          <t>2008</t>
        </is>
      </c>
      <c r="Q384" t="inlineStr">
        <is>
          <t>eng</t>
        </is>
      </c>
      <c r="R384" t="inlineStr">
        <is>
          <t>nyu</t>
        </is>
      </c>
      <c r="T384" t="inlineStr">
        <is>
          <t xml:space="preserve">QV </t>
        </is>
      </c>
      <c r="U384" t="n">
        <v>0</v>
      </c>
      <c r="V384" t="n">
        <v>0</v>
      </c>
      <c r="W384" t="inlineStr">
        <is>
          <t>2008-10-16</t>
        </is>
      </c>
      <c r="X384" t="inlineStr">
        <is>
          <t>2008-10-16</t>
        </is>
      </c>
      <c r="Y384" t="inlineStr">
        <is>
          <t>2008-10-16</t>
        </is>
      </c>
      <c r="Z384" t="inlineStr">
        <is>
          <t>2008-10-16</t>
        </is>
      </c>
      <c r="AA384" t="n">
        <v>20</v>
      </c>
      <c r="AB384" t="n">
        <v>15</v>
      </c>
      <c r="AC384" t="n">
        <v>15</v>
      </c>
      <c r="AD384" t="n">
        <v>1</v>
      </c>
      <c r="AE384" t="n">
        <v>1</v>
      </c>
      <c r="AF384" t="n">
        <v>1</v>
      </c>
      <c r="AG384" t="n">
        <v>1</v>
      </c>
      <c r="AH384" t="n">
        <v>0</v>
      </c>
      <c r="AI384" t="n">
        <v>0</v>
      </c>
      <c r="AJ384" t="n">
        <v>1</v>
      </c>
      <c r="AK384" t="n">
        <v>1</v>
      </c>
      <c r="AL384" t="n">
        <v>1</v>
      </c>
      <c r="AM384" t="n">
        <v>1</v>
      </c>
      <c r="AN384" t="n">
        <v>0</v>
      </c>
      <c r="AO384" t="n">
        <v>0</v>
      </c>
      <c r="AP384" t="n">
        <v>0</v>
      </c>
      <c r="AQ384" t="n">
        <v>0</v>
      </c>
      <c r="AR384" t="inlineStr">
        <is>
          <t>No</t>
        </is>
      </c>
      <c r="AS384" t="inlineStr">
        <is>
          <t>No</t>
        </is>
      </c>
      <c r="AU384">
        <f>HYPERLINK("https://creighton-primo.hosted.exlibrisgroup.com/primo-explore/search?tab=default_tab&amp;search_scope=EVERYTHING&amp;vid=01CRU&amp;lang=en_US&amp;offset=0&amp;query=any,contains,991001323939702656","Catalog Record")</f>
        <v/>
      </c>
      <c r="AV384">
        <f>HYPERLINK("http://www.worldcat.org/oclc/165048857","WorldCat Record")</f>
        <v/>
      </c>
      <c r="AW384" t="inlineStr">
        <is>
          <t>5585724122:eng</t>
        </is>
      </c>
      <c r="AX384" t="inlineStr">
        <is>
          <t>165048857</t>
        </is>
      </c>
      <c r="AY384" t="inlineStr">
        <is>
          <t>991001323939702656</t>
        </is>
      </c>
      <c r="AZ384" t="inlineStr">
        <is>
          <t>991001323939702656</t>
        </is>
      </c>
      <c r="BA384" t="inlineStr">
        <is>
          <t>2271037670002656</t>
        </is>
      </c>
      <c r="BB384" t="inlineStr">
        <is>
          <t>BOOK</t>
        </is>
      </c>
      <c r="BD384" t="inlineStr">
        <is>
          <t>9781600219900</t>
        </is>
      </c>
      <c r="BE384" t="inlineStr">
        <is>
          <t>30001005373701</t>
        </is>
      </c>
      <c r="BF384" t="inlineStr">
        <is>
          <t>893455698</t>
        </is>
      </c>
    </row>
    <row r="385">
      <c r="B385" t="inlineStr">
        <is>
          <t>CUHSL</t>
        </is>
      </c>
      <c r="C385" t="inlineStr">
        <is>
          <t>SHELVES</t>
        </is>
      </c>
      <c r="D385" t="inlineStr">
        <is>
          <t>QV 195 O35a 1984</t>
        </is>
      </c>
      <c r="E385" t="inlineStr">
        <is>
          <t>0                      QV 0195000O  35a         1984</t>
        </is>
      </c>
      <c r="F385" t="inlineStr">
        <is>
          <t>Antifibrinolytic drugs : chemistry, pharmacology, and clinical usage / Derek Ogston.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M385" t="inlineStr">
        <is>
          <t>Ogston, Derek.</t>
        </is>
      </c>
      <c r="N385" t="inlineStr">
        <is>
          <t>Chichester ; New York : Wiley, c1984.</t>
        </is>
      </c>
      <c r="O385" t="inlineStr">
        <is>
          <t>1984</t>
        </is>
      </c>
      <c r="Q385" t="inlineStr">
        <is>
          <t>eng</t>
        </is>
      </c>
      <c r="R385" t="inlineStr">
        <is>
          <t xml:space="preserve">aa </t>
        </is>
      </c>
      <c r="S385" t="inlineStr">
        <is>
          <t>A Wiley medical publication</t>
        </is>
      </c>
      <c r="T385" t="inlineStr">
        <is>
          <t xml:space="preserve">QV </t>
        </is>
      </c>
      <c r="U385" t="n">
        <v>3</v>
      </c>
      <c r="V385" t="n">
        <v>3</v>
      </c>
      <c r="W385" t="inlineStr">
        <is>
          <t>1992-05-05</t>
        </is>
      </c>
      <c r="X385" t="inlineStr">
        <is>
          <t>1992-05-05</t>
        </is>
      </c>
      <c r="Y385" t="inlineStr">
        <is>
          <t>1988-02-09</t>
        </is>
      </c>
      <c r="Z385" t="inlineStr">
        <is>
          <t>1988-02-09</t>
        </is>
      </c>
      <c r="AA385" t="n">
        <v>104</v>
      </c>
      <c r="AB385" t="n">
        <v>74</v>
      </c>
      <c r="AC385" t="n">
        <v>76</v>
      </c>
      <c r="AD385" t="n">
        <v>1</v>
      </c>
      <c r="AE385" t="n">
        <v>1</v>
      </c>
      <c r="AF385" t="n">
        <v>2</v>
      </c>
      <c r="AG385" t="n">
        <v>2</v>
      </c>
      <c r="AH385" t="n">
        <v>0</v>
      </c>
      <c r="AI385" t="n">
        <v>0</v>
      </c>
      <c r="AJ385" t="n">
        <v>1</v>
      </c>
      <c r="AK385" t="n">
        <v>1</v>
      </c>
      <c r="AL385" t="n">
        <v>1</v>
      </c>
      <c r="AM385" t="n">
        <v>1</v>
      </c>
      <c r="AN385" t="n">
        <v>0</v>
      </c>
      <c r="AO385" t="n">
        <v>0</v>
      </c>
      <c r="AP385" t="n">
        <v>0</v>
      </c>
      <c r="AQ385" t="n">
        <v>0</v>
      </c>
      <c r="AR385" t="inlineStr">
        <is>
          <t>No</t>
        </is>
      </c>
      <c r="AS385" t="inlineStr">
        <is>
          <t>Yes</t>
        </is>
      </c>
      <c r="AT385">
        <f>HYPERLINK("http://catalog.hathitrust.org/Record/000456177","HathiTrust Record")</f>
        <v/>
      </c>
      <c r="AU385">
        <f>HYPERLINK("https://creighton-primo.hosted.exlibrisgroup.com/primo-explore/search?tab=default_tab&amp;search_scope=EVERYTHING&amp;vid=01CRU&amp;lang=en_US&amp;offset=0&amp;query=any,contains,991000960299702656","Catalog Record")</f>
        <v/>
      </c>
      <c r="AV385">
        <f>HYPERLINK("http://www.worldcat.org/oclc/10912707","WorldCat Record")</f>
        <v/>
      </c>
      <c r="AW385" t="inlineStr">
        <is>
          <t>836669964:eng</t>
        </is>
      </c>
      <c r="AX385" t="inlineStr">
        <is>
          <t>10912707</t>
        </is>
      </c>
      <c r="AY385" t="inlineStr">
        <is>
          <t>991000960299702656</t>
        </is>
      </c>
      <c r="AZ385" t="inlineStr">
        <is>
          <t>991000960299702656</t>
        </is>
      </c>
      <c r="BA385" t="inlineStr">
        <is>
          <t>2258532320002656</t>
        </is>
      </c>
      <c r="BB385" t="inlineStr">
        <is>
          <t>BOOK</t>
        </is>
      </c>
      <c r="BD385" t="inlineStr">
        <is>
          <t>9780471905622</t>
        </is>
      </c>
      <c r="BE385" t="inlineStr">
        <is>
          <t>30001000197089</t>
        </is>
      </c>
      <c r="BF385" t="inlineStr">
        <is>
          <t>893287139</t>
        </is>
      </c>
    </row>
    <row r="386">
      <c r="B386" t="inlineStr">
        <is>
          <t>CUHSL</t>
        </is>
      </c>
      <c r="C386" t="inlineStr">
        <is>
          <t>SHELVES</t>
        </is>
      </c>
      <c r="D386" t="inlineStr">
        <is>
          <t>QV 220 D611 1983</t>
        </is>
      </c>
      <c r="E386" t="inlineStr">
        <is>
          <t>0                      QV 0220000D  611         1983</t>
        </is>
      </c>
      <c r="F386" t="inlineStr">
        <is>
          <t>Disinfection, sterilization, and preservation / Seymour S. Block.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Yes</t>
        </is>
      </c>
      <c r="L386" t="inlineStr">
        <is>
          <t>0</t>
        </is>
      </c>
      <c r="N386" t="inlineStr">
        <is>
          <t>Philadelphia : Lea &amp; Febiger, c1983.</t>
        </is>
      </c>
      <c r="O386" t="inlineStr">
        <is>
          <t>1983</t>
        </is>
      </c>
      <c r="P386" t="inlineStr">
        <is>
          <t>3rd ed.</t>
        </is>
      </c>
      <c r="Q386" t="inlineStr">
        <is>
          <t>eng</t>
        </is>
      </c>
      <c r="R386" t="inlineStr">
        <is>
          <t>xxu</t>
        </is>
      </c>
      <c r="T386" t="inlineStr">
        <is>
          <t xml:space="preserve">QV </t>
        </is>
      </c>
      <c r="U386" t="n">
        <v>9</v>
      </c>
      <c r="V386" t="n">
        <v>9</v>
      </c>
      <c r="W386" t="inlineStr">
        <is>
          <t>1996-06-21</t>
        </is>
      </c>
      <c r="X386" t="inlineStr">
        <is>
          <t>1996-06-21</t>
        </is>
      </c>
      <c r="Y386" t="inlineStr">
        <is>
          <t>1988-02-09</t>
        </is>
      </c>
      <c r="Z386" t="inlineStr">
        <is>
          <t>1988-02-09</t>
        </is>
      </c>
      <c r="AA386" t="n">
        <v>331</v>
      </c>
      <c r="AB386" t="n">
        <v>248</v>
      </c>
      <c r="AC386" t="n">
        <v>711</v>
      </c>
      <c r="AD386" t="n">
        <v>1</v>
      </c>
      <c r="AE386" t="n">
        <v>6</v>
      </c>
      <c r="AF386" t="n">
        <v>5</v>
      </c>
      <c r="AG386" t="n">
        <v>18</v>
      </c>
      <c r="AH386" t="n">
        <v>1</v>
      </c>
      <c r="AI386" t="n">
        <v>7</v>
      </c>
      <c r="AJ386" t="n">
        <v>3</v>
      </c>
      <c r="AK386" t="n">
        <v>4</v>
      </c>
      <c r="AL386" t="n">
        <v>3</v>
      </c>
      <c r="AM386" t="n">
        <v>8</v>
      </c>
      <c r="AN386" t="n">
        <v>0</v>
      </c>
      <c r="AO386" t="n">
        <v>4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HYPERLINK("http://catalog.hathitrust.org/Record/000776175","HathiTrust Record")</f>
        <v/>
      </c>
      <c r="AU386">
        <f>HYPERLINK("https://creighton-primo.hosted.exlibrisgroup.com/primo-explore/search?tab=default_tab&amp;search_scope=EVERYTHING&amp;vid=01CRU&amp;lang=en_US&amp;offset=0&amp;query=any,contains,991000960219702656","Catalog Record")</f>
        <v/>
      </c>
      <c r="AV386">
        <f>HYPERLINK("http://www.worldcat.org/oclc/9110784","WorldCat Record")</f>
        <v/>
      </c>
      <c r="AW386" t="inlineStr">
        <is>
          <t>356468953:eng</t>
        </is>
      </c>
      <c r="AX386" t="inlineStr">
        <is>
          <t>9110784</t>
        </is>
      </c>
      <c r="AY386" t="inlineStr">
        <is>
          <t>991000960219702656</t>
        </is>
      </c>
      <c r="AZ386" t="inlineStr">
        <is>
          <t>991000960219702656</t>
        </is>
      </c>
      <c r="BA386" t="inlineStr">
        <is>
          <t>2269750000002656</t>
        </is>
      </c>
      <c r="BB386" t="inlineStr">
        <is>
          <t>BOOK</t>
        </is>
      </c>
      <c r="BD386" t="inlineStr">
        <is>
          <t>9780812108637</t>
        </is>
      </c>
      <c r="BE386" t="inlineStr">
        <is>
          <t>30001000197063</t>
        </is>
      </c>
      <c r="BF386" t="inlineStr">
        <is>
          <t>893278525</t>
        </is>
      </c>
    </row>
    <row r="387">
      <c r="B387" t="inlineStr">
        <is>
          <t>CUHSL</t>
        </is>
      </c>
      <c r="C387" t="inlineStr">
        <is>
          <t>SHELVES</t>
        </is>
      </c>
      <c r="D387" t="inlineStr">
        <is>
          <t>QV 240 S631f 1994</t>
        </is>
      </c>
      <c r="E387" t="inlineStr">
        <is>
          <t>0                      QV 0240000S  631f        1994</t>
        </is>
      </c>
      <c r="F387" t="inlineStr">
        <is>
          <t>Fluorescent probes in cellular and molecular biology / Jan Slavik.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M387" t="inlineStr">
        <is>
          <t>Slavík, Jan, Ph.D.</t>
        </is>
      </c>
      <c r="N387" t="inlineStr">
        <is>
          <t>Boca Raton : CRC Press, c1994.</t>
        </is>
      </c>
      <c r="O387" t="inlineStr">
        <is>
          <t>1994</t>
        </is>
      </c>
      <c r="Q387" t="inlineStr">
        <is>
          <t>eng</t>
        </is>
      </c>
      <c r="R387" t="inlineStr">
        <is>
          <t>flu</t>
        </is>
      </c>
      <c r="T387" t="inlineStr">
        <is>
          <t xml:space="preserve">QV </t>
        </is>
      </c>
      <c r="U387" t="n">
        <v>3</v>
      </c>
      <c r="V387" t="n">
        <v>3</v>
      </c>
      <c r="W387" t="inlineStr">
        <is>
          <t>1994-12-08</t>
        </is>
      </c>
      <c r="X387" t="inlineStr">
        <is>
          <t>1994-12-08</t>
        </is>
      </c>
      <c r="Y387" t="inlineStr">
        <is>
          <t>1994-09-13</t>
        </is>
      </c>
      <c r="Z387" t="inlineStr">
        <is>
          <t>1994-09-13</t>
        </is>
      </c>
      <c r="AA387" t="n">
        <v>246</v>
      </c>
      <c r="AB387" t="n">
        <v>179</v>
      </c>
      <c r="AC387" t="n">
        <v>179</v>
      </c>
      <c r="AD387" t="n">
        <v>1</v>
      </c>
      <c r="AE387" t="n">
        <v>1</v>
      </c>
      <c r="AF387" t="n">
        <v>4</v>
      </c>
      <c r="AG387" t="n">
        <v>4</v>
      </c>
      <c r="AH387" t="n">
        <v>1</v>
      </c>
      <c r="AI387" t="n">
        <v>1</v>
      </c>
      <c r="AJ387" t="n">
        <v>2</v>
      </c>
      <c r="AK387" t="n">
        <v>2</v>
      </c>
      <c r="AL387" t="n">
        <v>3</v>
      </c>
      <c r="AM387" t="n">
        <v>3</v>
      </c>
      <c r="AN387" t="n">
        <v>0</v>
      </c>
      <c r="AO387" t="n">
        <v>0</v>
      </c>
      <c r="AP387" t="n">
        <v>0</v>
      </c>
      <c r="AQ387" t="n">
        <v>0</v>
      </c>
      <c r="AR387" t="inlineStr">
        <is>
          <t>No</t>
        </is>
      </c>
      <c r="AS387" t="inlineStr">
        <is>
          <t>No</t>
        </is>
      </c>
      <c r="AU387">
        <f>HYPERLINK("https://creighton-primo.hosted.exlibrisgroup.com/primo-explore/search?tab=default_tab&amp;search_scope=EVERYTHING&amp;vid=01CRU&amp;lang=en_US&amp;offset=0&amp;query=any,contains,991000679679702656","Catalog Record")</f>
        <v/>
      </c>
      <c r="AV387">
        <f>HYPERLINK("http://www.worldcat.org/oclc/28585198","WorldCat Record")</f>
        <v/>
      </c>
      <c r="AW387" t="inlineStr">
        <is>
          <t>499285239:eng</t>
        </is>
      </c>
      <c r="AX387" t="inlineStr">
        <is>
          <t>28585198</t>
        </is>
      </c>
      <c r="AY387" t="inlineStr">
        <is>
          <t>991000679679702656</t>
        </is>
      </c>
      <c r="AZ387" t="inlineStr">
        <is>
          <t>991000679679702656</t>
        </is>
      </c>
      <c r="BA387" t="inlineStr">
        <is>
          <t>2261833790002656</t>
        </is>
      </c>
      <c r="BB387" t="inlineStr">
        <is>
          <t>BOOK</t>
        </is>
      </c>
      <c r="BD387" t="inlineStr">
        <is>
          <t>9780849368929</t>
        </is>
      </c>
      <c r="BE387" t="inlineStr">
        <is>
          <t>30001002697136</t>
        </is>
      </c>
      <c r="BF387" t="inlineStr">
        <is>
          <t>893267141</t>
        </is>
      </c>
    </row>
    <row r="388">
      <c r="B388" t="inlineStr">
        <is>
          <t>CUHSL</t>
        </is>
      </c>
      <c r="C388" t="inlineStr">
        <is>
          <t>SHELVES</t>
        </is>
      </c>
      <c r="D388" t="inlineStr">
        <is>
          <t>QV 247 A6292 1985</t>
        </is>
      </c>
      <c r="E388" t="inlineStr">
        <is>
          <t>0                      QV 0247000A  6292        1985</t>
        </is>
      </c>
      <c r="F388" t="inlineStr">
        <is>
          <t>Anti-inflammatory and anti-rheumatic drugs / editor, K.D. Rainsford.</t>
        </is>
      </c>
      <c r="G388" t="inlineStr">
        <is>
          <t>V. 3</t>
        </is>
      </c>
      <c r="H388" t="inlineStr">
        <is>
          <t>Yes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N388" t="inlineStr">
        <is>
          <t>Boca Raton, Fla. : CRC Press, c1985.</t>
        </is>
      </c>
      <c r="O388" t="inlineStr">
        <is>
          <t>1985</t>
        </is>
      </c>
      <c r="Q388" t="inlineStr">
        <is>
          <t>eng</t>
        </is>
      </c>
      <c r="R388" t="inlineStr">
        <is>
          <t>xxu</t>
        </is>
      </c>
      <c r="T388" t="inlineStr">
        <is>
          <t xml:space="preserve">QV </t>
        </is>
      </c>
      <c r="U388" t="n">
        <v>3</v>
      </c>
      <c r="V388" t="n">
        <v>11</v>
      </c>
      <c r="W388" t="inlineStr">
        <is>
          <t>1992-02-14</t>
        </is>
      </c>
      <c r="X388" t="inlineStr">
        <is>
          <t>2007-12-04</t>
        </is>
      </c>
      <c r="Y388" t="inlineStr">
        <is>
          <t>1988-02-09</t>
        </is>
      </c>
      <c r="Z388" t="inlineStr">
        <is>
          <t>1988-02-09</t>
        </is>
      </c>
      <c r="AA388" t="n">
        <v>128</v>
      </c>
      <c r="AB388" t="n">
        <v>102</v>
      </c>
      <c r="AC388" t="n">
        <v>104</v>
      </c>
      <c r="AD388" t="n">
        <v>1</v>
      </c>
      <c r="AE388" t="n">
        <v>1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inlineStr">
        <is>
          <t>No</t>
        </is>
      </c>
      <c r="AS388" t="inlineStr">
        <is>
          <t>Yes</t>
        </is>
      </c>
      <c r="AT388">
        <f>HYPERLINK("http://catalog.hathitrust.org/Record/000580163","HathiTrust Record")</f>
        <v/>
      </c>
      <c r="AU388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V388">
        <f>HYPERLINK("http://www.worldcat.org/oclc/11113868","WorldCat Record")</f>
        <v/>
      </c>
      <c r="AW388" t="inlineStr">
        <is>
          <t>2868113802:eng</t>
        </is>
      </c>
      <c r="AX388" t="inlineStr">
        <is>
          <t>11113868</t>
        </is>
      </c>
      <c r="AY388" t="inlineStr">
        <is>
          <t>991000960139702656</t>
        </is>
      </c>
      <c r="AZ388" t="inlineStr">
        <is>
          <t>991000960139702656</t>
        </is>
      </c>
      <c r="BA388" t="inlineStr">
        <is>
          <t>2261589690002656</t>
        </is>
      </c>
      <c r="BB388" t="inlineStr">
        <is>
          <t>BOOK</t>
        </is>
      </c>
      <c r="BD388" t="inlineStr">
        <is>
          <t>9780849362309</t>
        </is>
      </c>
      <c r="BE388" t="inlineStr">
        <is>
          <t>30001000196982</t>
        </is>
      </c>
      <c r="BF388" t="inlineStr">
        <is>
          <t>893363586</t>
        </is>
      </c>
    </row>
    <row r="389">
      <c r="B389" t="inlineStr">
        <is>
          <t>CUHSL</t>
        </is>
      </c>
      <c r="C389" t="inlineStr">
        <is>
          <t>SHELVES</t>
        </is>
      </c>
      <c r="D389" t="inlineStr">
        <is>
          <t>QV 247 A6292 1985</t>
        </is>
      </c>
      <c r="E389" t="inlineStr">
        <is>
          <t>0                      QV 0247000A  6292        1985</t>
        </is>
      </c>
      <c r="F389" t="inlineStr">
        <is>
          <t>Anti-inflammatory and anti-rheumatic drugs / editor, K.D. Rainsford.</t>
        </is>
      </c>
      <c r="G389" t="inlineStr">
        <is>
          <t>V. 1</t>
        </is>
      </c>
      <c r="H389" t="inlineStr">
        <is>
          <t>Yes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N389" t="inlineStr">
        <is>
          <t>Boca Raton, Fla. : CRC Press, c1985.</t>
        </is>
      </c>
      <c r="O389" t="inlineStr">
        <is>
          <t>1985</t>
        </is>
      </c>
      <c r="Q389" t="inlineStr">
        <is>
          <t>eng</t>
        </is>
      </c>
      <c r="R389" t="inlineStr">
        <is>
          <t>xxu</t>
        </is>
      </c>
      <c r="T389" t="inlineStr">
        <is>
          <t xml:space="preserve">QV </t>
        </is>
      </c>
      <c r="U389" t="n">
        <v>4</v>
      </c>
      <c r="V389" t="n">
        <v>11</v>
      </c>
      <c r="W389" t="inlineStr">
        <is>
          <t>2007-12-04</t>
        </is>
      </c>
      <c r="X389" t="inlineStr">
        <is>
          <t>2007-12-04</t>
        </is>
      </c>
      <c r="Y389" t="inlineStr">
        <is>
          <t>1988-02-09</t>
        </is>
      </c>
      <c r="Z389" t="inlineStr">
        <is>
          <t>1988-02-09</t>
        </is>
      </c>
      <c r="AA389" t="n">
        <v>128</v>
      </c>
      <c r="AB389" t="n">
        <v>102</v>
      </c>
      <c r="AC389" t="n">
        <v>104</v>
      </c>
      <c r="AD389" t="n">
        <v>1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inlineStr">
        <is>
          <t>No</t>
        </is>
      </c>
      <c r="AS389" t="inlineStr">
        <is>
          <t>Yes</t>
        </is>
      </c>
      <c r="AT389">
        <f>HYPERLINK("http://catalog.hathitrust.org/Record/000580163","HathiTrust Record")</f>
        <v/>
      </c>
      <c r="AU389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V389">
        <f>HYPERLINK("http://www.worldcat.org/oclc/11113868","WorldCat Record")</f>
        <v/>
      </c>
      <c r="AW389" t="inlineStr">
        <is>
          <t>2868113802:eng</t>
        </is>
      </c>
      <c r="AX389" t="inlineStr">
        <is>
          <t>11113868</t>
        </is>
      </c>
      <c r="AY389" t="inlineStr">
        <is>
          <t>991000960139702656</t>
        </is>
      </c>
      <c r="AZ389" t="inlineStr">
        <is>
          <t>991000960139702656</t>
        </is>
      </c>
      <c r="BA389" t="inlineStr">
        <is>
          <t>2261589690002656</t>
        </is>
      </c>
      <c r="BB389" t="inlineStr">
        <is>
          <t>BOOK</t>
        </is>
      </c>
      <c r="BD389" t="inlineStr">
        <is>
          <t>9780849362309</t>
        </is>
      </c>
      <c r="BE389" t="inlineStr">
        <is>
          <t>30001000422123</t>
        </is>
      </c>
      <c r="BF389" t="inlineStr">
        <is>
          <t>893368931</t>
        </is>
      </c>
    </row>
    <row r="390">
      <c r="B390" t="inlineStr">
        <is>
          <t>CUHSL</t>
        </is>
      </c>
      <c r="C390" t="inlineStr">
        <is>
          <t>SHELVES</t>
        </is>
      </c>
      <c r="D390" t="inlineStr">
        <is>
          <t>QV 247 A6292 1985</t>
        </is>
      </c>
      <c r="E390" t="inlineStr">
        <is>
          <t>0                      QV 0247000A  6292        1985</t>
        </is>
      </c>
      <c r="F390" t="inlineStr">
        <is>
          <t>Anti-inflammatory and anti-rheumatic drugs / editor, K.D. Rainsford.</t>
        </is>
      </c>
      <c r="G390" t="inlineStr">
        <is>
          <t>V. 2</t>
        </is>
      </c>
      <c r="H390" t="inlineStr">
        <is>
          <t>Yes</t>
        </is>
      </c>
      <c r="I390" t="inlineStr">
        <is>
          <t>1</t>
        </is>
      </c>
      <c r="J390" t="inlineStr">
        <is>
          <t>No</t>
        </is>
      </c>
      <c r="K390" t="inlineStr">
        <is>
          <t>No</t>
        </is>
      </c>
      <c r="L390" t="inlineStr">
        <is>
          <t>0</t>
        </is>
      </c>
      <c r="N390" t="inlineStr">
        <is>
          <t>Boca Raton, Fla. : CRC Press, c1985.</t>
        </is>
      </c>
      <c r="O390" t="inlineStr">
        <is>
          <t>1985</t>
        </is>
      </c>
      <c r="Q390" t="inlineStr">
        <is>
          <t>eng</t>
        </is>
      </c>
      <c r="R390" t="inlineStr">
        <is>
          <t>xxu</t>
        </is>
      </c>
      <c r="T390" t="inlineStr">
        <is>
          <t xml:space="preserve">QV </t>
        </is>
      </c>
      <c r="U390" t="n">
        <v>4</v>
      </c>
      <c r="V390" t="n">
        <v>11</v>
      </c>
      <c r="W390" t="inlineStr">
        <is>
          <t>2007-12-04</t>
        </is>
      </c>
      <c r="X390" t="inlineStr">
        <is>
          <t>2007-12-04</t>
        </is>
      </c>
      <c r="Y390" t="inlineStr">
        <is>
          <t>1988-02-09</t>
        </is>
      </c>
      <c r="Z390" t="inlineStr">
        <is>
          <t>1988-02-09</t>
        </is>
      </c>
      <c r="AA390" t="n">
        <v>128</v>
      </c>
      <c r="AB390" t="n">
        <v>102</v>
      </c>
      <c r="AC390" t="n">
        <v>104</v>
      </c>
      <c r="AD390" t="n">
        <v>1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inlineStr">
        <is>
          <t>No</t>
        </is>
      </c>
      <c r="AS390" t="inlineStr">
        <is>
          <t>Yes</t>
        </is>
      </c>
      <c r="AT390">
        <f>HYPERLINK("http://catalog.hathitrust.org/Record/000580163","HathiTrust Record")</f>
        <v/>
      </c>
      <c r="AU390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V390">
        <f>HYPERLINK("http://www.worldcat.org/oclc/11113868","WorldCat Record")</f>
        <v/>
      </c>
      <c r="AW390" t="inlineStr">
        <is>
          <t>2868113802:eng</t>
        </is>
      </c>
      <c r="AX390" t="inlineStr">
        <is>
          <t>11113868</t>
        </is>
      </c>
      <c r="AY390" t="inlineStr">
        <is>
          <t>991000960139702656</t>
        </is>
      </c>
      <c r="AZ390" t="inlineStr">
        <is>
          <t>991000960139702656</t>
        </is>
      </c>
      <c r="BA390" t="inlineStr">
        <is>
          <t>2261589690002656</t>
        </is>
      </c>
      <c r="BB390" t="inlineStr">
        <is>
          <t>BOOK</t>
        </is>
      </c>
      <c r="BD390" t="inlineStr">
        <is>
          <t>9780849362309</t>
        </is>
      </c>
      <c r="BE390" t="inlineStr">
        <is>
          <t>30001000196990</t>
        </is>
      </c>
      <c r="BF390" t="inlineStr">
        <is>
          <t>893358047</t>
        </is>
      </c>
    </row>
    <row r="391">
      <c r="B391" t="inlineStr">
        <is>
          <t>CUHSL</t>
        </is>
      </c>
      <c r="C391" t="inlineStr">
        <is>
          <t>SHELVES</t>
        </is>
      </c>
      <c r="D391" t="inlineStr">
        <is>
          <t>QV 250 A631 1980</t>
        </is>
      </c>
      <c r="E391" t="inlineStr">
        <is>
          <t>0                      QV 0250000A  631         1980</t>
        </is>
      </c>
      <c r="F391" t="inlineStr">
        <is>
          <t>Antimicrobial therapy / [edited by] Benjamin M. Kagan ; with contributions by 70 authorities.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N391" t="inlineStr">
        <is>
          <t>Philadelphia : Saunders, 1980.</t>
        </is>
      </c>
      <c r="O391" t="inlineStr">
        <is>
          <t>1980</t>
        </is>
      </c>
      <c r="P391" t="inlineStr">
        <is>
          <t>3d ed.</t>
        </is>
      </c>
      <c r="Q391" t="inlineStr">
        <is>
          <t>eng</t>
        </is>
      </c>
      <c r="R391" t="inlineStr">
        <is>
          <t>xxu</t>
        </is>
      </c>
      <c r="T391" t="inlineStr">
        <is>
          <t xml:space="preserve">QV </t>
        </is>
      </c>
      <c r="U391" t="n">
        <v>1</v>
      </c>
      <c r="V391" t="n">
        <v>1</v>
      </c>
      <c r="W391" t="inlineStr">
        <is>
          <t>1997-10-28</t>
        </is>
      </c>
      <c r="X391" t="inlineStr">
        <is>
          <t>1997-10-28</t>
        </is>
      </c>
      <c r="Y391" t="inlineStr">
        <is>
          <t>1987-09-28</t>
        </is>
      </c>
      <c r="Z391" t="inlineStr">
        <is>
          <t>1987-09-28</t>
        </is>
      </c>
      <c r="AA391" t="n">
        <v>215</v>
      </c>
      <c r="AB391" t="n">
        <v>164</v>
      </c>
      <c r="AC391" t="n">
        <v>257</v>
      </c>
      <c r="AD391" t="n">
        <v>1</v>
      </c>
      <c r="AE391" t="n">
        <v>3</v>
      </c>
      <c r="AF391" t="n">
        <v>0</v>
      </c>
      <c r="AG391" t="n">
        <v>5</v>
      </c>
      <c r="AH391" t="n">
        <v>0</v>
      </c>
      <c r="AI391" t="n">
        <v>1</v>
      </c>
      <c r="AJ391" t="n">
        <v>0</v>
      </c>
      <c r="AK391" t="n">
        <v>1</v>
      </c>
      <c r="AL391" t="n">
        <v>0</v>
      </c>
      <c r="AM391" t="n">
        <v>1</v>
      </c>
      <c r="AN391" t="n">
        <v>0</v>
      </c>
      <c r="AO391" t="n">
        <v>2</v>
      </c>
      <c r="AP391" t="n">
        <v>0</v>
      </c>
      <c r="AQ391" t="n">
        <v>0</v>
      </c>
      <c r="AR391" t="inlineStr">
        <is>
          <t>No</t>
        </is>
      </c>
      <c r="AS391" t="inlineStr">
        <is>
          <t>Yes</t>
        </is>
      </c>
      <c r="AT391">
        <f>HYPERLINK("http://catalog.hathitrust.org/Record/000138675","HathiTrust Record")</f>
        <v/>
      </c>
      <c r="AU391">
        <f>HYPERLINK("https://creighton-primo.hosted.exlibrisgroup.com/primo-explore/search?tab=default_tab&amp;search_scope=EVERYTHING&amp;vid=01CRU&amp;lang=en_US&amp;offset=0&amp;query=any,contains,991000748029702656","Catalog Record")</f>
        <v/>
      </c>
      <c r="AV391">
        <f>HYPERLINK("http://www.worldcat.org/oclc/6197170","WorldCat Record")</f>
        <v/>
      </c>
      <c r="AW391" t="inlineStr">
        <is>
          <t>1228588:eng</t>
        </is>
      </c>
      <c r="AX391" t="inlineStr">
        <is>
          <t>6197170</t>
        </is>
      </c>
      <c r="AY391" t="inlineStr">
        <is>
          <t>991000748029702656</t>
        </is>
      </c>
      <c r="AZ391" t="inlineStr">
        <is>
          <t>991000748029702656</t>
        </is>
      </c>
      <c r="BA391" t="inlineStr">
        <is>
          <t>2257059270002656</t>
        </is>
      </c>
      <c r="BB391" t="inlineStr">
        <is>
          <t>BOOK</t>
        </is>
      </c>
      <c r="BD391" t="inlineStr">
        <is>
          <t>9780721652344</t>
        </is>
      </c>
      <c r="BE391" t="inlineStr">
        <is>
          <t>30001000046492</t>
        </is>
      </c>
      <c r="BF391" t="inlineStr">
        <is>
          <t>893831142</t>
        </is>
      </c>
    </row>
    <row r="392">
      <c r="B392" t="inlineStr">
        <is>
          <t>CUHSL</t>
        </is>
      </c>
      <c r="C392" t="inlineStr">
        <is>
          <t>SHELVES</t>
        </is>
      </c>
      <c r="D392" t="inlineStr">
        <is>
          <t>QV 250 N532 1990</t>
        </is>
      </c>
      <c r="E392" t="inlineStr">
        <is>
          <t>0                      QV 0250000N  532         1990</t>
        </is>
      </c>
      <c r="F392" t="inlineStr">
        <is>
          <t>The New generation of quinolones / edited by Clifford Siporin, Carl L. Heifetz, John M. Domagala.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N392" t="inlineStr">
        <is>
          <t>New York : M. Dekker, c1990.</t>
        </is>
      </c>
      <c r="O392" t="inlineStr">
        <is>
          <t>1990</t>
        </is>
      </c>
      <c r="Q392" t="inlineStr">
        <is>
          <t>eng</t>
        </is>
      </c>
      <c r="R392" t="inlineStr">
        <is>
          <t>xxu</t>
        </is>
      </c>
      <c r="S392" t="inlineStr">
        <is>
          <t>Infectious disease and therapy ; v. 5</t>
        </is>
      </c>
      <c r="T392" t="inlineStr">
        <is>
          <t xml:space="preserve">QV </t>
        </is>
      </c>
      <c r="U392" t="n">
        <v>6</v>
      </c>
      <c r="V392" t="n">
        <v>6</v>
      </c>
      <c r="W392" t="inlineStr">
        <is>
          <t>1996-03-28</t>
        </is>
      </c>
      <c r="X392" t="inlineStr">
        <is>
          <t>1996-03-28</t>
        </is>
      </c>
      <c r="Y392" t="inlineStr">
        <is>
          <t>1991-01-24</t>
        </is>
      </c>
      <c r="Z392" t="inlineStr">
        <is>
          <t>1991-01-24</t>
        </is>
      </c>
      <c r="AA392" t="n">
        <v>84</v>
      </c>
      <c r="AB392" t="n">
        <v>59</v>
      </c>
      <c r="AC392" t="n">
        <v>59</v>
      </c>
      <c r="AD392" t="n">
        <v>1</v>
      </c>
      <c r="AE392" t="n">
        <v>1</v>
      </c>
      <c r="AF392" t="n">
        <v>2</v>
      </c>
      <c r="AG392" t="n">
        <v>2</v>
      </c>
      <c r="AH392" t="n">
        <v>2</v>
      </c>
      <c r="AI392" t="n">
        <v>2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inlineStr">
        <is>
          <t>No</t>
        </is>
      </c>
      <c r="AS392" t="inlineStr">
        <is>
          <t>No</t>
        </is>
      </c>
      <c r="AU392">
        <f>HYPERLINK("https://creighton-primo.hosted.exlibrisgroup.com/primo-explore/search?tab=default_tab&amp;search_scope=EVERYTHING&amp;vid=01CRU&amp;lang=en_US&amp;offset=0&amp;query=any,contains,991000815879702656","Catalog Record")</f>
        <v/>
      </c>
      <c r="AV392">
        <f>HYPERLINK("http://www.worldcat.org/oclc/21909906","WorldCat Record")</f>
        <v/>
      </c>
      <c r="AW392" t="inlineStr">
        <is>
          <t>366288242:eng</t>
        </is>
      </c>
      <c r="AX392" t="inlineStr">
        <is>
          <t>21909906</t>
        </is>
      </c>
      <c r="AY392" t="inlineStr">
        <is>
          <t>991000815879702656</t>
        </is>
      </c>
      <c r="AZ392" t="inlineStr">
        <is>
          <t>991000815879702656</t>
        </is>
      </c>
      <c r="BA392" t="inlineStr">
        <is>
          <t>2257260000002656</t>
        </is>
      </c>
      <c r="BB392" t="inlineStr">
        <is>
          <t>BOOK</t>
        </is>
      </c>
      <c r="BD392" t="inlineStr">
        <is>
          <t>9780824782245</t>
        </is>
      </c>
      <c r="BE392" t="inlineStr">
        <is>
          <t>30001002086306</t>
        </is>
      </c>
      <c r="BF392" t="inlineStr">
        <is>
          <t>893551773</t>
        </is>
      </c>
    </row>
    <row r="393">
      <c r="B393" t="inlineStr">
        <is>
          <t>CUHSL</t>
        </is>
      </c>
      <c r="C393" t="inlineStr">
        <is>
          <t>SHELVES</t>
        </is>
      </c>
      <c r="D393" t="inlineStr">
        <is>
          <t>QV 250 N5324 1993</t>
        </is>
      </c>
      <c r="E393" t="inlineStr">
        <is>
          <t>0                      QV 0250000N  5324        1993</t>
        </is>
      </c>
      <c r="F393" t="inlineStr">
        <is>
          <t>The New macrolides, azalides, and streptogramins : pharmacology and clinical applications / edited by Harold C. Neu, Lowell S. Young, Stephen H. Zinner.</t>
        </is>
      </c>
      <c r="H393" t="inlineStr">
        <is>
          <t>No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N393" t="inlineStr">
        <is>
          <t>New York : M. Dekker, c1993.</t>
        </is>
      </c>
      <c r="O393" t="inlineStr">
        <is>
          <t>1993</t>
        </is>
      </c>
      <c r="Q393" t="inlineStr">
        <is>
          <t>eng</t>
        </is>
      </c>
      <c r="R393" t="inlineStr">
        <is>
          <t>nyu</t>
        </is>
      </c>
      <c r="S393" t="inlineStr">
        <is>
          <t>Infectious disease and therapy ; v. 8</t>
        </is>
      </c>
      <c r="T393" t="inlineStr">
        <is>
          <t xml:space="preserve">QV </t>
        </is>
      </c>
      <c r="U393" t="n">
        <v>5</v>
      </c>
      <c r="V393" t="n">
        <v>5</v>
      </c>
      <c r="W393" t="inlineStr">
        <is>
          <t>2006-09-30</t>
        </is>
      </c>
      <c r="X393" t="inlineStr">
        <is>
          <t>2006-09-30</t>
        </is>
      </c>
      <c r="Y393" t="inlineStr">
        <is>
          <t>1993-08-31</t>
        </is>
      </c>
      <c r="Z393" t="inlineStr">
        <is>
          <t>1993-08-31</t>
        </is>
      </c>
      <c r="AA393" t="n">
        <v>69</v>
      </c>
      <c r="AB393" t="n">
        <v>51</v>
      </c>
      <c r="AC393" t="n">
        <v>51</v>
      </c>
      <c r="AD393" t="n">
        <v>1</v>
      </c>
      <c r="AE393" t="n">
        <v>1</v>
      </c>
      <c r="AF393" t="n">
        <v>1</v>
      </c>
      <c r="AG393" t="n">
        <v>1</v>
      </c>
      <c r="AH393" t="n">
        <v>0</v>
      </c>
      <c r="AI393" t="n">
        <v>0</v>
      </c>
      <c r="AJ393" t="n">
        <v>1</v>
      </c>
      <c r="AK393" t="n">
        <v>1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inlineStr">
        <is>
          <t>No</t>
        </is>
      </c>
      <c r="AS393" t="inlineStr">
        <is>
          <t>No</t>
        </is>
      </c>
      <c r="AU393">
        <f>HYPERLINK("https://creighton-primo.hosted.exlibrisgroup.com/primo-explore/search?tab=default_tab&amp;search_scope=EVERYTHING&amp;vid=01CRU&amp;lang=en_US&amp;offset=0&amp;query=any,contains,991001511019702656","Catalog Record")</f>
        <v/>
      </c>
      <c r="AV393">
        <f>HYPERLINK("http://www.worldcat.org/oclc/27173247","WorldCat Record")</f>
        <v/>
      </c>
      <c r="AW393" t="inlineStr">
        <is>
          <t>795705087:eng</t>
        </is>
      </c>
      <c r="AX393" t="inlineStr">
        <is>
          <t>27173247</t>
        </is>
      </c>
      <c r="AY393" t="inlineStr">
        <is>
          <t>991001511019702656</t>
        </is>
      </c>
      <c r="AZ393" t="inlineStr">
        <is>
          <t>991001511019702656</t>
        </is>
      </c>
      <c r="BA393" t="inlineStr">
        <is>
          <t>2267399780002656</t>
        </is>
      </c>
      <c r="BB393" t="inlineStr">
        <is>
          <t>BOOK</t>
        </is>
      </c>
      <c r="BD393" t="inlineStr">
        <is>
          <t>9780824790387</t>
        </is>
      </c>
      <c r="BE393" t="inlineStr">
        <is>
          <t>30001002600809</t>
        </is>
      </c>
      <c r="BF393" t="inlineStr">
        <is>
          <t>893451285</t>
        </is>
      </c>
    </row>
    <row r="394">
      <c r="B394" t="inlineStr">
        <is>
          <t>CUHSL</t>
        </is>
      </c>
      <c r="C394" t="inlineStr">
        <is>
          <t>SHELVES</t>
        </is>
      </c>
      <c r="D394" t="inlineStr">
        <is>
          <t>QV 250 P888c 1946</t>
        </is>
      </c>
      <c r="E394" t="inlineStr">
        <is>
          <t>0                      QV 0250000P  888c        1946</t>
        </is>
      </c>
      <c r="F394" t="inlineStr">
        <is>
          <t>Chemotherapy / edited by Wendell H. Powers.</t>
        </is>
      </c>
      <c r="H394" t="inlineStr">
        <is>
          <t>No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N394" t="inlineStr">
        <is>
          <t>New York : Reinhold, 1946.</t>
        </is>
      </c>
      <c r="O394" t="inlineStr">
        <is>
          <t>1946</t>
        </is>
      </c>
      <c r="Q394" t="inlineStr">
        <is>
          <t>eng</t>
        </is>
      </c>
      <c r="R394" t="inlineStr">
        <is>
          <t>nyu</t>
        </is>
      </c>
      <c r="S394" t="inlineStr">
        <is>
          <t>Advancing fronts in chemistry ; vol. 2</t>
        </is>
      </c>
      <c r="T394" t="inlineStr">
        <is>
          <t xml:space="preserve">QV </t>
        </is>
      </c>
      <c r="U394" t="n">
        <v>2</v>
      </c>
      <c r="V394" t="n">
        <v>2</v>
      </c>
      <c r="W394" t="inlineStr">
        <is>
          <t>1999-01-25</t>
        </is>
      </c>
      <c r="X394" t="inlineStr">
        <is>
          <t>1999-01-25</t>
        </is>
      </c>
      <c r="Y394" t="inlineStr">
        <is>
          <t>1988-03-24</t>
        </is>
      </c>
      <c r="Z394" t="inlineStr">
        <is>
          <t>1988-03-24</t>
        </is>
      </c>
      <c r="AA394" t="n">
        <v>30</v>
      </c>
      <c r="AB394" t="n">
        <v>17</v>
      </c>
      <c r="AC394" t="n">
        <v>19</v>
      </c>
      <c r="AD394" t="n">
        <v>1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0</v>
      </c>
      <c r="AM394" t="n">
        <v>0</v>
      </c>
      <c r="AN394" t="n">
        <v>0</v>
      </c>
      <c r="AO394" t="n">
        <v>0</v>
      </c>
      <c r="AP394" t="n">
        <v>0</v>
      </c>
      <c r="AQ394" t="n">
        <v>0</v>
      </c>
      <c r="AR394" t="inlineStr">
        <is>
          <t>No</t>
        </is>
      </c>
      <c r="AS394" t="inlineStr">
        <is>
          <t>No</t>
        </is>
      </c>
      <c r="AT394">
        <f>HYPERLINK("http://catalog.hathitrust.org/Record/002074937","HathiTrust Record")</f>
        <v/>
      </c>
      <c r="AU394">
        <f>HYPERLINK("https://creighton-primo.hosted.exlibrisgroup.com/primo-explore/search?tab=default_tab&amp;search_scope=EVERYTHING&amp;vid=01CRU&amp;lang=en_US&amp;offset=0&amp;query=any,contains,991000960579702656","Catalog Record")</f>
        <v/>
      </c>
      <c r="AV394">
        <f>HYPERLINK("http://www.worldcat.org/oclc/14728800","WorldCat Record")</f>
        <v/>
      </c>
      <c r="AW394" t="inlineStr">
        <is>
          <t>8803783:eng</t>
        </is>
      </c>
      <c r="AX394" t="inlineStr">
        <is>
          <t>14728800</t>
        </is>
      </c>
      <c r="AY394" t="inlineStr">
        <is>
          <t>991000960579702656</t>
        </is>
      </c>
      <c r="AZ394" t="inlineStr">
        <is>
          <t>991000960579702656</t>
        </is>
      </c>
      <c r="BA394" t="inlineStr">
        <is>
          <t>2261275920002656</t>
        </is>
      </c>
      <c r="BB394" t="inlineStr">
        <is>
          <t>BOOK</t>
        </is>
      </c>
      <c r="BE394" t="inlineStr">
        <is>
          <t>30001000197287</t>
        </is>
      </c>
      <c r="BF394" t="inlineStr">
        <is>
          <t>893161569</t>
        </is>
      </c>
    </row>
    <row r="395">
      <c r="B395" t="inlineStr">
        <is>
          <t>CUHSL</t>
        </is>
      </c>
      <c r="C395" t="inlineStr">
        <is>
          <t>SHELVES</t>
        </is>
      </c>
      <c r="D395" t="inlineStr">
        <is>
          <t>QV 250 P917a 1986</t>
        </is>
      </c>
      <c r="E395" t="inlineStr">
        <is>
          <t>0                      QV 0250000P  917a        1986</t>
        </is>
      </c>
      <c r="F395" t="inlineStr">
        <is>
          <t>The antimicrobial drugs / William B. Pratt, Robert Fekety.</t>
        </is>
      </c>
      <c r="H395" t="inlineStr">
        <is>
          <t>No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1</t>
        </is>
      </c>
      <c r="M395" t="inlineStr">
        <is>
          <t>Pratt, William B., 1938-</t>
        </is>
      </c>
      <c r="N395" t="inlineStr">
        <is>
          <t>New York : Oxford University Press, c1986.</t>
        </is>
      </c>
      <c r="O395" t="inlineStr">
        <is>
          <t>1986</t>
        </is>
      </c>
      <c r="Q395" t="inlineStr">
        <is>
          <t>eng</t>
        </is>
      </c>
      <c r="R395" t="inlineStr">
        <is>
          <t>xxu</t>
        </is>
      </c>
      <c r="T395" t="inlineStr">
        <is>
          <t xml:space="preserve">QV </t>
        </is>
      </c>
      <c r="U395" t="n">
        <v>4</v>
      </c>
      <c r="V395" t="n">
        <v>4</v>
      </c>
      <c r="W395" t="inlineStr">
        <is>
          <t>1994-02-28</t>
        </is>
      </c>
      <c r="X395" t="inlineStr">
        <is>
          <t>1994-02-28</t>
        </is>
      </c>
      <c r="Y395" t="inlineStr">
        <is>
          <t>1988-08-30</t>
        </is>
      </c>
      <c r="Z395" t="inlineStr">
        <is>
          <t>1988-08-30</t>
        </is>
      </c>
      <c r="AA395" t="n">
        <v>200</v>
      </c>
      <c r="AB395" t="n">
        <v>133</v>
      </c>
      <c r="AC395" t="n">
        <v>880</v>
      </c>
      <c r="AD395" t="n">
        <v>1</v>
      </c>
      <c r="AE395" t="n">
        <v>15</v>
      </c>
      <c r="AF395" t="n">
        <v>3</v>
      </c>
      <c r="AG395" t="n">
        <v>34</v>
      </c>
      <c r="AH395" t="n">
        <v>0</v>
      </c>
      <c r="AI395" t="n">
        <v>8</v>
      </c>
      <c r="AJ395" t="n">
        <v>1</v>
      </c>
      <c r="AK395" t="n">
        <v>7</v>
      </c>
      <c r="AL395" t="n">
        <v>2</v>
      </c>
      <c r="AM395" t="n">
        <v>9</v>
      </c>
      <c r="AN395" t="n">
        <v>0</v>
      </c>
      <c r="AO395" t="n">
        <v>13</v>
      </c>
      <c r="AP395" t="n">
        <v>0</v>
      </c>
      <c r="AQ395" t="n">
        <v>1</v>
      </c>
      <c r="AR395" t="inlineStr">
        <is>
          <t>No</t>
        </is>
      </c>
      <c r="AS395" t="inlineStr">
        <is>
          <t>Yes</t>
        </is>
      </c>
      <c r="AT395">
        <f>HYPERLINK("http://catalog.hathitrust.org/Record/000426794","HathiTrust Record")</f>
        <v/>
      </c>
      <c r="AU395">
        <f>HYPERLINK("https://creighton-primo.hosted.exlibrisgroup.com/primo-explore/search?tab=default_tab&amp;search_scope=EVERYTHING&amp;vid=01CRU&amp;lang=en_US&amp;offset=0&amp;query=any,contains,991001423329702656","Catalog Record")</f>
        <v/>
      </c>
      <c r="AV395">
        <f>HYPERLINK("http://www.worldcat.org/oclc/11649516","WorldCat Record")</f>
        <v/>
      </c>
      <c r="AW395" t="inlineStr">
        <is>
          <t>14388887:eng</t>
        </is>
      </c>
      <c r="AX395" t="inlineStr">
        <is>
          <t>11649516</t>
        </is>
      </c>
      <c r="AY395" t="inlineStr">
        <is>
          <t>991001423329702656</t>
        </is>
      </c>
      <c r="AZ395" t="inlineStr">
        <is>
          <t>991001423329702656</t>
        </is>
      </c>
      <c r="BA395" t="inlineStr">
        <is>
          <t>2269145070002656</t>
        </is>
      </c>
      <c r="BB395" t="inlineStr">
        <is>
          <t>BOOK</t>
        </is>
      </c>
      <c r="BD395" t="inlineStr">
        <is>
          <t>9780195035605</t>
        </is>
      </c>
      <c r="BE395" t="inlineStr">
        <is>
          <t>30001001183088</t>
        </is>
      </c>
      <c r="BF395" t="inlineStr">
        <is>
          <t>893643563</t>
        </is>
      </c>
    </row>
    <row r="396">
      <c r="B396" t="inlineStr">
        <is>
          <t>CUHSL</t>
        </is>
      </c>
      <c r="C396" t="inlineStr">
        <is>
          <t>SHELVES</t>
        </is>
      </c>
      <c r="D396" t="inlineStr">
        <is>
          <t>QV 250 Q68 1998</t>
        </is>
      </c>
      <c r="E396" t="inlineStr">
        <is>
          <t>0                      QV 0250000Q  68          1998</t>
        </is>
      </c>
      <c r="F396" t="inlineStr">
        <is>
          <t>The quinolones / edited by Vincent T. Andriole.</t>
        </is>
      </c>
      <c r="H396" t="inlineStr">
        <is>
          <t>No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N396" t="inlineStr">
        <is>
          <t>San Diego : Academic Press, c1998.</t>
        </is>
      </c>
      <c r="O396" t="inlineStr">
        <is>
          <t>1998</t>
        </is>
      </c>
      <c r="P396" t="inlineStr">
        <is>
          <t>2nd ed.</t>
        </is>
      </c>
      <c r="Q396" t="inlineStr">
        <is>
          <t>eng</t>
        </is>
      </c>
      <c r="R396" t="inlineStr">
        <is>
          <t>cau</t>
        </is>
      </c>
      <c r="T396" t="inlineStr">
        <is>
          <t xml:space="preserve">QV </t>
        </is>
      </c>
      <c r="U396" t="n">
        <v>1</v>
      </c>
      <c r="V396" t="n">
        <v>1</v>
      </c>
      <c r="W396" t="inlineStr">
        <is>
          <t>2010-02-19</t>
        </is>
      </c>
      <c r="X396" t="inlineStr">
        <is>
          <t>2010-02-19</t>
        </is>
      </c>
      <c r="Y396" t="inlineStr">
        <is>
          <t>1999-07-23</t>
        </is>
      </c>
      <c r="Z396" t="inlineStr">
        <is>
          <t>1999-07-23</t>
        </is>
      </c>
      <c r="AA396" t="n">
        <v>120</v>
      </c>
      <c r="AB396" t="n">
        <v>88</v>
      </c>
      <c r="AC396" t="n">
        <v>256</v>
      </c>
      <c r="AD396" t="n">
        <v>1</v>
      </c>
      <c r="AE396" t="n">
        <v>1</v>
      </c>
      <c r="AF396" t="n">
        <v>1</v>
      </c>
      <c r="AG396" t="n">
        <v>8</v>
      </c>
      <c r="AH396" t="n">
        <v>0</v>
      </c>
      <c r="AI396" t="n">
        <v>4</v>
      </c>
      <c r="AJ396" t="n">
        <v>1</v>
      </c>
      <c r="AK396" t="n">
        <v>4</v>
      </c>
      <c r="AL396" t="n">
        <v>0</v>
      </c>
      <c r="AM396" t="n">
        <v>1</v>
      </c>
      <c r="AN396" t="n">
        <v>0</v>
      </c>
      <c r="AO396" t="n">
        <v>0</v>
      </c>
      <c r="AP396" t="n">
        <v>0</v>
      </c>
      <c r="AQ396" t="n">
        <v>0</v>
      </c>
      <c r="AR396" t="inlineStr">
        <is>
          <t>No</t>
        </is>
      </c>
      <c r="AS396" t="inlineStr">
        <is>
          <t>Yes</t>
        </is>
      </c>
      <c r="AT396">
        <f>HYPERLINK("http://catalog.hathitrust.org/Record/003252836","HathiTrust Record")</f>
        <v/>
      </c>
      <c r="AU396">
        <f>HYPERLINK("https://creighton-primo.hosted.exlibrisgroup.com/primo-explore/search?tab=default_tab&amp;search_scope=EVERYTHING&amp;vid=01CRU&amp;lang=en_US&amp;offset=0&amp;query=any,contains,991001565419702656","Catalog Record")</f>
        <v/>
      </c>
      <c r="AV396">
        <f>HYPERLINK("http://www.worldcat.org/oclc/38750587","WorldCat Record")</f>
        <v/>
      </c>
      <c r="AW396" t="inlineStr">
        <is>
          <t>4920759234:eng</t>
        </is>
      </c>
      <c r="AX396" t="inlineStr">
        <is>
          <t>38750587</t>
        </is>
      </c>
      <c r="AY396" t="inlineStr">
        <is>
          <t>991001565419702656</t>
        </is>
      </c>
      <c r="AZ396" t="inlineStr">
        <is>
          <t>991001565419702656</t>
        </is>
      </c>
      <c r="BA396" t="inlineStr">
        <is>
          <t>2271881250002656</t>
        </is>
      </c>
      <c r="BB396" t="inlineStr">
        <is>
          <t>BOOK</t>
        </is>
      </c>
      <c r="BD396" t="inlineStr">
        <is>
          <t>9780120595143</t>
        </is>
      </c>
      <c r="BE396" t="inlineStr">
        <is>
          <t>30001004010494</t>
        </is>
      </c>
      <c r="BF396" t="inlineStr">
        <is>
          <t>893268651</t>
        </is>
      </c>
    </row>
    <row r="397">
      <c r="B397" t="inlineStr">
        <is>
          <t>CUHSL</t>
        </is>
      </c>
      <c r="C397" t="inlineStr">
        <is>
          <t>SHELVES</t>
        </is>
      </c>
      <c r="D397" t="inlineStr">
        <is>
          <t>QV 250 S713a 1992</t>
        </is>
      </c>
      <c r="E397" t="inlineStr">
        <is>
          <t>0                      QV 0250000S  713a        1992</t>
        </is>
      </c>
      <c r="F397" t="inlineStr">
        <is>
          <t>Antimicrobial agents teaching module / Alfred F. Sorbello.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M397" t="inlineStr">
        <is>
          <t>Sorbello, Alfred F.</t>
        </is>
      </c>
      <c r="N397" t="inlineStr">
        <is>
          <t>Chapel Hill, NC : Health Sciences Consortium, c1992.</t>
        </is>
      </c>
      <c r="O397" t="inlineStr">
        <is>
          <t>1992</t>
        </is>
      </c>
      <c r="Q397" t="inlineStr">
        <is>
          <t>eng</t>
        </is>
      </c>
      <c r="R397" t="inlineStr">
        <is>
          <t>ncu</t>
        </is>
      </c>
      <c r="T397" t="inlineStr">
        <is>
          <t xml:space="preserve">QV </t>
        </is>
      </c>
      <c r="U397" t="n">
        <v>3</v>
      </c>
      <c r="V397" t="n">
        <v>3</v>
      </c>
      <c r="W397" t="inlineStr">
        <is>
          <t>1994-11-30</t>
        </is>
      </c>
      <c r="X397" t="inlineStr">
        <is>
          <t>1994-11-30</t>
        </is>
      </c>
      <c r="Y397" t="inlineStr">
        <is>
          <t>1994-11-22</t>
        </is>
      </c>
      <c r="Z397" t="inlineStr">
        <is>
          <t>1994-11-22</t>
        </is>
      </c>
      <c r="AA397" t="n">
        <v>4</v>
      </c>
      <c r="AB397" t="n">
        <v>4</v>
      </c>
      <c r="AC397" t="n">
        <v>4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n">
        <v>0</v>
      </c>
      <c r="AQ397" t="n">
        <v>0</v>
      </c>
      <c r="AR397" t="inlineStr">
        <is>
          <t>No</t>
        </is>
      </c>
      <c r="AS397" t="inlineStr">
        <is>
          <t>No</t>
        </is>
      </c>
      <c r="AU397">
        <f>HYPERLINK("https://creighton-primo.hosted.exlibrisgroup.com/primo-explore/search?tab=default_tab&amp;search_scope=EVERYTHING&amp;vid=01CRU&amp;lang=en_US&amp;offset=0&amp;query=any,contains,991000275539702656","Catalog Record")</f>
        <v/>
      </c>
      <c r="AV397">
        <f>HYPERLINK("http://www.worldcat.org/oclc/32297708","WorldCat Record")</f>
        <v/>
      </c>
      <c r="AW397" t="inlineStr">
        <is>
          <t>37015070:eng</t>
        </is>
      </c>
      <c r="AX397" t="inlineStr">
        <is>
          <t>32297708</t>
        </is>
      </c>
      <c r="AY397" t="inlineStr">
        <is>
          <t>991000275539702656</t>
        </is>
      </c>
      <c r="AZ397" t="inlineStr">
        <is>
          <t>991000275539702656</t>
        </is>
      </c>
      <c r="BA397" t="inlineStr">
        <is>
          <t>2272409490002656</t>
        </is>
      </c>
      <c r="BB397" t="inlineStr">
        <is>
          <t>BOOK</t>
        </is>
      </c>
      <c r="BE397" t="inlineStr">
        <is>
          <t>30001002697565</t>
        </is>
      </c>
      <c r="BF397" t="inlineStr">
        <is>
          <t>893264058</t>
        </is>
      </c>
    </row>
    <row r="398">
      <c r="B398" t="inlineStr">
        <is>
          <t>CUHSL</t>
        </is>
      </c>
      <c r="C398" t="inlineStr">
        <is>
          <t>SHELVES</t>
        </is>
      </c>
      <c r="D398" t="inlineStr">
        <is>
          <t>QV268.5 A139a 1988</t>
        </is>
      </c>
      <c r="E398" t="inlineStr">
        <is>
          <t>0                      QV 0268500A  139a        1988</t>
        </is>
      </c>
      <c r="F398" t="inlineStr">
        <is>
          <t>Anti varicella-zoster activity of 2HM-HBG, a new acyclic guanosin analog / by Gunnar Abele.</t>
        </is>
      </c>
      <c r="H398" t="inlineStr">
        <is>
          <t>No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Abele, Gunnar.</t>
        </is>
      </c>
      <c r="N398" t="inlineStr">
        <is>
          <t>Stockholm : Kongl. Carolinska Medico Chirurgiska Institutet, c1988.</t>
        </is>
      </c>
      <c r="O398" t="inlineStr">
        <is>
          <t>1988</t>
        </is>
      </c>
      <c r="Q398" t="inlineStr">
        <is>
          <t>eng</t>
        </is>
      </c>
      <c r="R398" t="inlineStr">
        <is>
          <t xml:space="preserve">sw </t>
        </is>
      </c>
      <c r="T398" t="inlineStr">
        <is>
          <t xml:space="preserve">QV </t>
        </is>
      </c>
      <c r="U398" t="n">
        <v>0</v>
      </c>
      <c r="V398" t="n">
        <v>0</v>
      </c>
      <c r="W398" t="inlineStr">
        <is>
          <t>2002-04-25</t>
        </is>
      </c>
      <c r="X398" t="inlineStr">
        <is>
          <t>2002-04-25</t>
        </is>
      </c>
      <c r="Y398" t="inlineStr">
        <is>
          <t>1989-05-13</t>
        </is>
      </c>
      <c r="Z398" t="inlineStr">
        <is>
          <t>1989-05-13</t>
        </is>
      </c>
      <c r="AA398" t="n">
        <v>12</v>
      </c>
      <c r="AB398" t="n">
        <v>9</v>
      </c>
      <c r="AC398" t="n">
        <v>11</v>
      </c>
      <c r="AD398" t="n">
        <v>1</v>
      </c>
      <c r="AE398" t="n">
        <v>1</v>
      </c>
      <c r="AF398" t="n">
        <v>1</v>
      </c>
      <c r="AG398" t="n">
        <v>1</v>
      </c>
      <c r="AH398" t="n">
        <v>0</v>
      </c>
      <c r="AI398" t="n">
        <v>0</v>
      </c>
      <c r="AJ398" t="n">
        <v>0</v>
      </c>
      <c r="AK398" t="n">
        <v>0</v>
      </c>
      <c r="AL398" t="n">
        <v>1</v>
      </c>
      <c r="AM398" t="n">
        <v>1</v>
      </c>
      <c r="AN398" t="n">
        <v>0</v>
      </c>
      <c r="AO398" t="n">
        <v>0</v>
      </c>
      <c r="AP398" t="n">
        <v>0</v>
      </c>
      <c r="AQ398" t="n">
        <v>0</v>
      </c>
      <c r="AR398" t="inlineStr">
        <is>
          <t>No</t>
        </is>
      </c>
      <c r="AS398" t="inlineStr">
        <is>
          <t>Yes</t>
        </is>
      </c>
      <c r="AT398">
        <f>HYPERLINK("http://catalog.hathitrust.org/Record/003950017","HathiTrust Record")</f>
        <v/>
      </c>
      <c r="AU398">
        <f>HYPERLINK("https://creighton-primo.hosted.exlibrisgroup.com/primo-explore/search?tab=default_tab&amp;search_scope=EVERYTHING&amp;vid=01CRU&amp;lang=en_US&amp;offset=0&amp;query=any,contains,991001244329702656","Catalog Record")</f>
        <v/>
      </c>
      <c r="AV398">
        <f>HYPERLINK("http://www.worldcat.org/oclc/19412466","WorldCat Record")</f>
        <v/>
      </c>
      <c r="AW398" t="inlineStr">
        <is>
          <t>3863765336:eng</t>
        </is>
      </c>
      <c r="AX398" t="inlineStr">
        <is>
          <t>19412466</t>
        </is>
      </c>
      <c r="AY398" t="inlineStr">
        <is>
          <t>991001244329702656</t>
        </is>
      </c>
      <c r="AZ398" t="inlineStr">
        <is>
          <t>991001244329702656</t>
        </is>
      </c>
      <c r="BA398" t="inlineStr">
        <is>
          <t>2271273880002656</t>
        </is>
      </c>
      <c r="BB398" t="inlineStr">
        <is>
          <t>BOOK</t>
        </is>
      </c>
      <c r="BD398" t="inlineStr">
        <is>
          <t>9789179006013</t>
        </is>
      </c>
      <c r="BE398" t="inlineStr">
        <is>
          <t>30001001676610</t>
        </is>
      </c>
      <c r="BF398" t="inlineStr">
        <is>
          <t>893121298</t>
        </is>
      </c>
    </row>
    <row r="399">
      <c r="B399" t="inlineStr">
        <is>
          <t>CUHSL</t>
        </is>
      </c>
      <c r="C399" t="inlineStr">
        <is>
          <t>SHELVES</t>
        </is>
      </c>
      <c r="D399" t="inlineStr">
        <is>
          <t>QV 268.5 A6325 1988</t>
        </is>
      </c>
      <c r="E399" t="inlineStr">
        <is>
          <t>0                      QV 0268500A  6325        1988</t>
        </is>
      </c>
      <c r="F399" t="inlineStr">
        <is>
          <t>Antiviral agents : the development and assessment of antiviral chemotherapy / editor, Hugh J. Field.</t>
        </is>
      </c>
      <c r="G399" t="inlineStr">
        <is>
          <t>V. 2</t>
        </is>
      </c>
      <c r="H399" t="inlineStr">
        <is>
          <t>Yes</t>
        </is>
      </c>
      <c r="I399" t="inlineStr">
        <is>
          <t>1</t>
        </is>
      </c>
      <c r="J399" t="inlineStr">
        <is>
          <t>No</t>
        </is>
      </c>
      <c r="K399" t="inlineStr">
        <is>
          <t>No</t>
        </is>
      </c>
      <c r="L399" t="inlineStr">
        <is>
          <t>0</t>
        </is>
      </c>
      <c r="N399" t="inlineStr">
        <is>
          <t>Boca Raton, Fla. : CRC Press, c1988.</t>
        </is>
      </c>
      <c r="O399" t="inlineStr">
        <is>
          <t>1988</t>
        </is>
      </c>
      <c r="Q399" t="inlineStr">
        <is>
          <t>eng</t>
        </is>
      </c>
      <c r="R399" t="inlineStr">
        <is>
          <t>xxu</t>
        </is>
      </c>
      <c r="T399" t="inlineStr">
        <is>
          <t xml:space="preserve">QV </t>
        </is>
      </c>
      <c r="U399" t="n">
        <v>4</v>
      </c>
      <c r="V399" t="n">
        <v>9</v>
      </c>
      <c r="W399" t="inlineStr">
        <is>
          <t>1999-07-26</t>
        </is>
      </c>
      <c r="X399" t="inlineStr">
        <is>
          <t>1999-07-26</t>
        </is>
      </c>
      <c r="Y399" t="inlineStr">
        <is>
          <t>1988-07-08</t>
        </is>
      </c>
      <c r="Z399" t="inlineStr">
        <is>
          <t>1988-07-08</t>
        </is>
      </c>
      <c r="AA399" t="n">
        <v>117</v>
      </c>
      <c r="AB399" t="n">
        <v>87</v>
      </c>
      <c r="AC399" t="n">
        <v>89</v>
      </c>
      <c r="AD399" t="n">
        <v>1</v>
      </c>
      <c r="AE399" t="n">
        <v>1</v>
      </c>
      <c r="AF399" t="n">
        <v>1</v>
      </c>
      <c r="AG399" t="n">
        <v>1</v>
      </c>
      <c r="AH399" t="n">
        <v>1</v>
      </c>
      <c r="AI399" t="n">
        <v>1</v>
      </c>
      <c r="AJ399" t="n">
        <v>0</v>
      </c>
      <c r="AK399" t="n">
        <v>0</v>
      </c>
      <c r="AL399" t="n">
        <v>0</v>
      </c>
      <c r="AM399" t="n">
        <v>0</v>
      </c>
      <c r="AN399" t="n">
        <v>0</v>
      </c>
      <c r="AO399" t="n">
        <v>0</v>
      </c>
      <c r="AP399" t="n">
        <v>0</v>
      </c>
      <c r="AQ399" t="n">
        <v>0</v>
      </c>
      <c r="AR399" t="inlineStr">
        <is>
          <t>No</t>
        </is>
      </c>
      <c r="AS399" t="inlineStr">
        <is>
          <t>Yes</t>
        </is>
      </c>
      <c r="AT399">
        <f>HYPERLINK("http://catalog.hathitrust.org/Record/000875059","HathiTrust Record")</f>
        <v/>
      </c>
      <c r="AU399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V399">
        <f>HYPERLINK("http://www.worldcat.org/oclc/15520654","WorldCat Record")</f>
        <v/>
      </c>
      <c r="AW399" t="inlineStr">
        <is>
          <t>792912874:eng</t>
        </is>
      </c>
      <c r="AX399" t="inlineStr">
        <is>
          <t>15520654</t>
        </is>
      </c>
      <c r="AY399" t="inlineStr">
        <is>
          <t>991001417709702656</t>
        </is>
      </c>
      <c r="AZ399" t="inlineStr">
        <is>
          <t>991001417709702656</t>
        </is>
      </c>
      <c r="BA399" t="inlineStr">
        <is>
          <t>2264918120002656</t>
        </is>
      </c>
      <c r="BB399" t="inlineStr">
        <is>
          <t>BOOK</t>
        </is>
      </c>
      <c r="BD399" t="inlineStr">
        <is>
          <t>9780849366833</t>
        </is>
      </c>
      <c r="BE399" t="inlineStr">
        <is>
          <t>30001001181223</t>
        </is>
      </c>
      <c r="BF399" t="inlineStr">
        <is>
          <t>893284789</t>
        </is>
      </c>
    </row>
    <row r="400">
      <c r="B400" t="inlineStr">
        <is>
          <t>CUHSL</t>
        </is>
      </c>
      <c r="C400" t="inlineStr">
        <is>
          <t>SHELVES</t>
        </is>
      </c>
      <c r="D400" t="inlineStr">
        <is>
          <t>QV 268.5 A6325 1988</t>
        </is>
      </c>
      <c r="E400" t="inlineStr">
        <is>
          <t>0                      QV 0268500A  6325        1988</t>
        </is>
      </c>
      <c r="F400" t="inlineStr">
        <is>
          <t>Antiviral agents : the development and assessment of antiviral chemotherapy / editor, Hugh J. Field.</t>
        </is>
      </c>
      <c r="G400" t="inlineStr">
        <is>
          <t>V. 1</t>
        </is>
      </c>
      <c r="H400" t="inlineStr">
        <is>
          <t>Yes</t>
        </is>
      </c>
      <c r="I400" t="inlineStr">
        <is>
          <t>1</t>
        </is>
      </c>
      <c r="J400" t="inlineStr">
        <is>
          <t>No</t>
        </is>
      </c>
      <c r="K400" t="inlineStr">
        <is>
          <t>No</t>
        </is>
      </c>
      <c r="L400" t="inlineStr">
        <is>
          <t>0</t>
        </is>
      </c>
      <c r="N400" t="inlineStr">
        <is>
          <t>Boca Raton, Fla. : CRC Press, c1988.</t>
        </is>
      </c>
      <c r="O400" t="inlineStr">
        <is>
          <t>1988</t>
        </is>
      </c>
      <c r="Q400" t="inlineStr">
        <is>
          <t>eng</t>
        </is>
      </c>
      <c r="R400" t="inlineStr">
        <is>
          <t>xxu</t>
        </is>
      </c>
      <c r="T400" t="inlineStr">
        <is>
          <t xml:space="preserve">QV </t>
        </is>
      </c>
      <c r="U400" t="n">
        <v>5</v>
      </c>
      <c r="V400" t="n">
        <v>9</v>
      </c>
      <c r="W400" t="inlineStr">
        <is>
          <t>1999-07-26</t>
        </is>
      </c>
      <c r="X400" t="inlineStr">
        <is>
          <t>1999-07-26</t>
        </is>
      </c>
      <c r="Y400" t="inlineStr">
        <is>
          <t>1988-07-08</t>
        </is>
      </c>
      <c r="Z400" t="inlineStr">
        <is>
          <t>1988-07-08</t>
        </is>
      </c>
      <c r="AA400" t="n">
        <v>117</v>
      </c>
      <c r="AB400" t="n">
        <v>87</v>
      </c>
      <c r="AC400" t="n">
        <v>89</v>
      </c>
      <c r="AD400" t="n">
        <v>1</v>
      </c>
      <c r="AE400" t="n">
        <v>1</v>
      </c>
      <c r="AF400" t="n">
        <v>1</v>
      </c>
      <c r="AG400" t="n">
        <v>1</v>
      </c>
      <c r="AH400" t="n">
        <v>1</v>
      </c>
      <c r="AI400" t="n">
        <v>1</v>
      </c>
      <c r="AJ400" t="n">
        <v>0</v>
      </c>
      <c r="AK400" t="n">
        <v>0</v>
      </c>
      <c r="AL400" t="n">
        <v>0</v>
      </c>
      <c r="AM400" t="n">
        <v>0</v>
      </c>
      <c r="AN400" t="n">
        <v>0</v>
      </c>
      <c r="AO400" t="n">
        <v>0</v>
      </c>
      <c r="AP400" t="n">
        <v>0</v>
      </c>
      <c r="AQ400" t="n">
        <v>0</v>
      </c>
      <c r="AR400" t="inlineStr">
        <is>
          <t>No</t>
        </is>
      </c>
      <c r="AS400" t="inlineStr">
        <is>
          <t>Yes</t>
        </is>
      </c>
      <c r="AT400">
        <f>HYPERLINK("http://catalog.hathitrust.org/Record/000875059","HathiTrust Record")</f>
        <v/>
      </c>
      <c r="AU400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V400">
        <f>HYPERLINK("http://www.worldcat.org/oclc/15520654","WorldCat Record")</f>
        <v/>
      </c>
      <c r="AW400" t="inlineStr">
        <is>
          <t>792912874:eng</t>
        </is>
      </c>
      <c r="AX400" t="inlineStr">
        <is>
          <t>15520654</t>
        </is>
      </c>
      <c r="AY400" t="inlineStr">
        <is>
          <t>991001417709702656</t>
        </is>
      </c>
      <c r="AZ400" t="inlineStr">
        <is>
          <t>991001417709702656</t>
        </is>
      </c>
      <c r="BA400" t="inlineStr">
        <is>
          <t>2264918120002656</t>
        </is>
      </c>
      <c r="BB400" t="inlineStr">
        <is>
          <t>BOOK</t>
        </is>
      </c>
      <c r="BD400" t="inlineStr">
        <is>
          <t>9780849366833</t>
        </is>
      </c>
      <c r="BE400" t="inlineStr">
        <is>
          <t>30001001181215</t>
        </is>
      </c>
      <c r="BF400" t="inlineStr">
        <is>
          <t>893274134</t>
        </is>
      </c>
    </row>
    <row r="401">
      <c r="B401" t="inlineStr">
        <is>
          <t>CUHSL</t>
        </is>
      </c>
      <c r="C401" t="inlineStr">
        <is>
          <t>SHELVES</t>
        </is>
      </c>
      <c r="D401" t="inlineStr">
        <is>
          <t>QV 268.5 C517 1982</t>
        </is>
      </c>
      <c r="E401" t="inlineStr">
        <is>
          <t>0                      QV 0268500C  517         1982</t>
        </is>
      </c>
      <c r="F401" t="inlineStr">
        <is>
          <t>Chemotherapy of viral infections / editors, Paul E. Came and Lawrence A. Caliguiri.</t>
        </is>
      </c>
      <c r="G401" t="inlineStr">
        <is>
          <t>V. 61</t>
        </is>
      </c>
      <c r="H401" t="inlineStr">
        <is>
          <t>No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N401" t="inlineStr">
        <is>
          <t>Berlin ; New York : Springer-Verlag, c1982.</t>
        </is>
      </c>
      <c r="O401" t="inlineStr">
        <is>
          <t>1982</t>
        </is>
      </c>
      <c r="Q401" t="inlineStr">
        <is>
          <t>eng</t>
        </is>
      </c>
      <c r="R401" t="inlineStr">
        <is>
          <t xml:space="preserve">gw </t>
        </is>
      </c>
      <c r="S401" t="inlineStr">
        <is>
          <t>Handbook of experimental pharmacology ; v. 61</t>
        </is>
      </c>
      <c r="T401" t="inlineStr">
        <is>
          <t xml:space="preserve">QV </t>
        </is>
      </c>
      <c r="U401" t="n">
        <v>3</v>
      </c>
      <c r="V401" t="n">
        <v>3</v>
      </c>
      <c r="W401" t="inlineStr">
        <is>
          <t>1995-12-16</t>
        </is>
      </c>
      <c r="X401" t="inlineStr">
        <is>
          <t>1995-12-16</t>
        </is>
      </c>
      <c r="Y401" t="inlineStr">
        <is>
          <t>1988-02-09</t>
        </is>
      </c>
      <c r="Z401" t="inlineStr">
        <is>
          <t>1988-02-09</t>
        </is>
      </c>
      <c r="AA401" t="n">
        <v>181</v>
      </c>
      <c r="AB401" t="n">
        <v>110</v>
      </c>
      <c r="AC401" t="n">
        <v>113</v>
      </c>
      <c r="AD401" t="n">
        <v>1</v>
      </c>
      <c r="AE401" t="n">
        <v>1</v>
      </c>
      <c r="AF401" t="n">
        <v>2</v>
      </c>
      <c r="AG401" t="n">
        <v>2</v>
      </c>
      <c r="AH401" t="n">
        <v>0</v>
      </c>
      <c r="AI401" t="n">
        <v>0</v>
      </c>
      <c r="AJ401" t="n">
        <v>2</v>
      </c>
      <c r="AK401" t="n">
        <v>2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0</v>
      </c>
      <c r="AR401" t="inlineStr">
        <is>
          <t>No</t>
        </is>
      </c>
      <c r="AS401" t="inlineStr">
        <is>
          <t>Yes</t>
        </is>
      </c>
      <c r="AT401">
        <f>HYPERLINK("http://catalog.hathitrust.org/Record/000767926","HathiTrust Record")</f>
        <v/>
      </c>
      <c r="AU401">
        <f>HYPERLINK("https://creighton-primo.hosted.exlibrisgroup.com/primo-explore/search?tab=default_tab&amp;search_scope=EVERYTHING&amp;vid=01CRU&amp;lang=en_US&amp;offset=0&amp;query=any,contains,991000960419702656","Catalog Record")</f>
        <v/>
      </c>
      <c r="AV401">
        <f>HYPERLINK("http://www.worldcat.org/oclc/8132563","WorldCat Record")</f>
        <v/>
      </c>
      <c r="AW401" t="inlineStr">
        <is>
          <t>365122848:eng</t>
        </is>
      </c>
      <c r="AX401" t="inlineStr">
        <is>
          <t>8132563</t>
        </is>
      </c>
      <c r="AY401" t="inlineStr">
        <is>
          <t>991000960419702656</t>
        </is>
      </c>
      <c r="AZ401" t="inlineStr">
        <is>
          <t>991000960419702656</t>
        </is>
      </c>
      <c r="BA401" t="inlineStr">
        <is>
          <t>2267958180002656</t>
        </is>
      </c>
      <c r="BB401" t="inlineStr">
        <is>
          <t>BOOK</t>
        </is>
      </c>
      <c r="BD401" t="inlineStr">
        <is>
          <t>9780387113470</t>
        </is>
      </c>
      <c r="BE401" t="inlineStr">
        <is>
          <t>30001000197196</t>
        </is>
      </c>
      <c r="BF401" t="inlineStr">
        <is>
          <t>893267872</t>
        </is>
      </c>
    </row>
    <row r="402">
      <c r="B402" t="inlineStr">
        <is>
          <t>CUHSL</t>
        </is>
      </c>
      <c r="C402" t="inlineStr">
        <is>
          <t>SHELVES</t>
        </is>
      </c>
      <c r="D402" t="inlineStr">
        <is>
          <t>QV 268.5 D457 1990</t>
        </is>
      </c>
      <c r="E402" t="inlineStr">
        <is>
          <t>0                      QV 0268500D  457         1990</t>
        </is>
      </c>
      <c r="F402" t="inlineStr">
        <is>
          <t>Design of anti-AIDS drugs / edited by E. De Clercq with the editorial assistance of C. Callebaut.</t>
        </is>
      </c>
      <c r="H402" t="inlineStr">
        <is>
          <t>No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N402" t="inlineStr">
        <is>
          <t>Amsterdam ; New York : Elsevier ; New York, NY, U.S.A. : Distributors for the U.S. and Canada, Elsevier Science Pub. Co., c1990.</t>
        </is>
      </c>
      <c r="O402" t="inlineStr">
        <is>
          <t>1990</t>
        </is>
      </c>
      <c r="Q402" t="inlineStr">
        <is>
          <t>eng</t>
        </is>
      </c>
      <c r="R402" t="inlineStr">
        <is>
          <t xml:space="preserve">ne </t>
        </is>
      </c>
      <c r="S402" t="inlineStr">
        <is>
          <t>Pharmacochemistry library ; v. 14</t>
        </is>
      </c>
      <c r="T402" t="inlineStr">
        <is>
          <t xml:space="preserve">QV </t>
        </is>
      </c>
      <c r="U402" t="n">
        <v>4</v>
      </c>
      <c r="V402" t="n">
        <v>4</v>
      </c>
      <c r="W402" t="inlineStr">
        <is>
          <t>1998-06-02</t>
        </is>
      </c>
      <c r="X402" t="inlineStr">
        <is>
          <t>1998-06-02</t>
        </is>
      </c>
      <c r="Y402" t="inlineStr">
        <is>
          <t>1991-01-29</t>
        </is>
      </c>
      <c r="Z402" t="inlineStr">
        <is>
          <t>1991-01-29</t>
        </is>
      </c>
      <c r="AA402" t="n">
        <v>109</v>
      </c>
      <c r="AB402" t="n">
        <v>71</v>
      </c>
      <c r="AC402" t="n">
        <v>73</v>
      </c>
      <c r="AD402" t="n">
        <v>1</v>
      </c>
      <c r="AE402" t="n">
        <v>1</v>
      </c>
      <c r="AF402" t="n">
        <v>1</v>
      </c>
      <c r="AG402" t="n">
        <v>1</v>
      </c>
      <c r="AH402" t="n">
        <v>0</v>
      </c>
      <c r="AI402" t="n">
        <v>0</v>
      </c>
      <c r="AJ402" t="n">
        <v>1</v>
      </c>
      <c r="AK402" t="n">
        <v>1</v>
      </c>
      <c r="AL402" t="n">
        <v>0</v>
      </c>
      <c r="AM402" t="n">
        <v>0</v>
      </c>
      <c r="AN402" t="n">
        <v>0</v>
      </c>
      <c r="AO402" t="n">
        <v>0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HYPERLINK("http://catalog.hathitrust.org/Record/002233577","HathiTrust Record")</f>
        <v/>
      </c>
      <c r="AU402">
        <f>HYPERLINK("https://creighton-primo.hosted.exlibrisgroup.com/primo-explore/search?tab=default_tab&amp;search_scope=EVERYTHING&amp;vid=01CRU&amp;lang=en_US&amp;offset=0&amp;query=any,contains,991000816339702656","Catalog Record")</f>
        <v/>
      </c>
      <c r="AV402">
        <f>HYPERLINK("http://www.worldcat.org/oclc/22005487","WorldCat Record")</f>
        <v/>
      </c>
      <c r="AW402" t="inlineStr">
        <is>
          <t>423047947:eng</t>
        </is>
      </c>
      <c r="AX402" t="inlineStr">
        <is>
          <t>22005487</t>
        </is>
      </c>
      <c r="AY402" t="inlineStr">
        <is>
          <t>991000816339702656</t>
        </is>
      </c>
      <c r="AZ402" t="inlineStr">
        <is>
          <t>991000816339702656</t>
        </is>
      </c>
      <c r="BA402" t="inlineStr">
        <is>
          <t>2260808050002656</t>
        </is>
      </c>
      <c r="BB402" t="inlineStr">
        <is>
          <t>BOOK</t>
        </is>
      </c>
      <c r="BD402" t="inlineStr">
        <is>
          <t>9780444881793</t>
        </is>
      </c>
      <c r="BE402" t="inlineStr">
        <is>
          <t>30001002086447</t>
        </is>
      </c>
      <c r="BF402" t="inlineStr">
        <is>
          <t>893831445</t>
        </is>
      </c>
    </row>
    <row r="403">
      <c r="B403" t="inlineStr">
        <is>
          <t>CUHSL</t>
        </is>
      </c>
      <c r="C403" t="inlineStr">
        <is>
          <t>SHELVES</t>
        </is>
      </c>
      <c r="D403" t="inlineStr">
        <is>
          <t>QV 269 C264 1990</t>
        </is>
      </c>
      <c r="E403" t="inlineStr">
        <is>
          <t>0                      QV 0269000C  264         1990</t>
        </is>
      </c>
      <c r="F403" t="inlineStr">
        <is>
          <t>Carboplatin (JM-8) : current perspectives and future directions / Editors: Paul A. Bunn, Jr. ... [et al.].</t>
        </is>
      </c>
      <c r="H403" t="inlineStr">
        <is>
          <t>No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N403" t="inlineStr">
        <is>
          <t>Philadelphia : Saunders, c1990.</t>
        </is>
      </c>
      <c r="O403" t="inlineStr">
        <is>
          <t>1990</t>
        </is>
      </c>
      <c r="P403" t="inlineStr">
        <is>
          <t>1st ed.</t>
        </is>
      </c>
      <c r="Q403" t="inlineStr">
        <is>
          <t>eng</t>
        </is>
      </c>
      <c r="R403" t="inlineStr">
        <is>
          <t>pau</t>
        </is>
      </c>
      <c r="T403" t="inlineStr">
        <is>
          <t xml:space="preserve">QV </t>
        </is>
      </c>
      <c r="U403" t="n">
        <v>1</v>
      </c>
      <c r="V403" t="n">
        <v>1</v>
      </c>
      <c r="W403" t="inlineStr">
        <is>
          <t>1990-10-23</t>
        </is>
      </c>
      <c r="X403" t="inlineStr">
        <is>
          <t>1990-10-23</t>
        </is>
      </c>
      <c r="Y403" t="inlineStr">
        <is>
          <t>1990-10-23</t>
        </is>
      </c>
      <c r="Z403" t="inlineStr">
        <is>
          <t>1990-10-23</t>
        </is>
      </c>
      <c r="AA403" t="n">
        <v>54</v>
      </c>
      <c r="AB403" t="n">
        <v>46</v>
      </c>
      <c r="AC403" t="n">
        <v>48</v>
      </c>
      <c r="AD403" t="n">
        <v>1</v>
      </c>
      <c r="AE403" t="n">
        <v>1</v>
      </c>
      <c r="AF403" t="n">
        <v>1</v>
      </c>
      <c r="AG403" t="n">
        <v>1</v>
      </c>
      <c r="AH403" t="n">
        <v>0</v>
      </c>
      <c r="AI403" t="n">
        <v>0</v>
      </c>
      <c r="AJ403" t="n">
        <v>1</v>
      </c>
      <c r="AK403" t="n">
        <v>1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0</v>
      </c>
      <c r="AR403" t="inlineStr">
        <is>
          <t>No</t>
        </is>
      </c>
      <c r="AS403" t="inlineStr">
        <is>
          <t>Yes</t>
        </is>
      </c>
      <c r="AT403">
        <f>HYPERLINK("http://catalog.hathitrust.org/Record/003253660","HathiTrust Record")</f>
        <v/>
      </c>
      <c r="AU403">
        <f>HYPERLINK("https://creighton-primo.hosted.exlibrisgroup.com/primo-explore/search?tab=default_tab&amp;search_scope=EVERYTHING&amp;vid=01CRU&amp;lang=en_US&amp;offset=0&amp;query=any,contains,991000770859702656","Catalog Record")</f>
        <v/>
      </c>
      <c r="AV403">
        <f>HYPERLINK("http://www.worldcat.org/oclc/22372109","WorldCat Record")</f>
        <v/>
      </c>
      <c r="AW403" t="inlineStr">
        <is>
          <t>1862854963:eng</t>
        </is>
      </c>
      <c r="AX403" t="inlineStr">
        <is>
          <t>22372109</t>
        </is>
      </c>
      <c r="AY403" t="inlineStr">
        <is>
          <t>991000770859702656</t>
        </is>
      </c>
      <c r="AZ403" t="inlineStr">
        <is>
          <t>991000770859702656</t>
        </is>
      </c>
      <c r="BA403" t="inlineStr">
        <is>
          <t>2264626930002656</t>
        </is>
      </c>
      <c r="BB403" t="inlineStr">
        <is>
          <t>BOOK</t>
        </is>
      </c>
      <c r="BE403" t="inlineStr">
        <is>
          <t>30001002062117</t>
        </is>
      </c>
      <c r="BF403" t="inlineStr">
        <is>
          <t>893731185</t>
        </is>
      </c>
    </row>
    <row r="404">
      <c r="B404" t="inlineStr">
        <is>
          <t>CUHSL</t>
        </is>
      </c>
      <c r="C404" t="inlineStr">
        <is>
          <t>SHELVES</t>
        </is>
      </c>
      <c r="D404" t="inlineStr">
        <is>
          <t>QV 269 G394f 2008</t>
        </is>
      </c>
      <c r="E404" t="inlineStr">
        <is>
          <t>0                      QV 0269000G  394f        2008</t>
        </is>
      </c>
      <c r="F404" t="inlineStr">
        <is>
          <t>Free radicals effect on cytostatica, vitamins, hormones and phytocompounds with respect to cancer : an introduction to molecular radiation biology / Nikola Getoff.</t>
        </is>
      </c>
      <c r="H404" t="inlineStr">
        <is>
          <t>No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M404" t="inlineStr">
        <is>
          <t>Getoff, Nikola, 1922-</t>
        </is>
      </c>
      <c r="N404" t="inlineStr">
        <is>
          <t>New York : Nova Science Publishers, c2008.</t>
        </is>
      </c>
      <c r="O404" t="inlineStr">
        <is>
          <t>2008</t>
        </is>
      </c>
      <c r="Q404" t="inlineStr">
        <is>
          <t>eng</t>
        </is>
      </c>
      <c r="R404" t="inlineStr">
        <is>
          <t>nyu</t>
        </is>
      </c>
      <c r="T404" t="inlineStr">
        <is>
          <t xml:space="preserve">QV </t>
        </is>
      </c>
      <c r="U404" t="n">
        <v>0</v>
      </c>
      <c r="V404" t="n">
        <v>0</v>
      </c>
      <c r="W404" t="inlineStr">
        <is>
          <t>2009-05-21</t>
        </is>
      </c>
      <c r="X404" t="inlineStr">
        <is>
          <t>2009-05-21</t>
        </is>
      </c>
      <c r="Y404" t="inlineStr">
        <is>
          <t>2009-05-21</t>
        </is>
      </c>
      <c r="Z404" t="inlineStr">
        <is>
          <t>2009-05-21</t>
        </is>
      </c>
      <c r="AA404" t="n">
        <v>23</v>
      </c>
      <c r="AB404" t="n">
        <v>16</v>
      </c>
      <c r="AC404" t="n">
        <v>16</v>
      </c>
      <c r="AD404" t="n">
        <v>1</v>
      </c>
      <c r="AE404" t="n">
        <v>1</v>
      </c>
      <c r="AF404" t="n">
        <v>0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0</v>
      </c>
      <c r="AM404" t="n">
        <v>0</v>
      </c>
      <c r="AN404" t="n">
        <v>0</v>
      </c>
      <c r="AO404" t="n">
        <v>0</v>
      </c>
      <c r="AP404" t="n">
        <v>0</v>
      </c>
      <c r="AQ404" t="n">
        <v>0</v>
      </c>
      <c r="AR404" t="inlineStr">
        <is>
          <t>No</t>
        </is>
      </c>
      <c r="AS404" t="inlineStr">
        <is>
          <t>No</t>
        </is>
      </c>
      <c r="AU404">
        <f>HYPERLINK("https://creighton-primo.hosted.exlibrisgroup.com/primo-explore/search?tab=default_tab&amp;search_scope=EVERYTHING&amp;vid=01CRU&amp;lang=en_US&amp;offset=0&amp;query=any,contains,991001462009702656","Catalog Record")</f>
        <v/>
      </c>
      <c r="AV404">
        <f>HYPERLINK("http://www.worldcat.org/oclc/221220296","WorldCat Record")</f>
        <v/>
      </c>
      <c r="AW404" t="inlineStr">
        <is>
          <t>133027670:eng</t>
        </is>
      </c>
      <c r="AX404" t="inlineStr">
        <is>
          <t>221220296</t>
        </is>
      </c>
      <c r="AY404" t="inlineStr">
        <is>
          <t>991001462009702656</t>
        </is>
      </c>
      <c r="AZ404" t="inlineStr">
        <is>
          <t>991001462009702656</t>
        </is>
      </c>
      <c r="BA404" t="inlineStr">
        <is>
          <t>2255882940002656</t>
        </is>
      </c>
      <c r="BB404" t="inlineStr">
        <is>
          <t>BOOK</t>
        </is>
      </c>
      <c r="BD404" t="inlineStr">
        <is>
          <t>9781604562910</t>
        </is>
      </c>
      <c r="BE404" t="inlineStr">
        <is>
          <t>30001004916278</t>
        </is>
      </c>
      <c r="BF404" t="inlineStr">
        <is>
          <t>893455826</t>
        </is>
      </c>
    </row>
    <row r="405">
      <c r="B405" t="inlineStr">
        <is>
          <t>CUHSL</t>
        </is>
      </c>
      <c r="C405" t="inlineStr">
        <is>
          <t>SHELVES</t>
        </is>
      </c>
      <c r="D405" t="inlineStr">
        <is>
          <t>QV 269 M489n 1981</t>
        </is>
      </c>
      <c r="E405" t="inlineStr">
        <is>
          <t>0                      QV 0269000M  489n        1981</t>
        </is>
      </c>
      <c r="F405" t="inlineStr">
        <is>
          <t>New approaches to the design of antineoplastic agents : proceedings of the Twenty-second Annual Medicinal Chemistry Symposium, Amherst, New York, U.S.A., May 18-20, 1981 / editors, Thomas J. Bardos and Thomas I. Kalman.</t>
        </is>
      </c>
      <c r="H405" t="inlineStr">
        <is>
          <t>No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M405" t="inlineStr">
        <is>
          <t>Medicinal Chemistry Symposium (22nd : 1981 : Amherst, N.Y.)</t>
        </is>
      </c>
      <c r="N405" t="inlineStr">
        <is>
          <t>New York : Elsevier Biomedical, c1982.</t>
        </is>
      </c>
      <c r="O405" t="inlineStr">
        <is>
          <t>1982</t>
        </is>
      </c>
      <c r="Q405" t="inlineStr">
        <is>
          <t>eng</t>
        </is>
      </c>
      <c r="R405" t="inlineStr">
        <is>
          <t>nyu</t>
        </is>
      </c>
      <c r="T405" t="inlineStr">
        <is>
          <t xml:space="preserve">QV </t>
        </is>
      </c>
      <c r="U405" t="n">
        <v>2</v>
      </c>
      <c r="V405" t="n">
        <v>2</v>
      </c>
      <c r="W405" t="inlineStr">
        <is>
          <t>1996-11-30</t>
        </is>
      </c>
      <c r="X405" t="inlineStr">
        <is>
          <t>1996-11-30</t>
        </is>
      </c>
      <c r="Y405" t="inlineStr">
        <is>
          <t>1988-02-09</t>
        </is>
      </c>
      <c r="Z405" t="inlineStr">
        <is>
          <t>1988-02-09</t>
        </is>
      </c>
      <c r="AA405" t="n">
        <v>98</v>
      </c>
      <c r="AB405" t="n">
        <v>73</v>
      </c>
      <c r="AC405" t="n">
        <v>75</v>
      </c>
      <c r="AD405" t="n">
        <v>1</v>
      </c>
      <c r="AE405" t="n">
        <v>1</v>
      </c>
      <c r="AF405" t="n">
        <v>0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0</v>
      </c>
      <c r="AR405" t="inlineStr">
        <is>
          <t>No</t>
        </is>
      </c>
      <c r="AS405" t="inlineStr">
        <is>
          <t>Yes</t>
        </is>
      </c>
      <c r="AT405">
        <f>HYPERLINK("http://catalog.hathitrust.org/Record/000319459","HathiTrust Record")</f>
        <v/>
      </c>
      <c r="AU405">
        <f>HYPERLINK("https://creighton-primo.hosted.exlibrisgroup.com/primo-explore/search?tab=default_tab&amp;search_scope=EVERYTHING&amp;vid=01CRU&amp;lang=en_US&amp;offset=0&amp;query=any,contains,991000960339702656","Catalog Record")</f>
        <v/>
      </c>
      <c r="AV405">
        <f>HYPERLINK("http://www.worldcat.org/oclc/8533462","WorldCat Record")</f>
        <v/>
      </c>
      <c r="AW405" t="inlineStr">
        <is>
          <t>32626508:eng</t>
        </is>
      </c>
      <c r="AX405" t="inlineStr">
        <is>
          <t>8533462</t>
        </is>
      </c>
      <c r="AY405" t="inlineStr">
        <is>
          <t>991000960339702656</t>
        </is>
      </c>
      <c r="AZ405" t="inlineStr">
        <is>
          <t>991000960339702656</t>
        </is>
      </c>
      <c r="BA405" t="inlineStr">
        <is>
          <t>2267226390002656</t>
        </is>
      </c>
      <c r="BB405" t="inlineStr">
        <is>
          <t>BOOK</t>
        </is>
      </c>
      <c r="BD405" t="inlineStr">
        <is>
          <t>9780444007247</t>
        </is>
      </c>
      <c r="BE405" t="inlineStr">
        <is>
          <t>30001000197121</t>
        </is>
      </c>
      <c r="BF405" t="inlineStr">
        <is>
          <t>893648801</t>
        </is>
      </c>
    </row>
    <row r="406">
      <c r="B406" t="inlineStr">
        <is>
          <t>CUHSL</t>
        </is>
      </c>
      <c r="C406" t="inlineStr">
        <is>
          <t>SHELVES</t>
        </is>
      </c>
      <c r="D406" t="inlineStr">
        <is>
          <t>QV 269 N53167 1992</t>
        </is>
      </c>
      <c r="E406" t="inlineStr">
        <is>
          <t>0                      QV 0269000N  53167       1992</t>
        </is>
      </c>
      <c r="F406" t="inlineStr">
        <is>
          <t>New approaches in cancer pharmacology : drug design and development / P. Workman, ed.</t>
        </is>
      </c>
      <c r="H406" t="inlineStr">
        <is>
          <t>No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N406" t="inlineStr">
        <is>
          <t>Berlin ; New York : Springer-Verlag, c1992.</t>
        </is>
      </c>
      <c r="O406" t="inlineStr">
        <is>
          <t>1992</t>
        </is>
      </c>
      <c r="Q406" t="inlineStr">
        <is>
          <t>eng</t>
        </is>
      </c>
      <c r="R406" t="inlineStr">
        <is>
          <t xml:space="preserve">gw </t>
        </is>
      </c>
      <c r="S406" t="inlineStr">
        <is>
          <t>Monographs (European School of Oncology)</t>
        </is>
      </c>
      <c r="T406" t="inlineStr">
        <is>
          <t xml:space="preserve">QV </t>
        </is>
      </c>
      <c r="U406" t="n">
        <v>3</v>
      </c>
      <c r="V406" t="n">
        <v>3</v>
      </c>
      <c r="W406" t="inlineStr">
        <is>
          <t>1993-10-12</t>
        </is>
      </c>
      <c r="X406" t="inlineStr">
        <is>
          <t>1993-10-12</t>
        </is>
      </c>
      <c r="Y406" t="inlineStr">
        <is>
          <t>1993-08-31</t>
        </is>
      </c>
      <c r="Z406" t="inlineStr">
        <is>
          <t>1993-08-31</t>
        </is>
      </c>
      <c r="AA406" t="n">
        <v>55</v>
      </c>
      <c r="AB406" t="n">
        <v>42</v>
      </c>
      <c r="AC406" t="n">
        <v>82</v>
      </c>
      <c r="AD406" t="n">
        <v>1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0</v>
      </c>
      <c r="AR406" t="inlineStr">
        <is>
          <t>No</t>
        </is>
      </c>
      <c r="AS406" t="inlineStr">
        <is>
          <t>No</t>
        </is>
      </c>
      <c r="AU406">
        <f>HYPERLINK("https://creighton-primo.hosted.exlibrisgroup.com/primo-explore/search?tab=default_tab&amp;search_scope=EVERYTHING&amp;vid=01CRU&amp;lang=en_US&amp;offset=0&amp;query=any,contains,991001512589702656","Catalog Record")</f>
        <v/>
      </c>
      <c r="AV406">
        <f>HYPERLINK("http://www.worldcat.org/oclc/26674950","WorldCat Record")</f>
        <v/>
      </c>
      <c r="AW406" t="inlineStr">
        <is>
          <t>5218313511:eng</t>
        </is>
      </c>
      <c r="AX406" t="inlineStr">
        <is>
          <t>26674950</t>
        </is>
      </c>
      <c r="AY406" t="inlineStr">
        <is>
          <t>991001512589702656</t>
        </is>
      </c>
      <c r="AZ406" t="inlineStr">
        <is>
          <t>991001512589702656</t>
        </is>
      </c>
      <c r="BA406" t="inlineStr">
        <is>
          <t>2267423760002656</t>
        </is>
      </c>
      <c r="BB406" t="inlineStr">
        <is>
          <t>BOOK</t>
        </is>
      </c>
      <c r="BD406" t="inlineStr">
        <is>
          <t>9780387560892</t>
        </is>
      </c>
      <c r="BE406" t="inlineStr">
        <is>
          <t>30001002601096</t>
        </is>
      </c>
      <c r="BF406" t="inlineStr">
        <is>
          <t>893451287</t>
        </is>
      </c>
    </row>
    <row r="407">
      <c r="B407" t="inlineStr">
        <is>
          <t>CUHSL</t>
        </is>
      </c>
      <c r="C407" t="inlineStr">
        <is>
          <t>SHELVES</t>
        </is>
      </c>
      <c r="D407" t="inlineStr">
        <is>
          <t>QV 269 N5323 1991</t>
        </is>
      </c>
      <c r="E407" t="inlineStr">
        <is>
          <t>0                      QV 0269000N  5323        1991</t>
        </is>
      </c>
      <c r="F407" t="inlineStr">
        <is>
          <t>New drugs, concepts, and results in cancer chemotherapy / edited by F.M. Muggia.</t>
        </is>
      </c>
      <c r="H407" t="inlineStr">
        <is>
          <t>No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N407" t="inlineStr">
        <is>
          <t>Norwell, Mass. : Kluwer Academic Publishers, c1991.</t>
        </is>
      </c>
      <c r="O407" t="inlineStr">
        <is>
          <t>1991</t>
        </is>
      </c>
      <c r="Q407" t="inlineStr">
        <is>
          <t>eng</t>
        </is>
      </c>
      <c r="R407" t="inlineStr">
        <is>
          <t>mau</t>
        </is>
      </c>
      <c r="S407" t="inlineStr">
        <is>
          <t>Cancer treatment and research ; v. 58</t>
        </is>
      </c>
      <c r="T407" t="inlineStr">
        <is>
          <t xml:space="preserve">QV </t>
        </is>
      </c>
      <c r="U407" t="n">
        <v>2</v>
      </c>
      <c r="V407" t="n">
        <v>2</v>
      </c>
      <c r="W407" t="inlineStr">
        <is>
          <t>1992-04-07</t>
        </is>
      </c>
      <c r="X407" t="inlineStr">
        <is>
          <t>1992-04-07</t>
        </is>
      </c>
      <c r="Y407" t="inlineStr">
        <is>
          <t>1992-04-07</t>
        </is>
      </c>
      <c r="Z407" t="inlineStr">
        <is>
          <t>1992-04-07</t>
        </is>
      </c>
      <c r="AA407" t="n">
        <v>76</v>
      </c>
      <c r="AB407" t="n">
        <v>60</v>
      </c>
      <c r="AC407" t="n">
        <v>86</v>
      </c>
      <c r="AD407" t="n">
        <v>1</v>
      </c>
      <c r="AE407" t="n">
        <v>1</v>
      </c>
      <c r="AF407" t="n">
        <v>1</v>
      </c>
      <c r="AG407" t="n">
        <v>1</v>
      </c>
      <c r="AH407" t="n">
        <v>0</v>
      </c>
      <c r="AI407" t="n">
        <v>0</v>
      </c>
      <c r="AJ407" t="n">
        <v>1</v>
      </c>
      <c r="AK407" t="n">
        <v>1</v>
      </c>
      <c r="AL407" t="n">
        <v>0</v>
      </c>
      <c r="AM407" t="n">
        <v>0</v>
      </c>
      <c r="AN407" t="n">
        <v>0</v>
      </c>
      <c r="AO407" t="n">
        <v>0</v>
      </c>
      <c r="AP407" t="n">
        <v>0</v>
      </c>
      <c r="AQ407" t="n">
        <v>0</v>
      </c>
      <c r="AR407" t="inlineStr">
        <is>
          <t>No</t>
        </is>
      </c>
      <c r="AS407" t="inlineStr">
        <is>
          <t>No</t>
        </is>
      </c>
      <c r="AU407">
        <f>HYPERLINK("https://creighton-primo.hosted.exlibrisgroup.com/primo-explore/search?tab=default_tab&amp;search_scope=EVERYTHING&amp;vid=01CRU&amp;lang=en_US&amp;offset=0&amp;query=any,contains,991001301319702656","Catalog Record")</f>
        <v/>
      </c>
      <c r="AV407">
        <f>HYPERLINK("http://www.worldcat.org/oclc/23691473","WorldCat Record")</f>
        <v/>
      </c>
      <c r="AW407" t="inlineStr">
        <is>
          <t>25767485:eng</t>
        </is>
      </c>
      <c r="AX407" t="inlineStr">
        <is>
          <t>23691473</t>
        </is>
      </c>
      <c r="AY407" t="inlineStr">
        <is>
          <t>991001301319702656</t>
        </is>
      </c>
      <c r="AZ407" t="inlineStr">
        <is>
          <t>991001301319702656</t>
        </is>
      </c>
      <c r="BA407" t="inlineStr">
        <is>
          <t>2261291340002656</t>
        </is>
      </c>
      <c r="BB407" t="inlineStr">
        <is>
          <t>BOOK</t>
        </is>
      </c>
      <c r="BD407" t="inlineStr">
        <is>
          <t>9780792312536</t>
        </is>
      </c>
      <c r="BE407" t="inlineStr">
        <is>
          <t>30001002411884</t>
        </is>
      </c>
      <c r="BF407" t="inlineStr">
        <is>
          <t>893278964</t>
        </is>
      </c>
    </row>
    <row r="408">
      <c r="B408" t="inlineStr">
        <is>
          <t>CUHSL</t>
        </is>
      </c>
      <c r="C408" t="inlineStr">
        <is>
          <t>SHELVES</t>
        </is>
      </c>
      <c r="D408" t="inlineStr">
        <is>
          <t>QV 269 T755 1991</t>
        </is>
      </c>
      <c r="E408" t="inlineStr">
        <is>
          <t>0                      QV 0269000T  755         1991</t>
        </is>
      </c>
      <c r="F408" t="inlineStr">
        <is>
          <t>The Toxicity of anticancer drugs / edited by Garth Powis, Miles P. Hacker.</t>
        </is>
      </c>
      <c r="H408" t="inlineStr">
        <is>
          <t>No</t>
        </is>
      </c>
      <c r="I408" t="inlineStr">
        <is>
          <t>1</t>
        </is>
      </c>
      <c r="J408" t="inlineStr">
        <is>
          <t>No</t>
        </is>
      </c>
      <c r="K408" t="inlineStr">
        <is>
          <t>No</t>
        </is>
      </c>
      <c r="L408" t="inlineStr">
        <is>
          <t>0</t>
        </is>
      </c>
      <c r="N408" t="inlineStr">
        <is>
          <t>New York : Pergamon Press, c1991.</t>
        </is>
      </c>
      <c r="O408" t="inlineStr">
        <is>
          <t>1991</t>
        </is>
      </c>
      <c r="Q408" t="inlineStr">
        <is>
          <t>eng</t>
        </is>
      </c>
      <c r="R408" t="inlineStr">
        <is>
          <t>xxu</t>
        </is>
      </c>
      <c r="T408" t="inlineStr">
        <is>
          <t xml:space="preserve">QV </t>
        </is>
      </c>
      <c r="U408" t="n">
        <v>6</v>
      </c>
      <c r="V408" t="n">
        <v>6</v>
      </c>
      <c r="W408" t="inlineStr">
        <is>
          <t>1994-12-14</t>
        </is>
      </c>
      <c r="X408" t="inlineStr">
        <is>
          <t>1994-12-14</t>
        </is>
      </c>
      <c r="Y408" t="inlineStr">
        <is>
          <t>1991-09-24</t>
        </is>
      </c>
      <c r="Z408" t="inlineStr">
        <is>
          <t>1991-09-24</t>
        </is>
      </c>
      <c r="AA408" t="n">
        <v>154</v>
      </c>
      <c r="AB408" t="n">
        <v>111</v>
      </c>
      <c r="AC408" t="n">
        <v>117</v>
      </c>
      <c r="AD408" t="n">
        <v>1</v>
      </c>
      <c r="AE408" t="n">
        <v>1</v>
      </c>
      <c r="AF408" t="n">
        <v>1</v>
      </c>
      <c r="AG408" t="n">
        <v>1</v>
      </c>
      <c r="AH408" t="n">
        <v>1</v>
      </c>
      <c r="AI408" t="n">
        <v>1</v>
      </c>
      <c r="AJ408" t="n">
        <v>1</v>
      </c>
      <c r="AK408" t="n">
        <v>1</v>
      </c>
      <c r="AL408" t="n">
        <v>0</v>
      </c>
      <c r="AM408" t="n">
        <v>0</v>
      </c>
      <c r="AN408" t="n">
        <v>0</v>
      </c>
      <c r="AO408" t="n">
        <v>0</v>
      </c>
      <c r="AP408" t="n">
        <v>0</v>
      </c>
      <c r="AQ408" t="n">
        <v>0</v>
      </c>
      <c r="AR408" t="inlineStr">
        <is>
          <t>No</t>
        </is>
      </c>
      <c r="AS408" t="inlineStr">
        <is>
          <t>No</t>
        </is>
      </c>
      <c r="AU408">
        <f>HYPERLINK("https://creighton-primo.hosted.exlibrisgroup.com/primo-explore/search?tab=default_tab&amp;search_scope=EVERYTHING&amp;vid=01CRU&amp;lang=en_US&amp;offset=0&amp;query=any,contains,991001017379702656","Catalog Record")</f>
        <v/>
      </c>
      <c r="AV408">
        <f>HYPERLINK("http://www.worldcat.org/oclc/21444204","WorldCat Record")</f>
        <v/>
      </c>
      <c r="AW408" t="inlineStr">
        <is>
          <t>365285308:eng</t>
        </is>
      </c>
      <c r="AX408" t="inlineStr">
        <is>
          <t>21444204</t>
        </is>
      </c>
      <c r="AY408" t="inlineStr">
        <is>
          <t>991001017379702656</t>
        </is>
      </c>
      <c r="AZ408" t="inlineStr">
        <is>
          <t>991001017379702656</t>
        </is>
      </c>
      <c r="BA408" t="inlineStr">
        <is>
          <t>2257427540002656</t>
        </is>
      </c>
      <c r="BB408" t="inlineStr">
        <is>
          <t>BOOK</t>
        </is>
      </c>
      <c r="BD408" t="inlineStr">
        <is>
          <t>9780080403021</t>
        </is>
      </c>
      <c r="BE408" t="inlineStr">
        <is>
          <t>30001002240937</t>
        </is>
      </c>
      <c r="BF408" t="inlineStr">
        <is>
          <t>893632660</t>
        </is>
      </c>
    </row>
    <row r="409">
      <c r="B409" t="inlineStr">
        <is>
          <t>CUHSL</t>
        </is>
      </c>
      <c r="C409" t="inlineStr">
        <is>
          <t>SHELVES</t>
        </is>
      </c>
      <c r="D409" t="inlineStr">
        <is>
          <t>QV 275 B553 1991</t>
        </is>
      </c>
      <c r="E409" t="inlineStr">
        <is>
          <t>0                      QV 0275000B  553         1991</t>
        </is>
      </c>
      <c r="F409" t="inlineStr">
        <is>
          <t>Beryllium : biomedical and environmental aspects / edited by Milton D. Rossman, Otto P. Preuss, Martin B. Powers.</t>
        </is>
      </c>
      <c r="H409" t="inlineStr">
        <is>
          <t>No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N409" t="inlineStr">
        <is>
          <t>Baltimore : Williams &amp; Wilkins, c1991.</t>
        </is>
      </c>
      <c r="O409" t="inlineStr">
        <is>
          <t>1991</t>
        </is>
      </c>
      <c r="Q409" t="inlineStr">
        <is>
          <t>eng</t>
        </is>
      </c>
      <c r="R409" t="inlineStr">
        <is>
          <t>mdu</t>
        </is>
      </c>
      <c r="T409" t="inlineStr">
        <is>
          <t xml:space="preserve">QV </t>
        </is>
      </c>
      <c r="U409" t="n">
        <v>4</v>
      </c>
      <c r="V409" t="n">
        <v>4</v>
      </c>
      <c r="W409" t="inlineStr">
        <is>
          <t>1999-01-25</t>
        </is>
      </c>
      <c r="X409" t="inlineStr">
        <is>
          <t>1999-01-25</t>
        </is>
      </c>
      <c r="Y409" t="inlineStr">
        <is>
          <t>1990-12-21</t>
        </is>
      </c>
      <c r="Z409" t="inlineStr">
        <is>
          <t>1990-12-21</t>
        </is>
      </c>
      <c r="AA409" t="n">
        <v>147</v>
      </c>
      <c r="AB409" t="n">
        <v>114</v>
      </c>
      <c r="AC409" t="n">
        <v>114</v>
      </c>
      <c r="AD409" t="n">
        <v>1</v>
      </c>
      <c r="AE409" t="n">
        <v>1</v>
      </c>
      <c r="AF409" t="n">
        <v>2</v>
      </c>
      <c r="AG409" t="n">
        <v>2</v>
      </c>
      <c r="AH409" t="n">
        <v>0</v>
      </c>
      <c r="AI409" t="n">
        <v>0</v>
      </c>
      <c r="AJ409" t="n">
        <v>1</v>
      </c>
      <c r="AK409" t="n">
        <v>1</v>
      </c>
      <c r="AL409" t="n">
        <v>1</v>
      </c>
      <c r="AM409" t="n">
        <v>1</v>
      </c>
      <c r="AN409" t="n">
        <v>0</v>
      </c>
      <c r="AO409" t="n">
        <v>0</v>
      </c>
      <c r="AP409" t="n">
        <v>0</v>
      </c>
      <c r="AQ409" t="n">
        <v>0</v>
      </c>
      <c r="AR409" t="inlineStr">
        <is>
          <t>No</t>
        </is>
      </c>
      <c r="AS409" t="inlineStr">
        <is>
          <t>No</t>
        </is>
      </c>
      <c r="AU409">
        <f>HYPERLINK("https://creighton-primo.hosted.exlibrisgroup.com/primo-explore/search?tab=default_tab&amp;search_scope=EVERYTHING&amp;vid=01CRU&amp;lang=en_US&amp;offset=0&amp;query=any,contains,991000813869702656","Catalog Record")</f>
        <v/>
      </c>
      <c r="AV409">
        <f>HYPERLINK("http://www.worldcat.org/oclc/22422590","WorldCat Record")</f>
        <v/>
      </c>
      <c r="AW409" t="inlineStr">
        <is>
          <t>836733394:eng</t>
        </is>
      </c>
      <c r="AX409" t="inlineStr">
        <is>
          <t>22422590</t>
        </is>
      </c>
      <c r="AY409" t="inlineStr">
        <is>
          <t>991000813869702656</t>
        </is>
      </c>
      <c r="AZ409" t="inlineStr">
        <is>
          <t>991000813869702656</t>
        </is>
      </c>
      <c r="BA409" t="inlineStr">
        <is>
          <t>2269320540002656</t>
        </is>
      </c>
      <c r="BB409" t="inlineStr">
        <is>
          <t>BOOK</t>
        </is>
      </c>
      <c r="BD409" t="inlineStr">
        <is>
          <t>9780683073874</t>
        </is>
      </c>
      <c r="BE409" t="inlineStr">
        <is>
          <t>30001002085548</t>
        </is>
      </c>
      <c r="BF409" t="inlineStr">
        <is>
          <t>893450441</t>
        </is>
      </c>
    </row>
    <row r="410">
      <c r="B410" t="inlineStr">
        <is>
          <t>CUHSL</t>
        </is>
      </c>
      <c r="C410" t="inlineStr">
        <is>
          <t>SHELVES</t>
        </is>
      </c>
      <c r="D410" t="inlineStr">
        <is>
          <t>QV 276 C14297 1983</t>
        </is>
      </c>
      <c r="E410" t="inlineStr">
        <is>
          <t>0                      QV 0276000C  14297       1983</t>
        </is>
      </c>
      <c r="F410" t="inlineStr">
        <is>
          <t>Calcium in biological systems / edited by Ronald P. Rubin, George B. Weiss, and James W. Putney, Jr.</t>
        </is>
      </c>
      <c r="H410" t="inlineStr">
        <is>
          <t>No</t>
        </is>
      </c>
      <c r="I410" t="inlineStr">
        <is>
          <t>1</t>
        </is>
      </c>
      <c r="J410" t="inlineStr">
        <is>
          <t>No</t>
        </is>
      </c>
      <c r="K410" t="inlineStr">
        <is>
          <t>No</t>
        </is>
      </c>
      <c r="L410" t="inlineStr">
        <is>
          <t>0</t>
        </is>
      </c>
      <c r="N410" t="inlineStr">
        <is>
          <t>New York : Plenum, c1985.</t>
        </is>
      </c>
      <c r="O410" t="inlineStr">
        <is>
          <t>1985</t>
        </is>
      </c>
      <c r="Q410" t="inlineStr">
        <is>
          <t>eng</t>
        </is>
      </c>
      <c r="R410" t="inlineStr">
        <is>
          <t>xxu</t>
        </is>
      </c>
      <c r="T410" t="inlineStr">
        <is>
          <t xml:space="preserve">QV </t>
        </is>
      </c>
      <c r="U410" t="n">
        <v>10</v>
      </c>
      <c r="V410" t="n">
        <v>10</v>
      </c>
      <c r="W410" t="inlineStr">
        <is>
          <t>1991-01-17</t>
        </is>
      </c>
      <c r="X410" t="inlineStr">
        <is>
          <t>1991-01-17</t>
        </is>
      </c>
      <c r="Y410" t="inlineStr">
        <is>
          <t>1988-02-09</t>
        </is>
      </c>
      <c r="Z410" t="inlineStr">
        <is>
          <t>1988-02-09</t>
        </is>
      </c>
      <c r="AA410" t="n">
        <v>301</v>
      </c>
      <c r="AB410" t="n">
        <v>221</v>
      </c>
      <c r="AC410" t="n">
        <v>245</v>
      </c>
      <c r="AD410" t="n">
        <v>2</v>
      </c>
      <c r="AE410" t="n">
        <v>2</v>
      </c>
      <c r="AF410" t="n">
        <v>6</v>
      </c>
      <c r="AG410" t="n">
        <v>7</v>
      </c>
      <c r="AH410" t="n">
        <v>0</v>
      </c>
      <c r="AI410" t="n">
        <v>1</v>
      </c>
      <c r="AJ410" t="n">
        <v>2</v>
      </c>
      <c r="AK410" t="n">
        <v>2</v>
      </c>
      <c r="AL410" t="n">
        <v>4</v>
      </c>
      <c r="AM410" t="n">
        <v>5</v>
      </c>
      <c r="AN410" t="n">
        <v>1</v>
      </c>
      <c r="AO410" t="n">
        <v>1</v>
      </c>
      <c r="AP410" t="n">
        <v>0</v>
      </c>
      <c r="AQ410" t="n">
        <v>0</v>
      </c>
      <c r="AR410" t="inlineStr">
        <is>
          <t>No</t>
        </is>
      </c>
      <c r="AS410" t="inlineStr">
        <is>
          <t>Yes</t>
        </is>
      </c>
      <c r="AT410">
        <f>HYPERLINK("http://catalog.hathitrust.org/Record/000651060","HathiTrust Record")</f>
        <v/>
      </c>
      <c r="AU410">
        <f>HYPERLINK("https://creighton-primo.hosted.exlibrisgroup.com/primo-explore/search?tab=default_tab&amp;search_scope=EVERYTHING&amp;vid=01CRU&amp;lang=en_US&amp;offset=0&amp;query=any,contains,991000961079702656","Catalog Record")</f>
        <v/>
      </c>
      <c r="AV410">
        <f>HYPERLINK("http://www.worldcat.org/oclc/11234543","WorldCat Record")</f>
        <v/>
      </c>
      <c r="AW410" t="inlineStr">
        <is>
          <t>355499850:eng</t>
        </is>
      </c>
      <c r="AX410" t="inlineStr">
        <is>
          <t>11234543</t>
        </is>
      </c>
      <c r="AY410" t="inlineStr">
        <is>
          <t>991000961079702656</t>
        </is>
      </c>
      <c r="AZ410" t="inlineStr">
        <is>
          <t>991000961079702656</t>
        </is>
      </c>
      <c r="BA410" t="inlineStr">
        <is>
          <t>2261943860002656</t>
        </is>
      </c>
      <c r="BB410" t="inlineStr">
        <is>
          <t>BOOK</t>
        </is>
      </c>
      <c r="BD410" t="inlineStr">
        <is>
          <t>9780306417474</t>
        </is>
      </c>
      <c r="BE410" t="inlineStr">
        <is>
          <t>30001000197584</t>
        </is>
      </c>
      <c r="BF410" t="inlineStr">
        <is>
          <t>893358048</t>
        </is>
      </c>
    </row>
    <row r="411">
      <c r="B411" t="inlineStr">
        <is>
          <t>CUHSL</t>
        </is>
      </c>
      <c r="C411" t="inlineStr">
        <is>
          <t>SHELVES</t>
        </is>
      </c>
      <c r="D411" t="inlineStr">
        <is>
          <t>QV 276 C143 1983</t>
        </is>
      </c>
      <c r="E411" t="inlineStr">
        <is>
          <t>0                      QV 0276000C  143         1983</t>
        </is>
      </c>
      <c r="F411" t="inlineStr">
        <is>
          <t>Calcium in biology / edited by Thomas G. Spiro.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N411" t="inlineStr">
        <is>
          <t>New York : Wiley, c1983.</t>
        </is>
      </c>
      <c r="O411" t="inlineStr">
        <is>
          <t>1983</t>
        </is>
      </c>
      <c r="Q411" t="inlineStr">
        <is>
          <t>eng</t>
        </is>
      </c>
      <c r="R411" t="inlineStr">
        <is>
          <t>xxu</t>
        </is>
      </c>
      <c r="S411" t="inlineStr">
        <is>
          <t>Metal ions in biology, ISSN 0271-2911 ;v. 6</t>
        </is>
      </c>
      <c r="T411" t="inlineStr">
        <is>
          <t xml:space="preserve">QV </t>
        </is>
      </c>
      <c r="U411" t="n">
        <v>2</v>
      </c>
      <c r="V411" t="n">
        <v>2</v>
      </c>
      <c r="W411" t="inlineStr">
        <is>
          <t>1999-10-26</t>
        </is>
      </c>
      <c r="X411" t="inlineStr">
        <is>
          <t>1999-10-26</t>
        </is>
      </c>
      <c r="Y411" t="inlineStr">
        <is>
          <t>1988-02-09</t>
        </is>
      </c>
      <c r="Z411" t="inlineStr">
        <is>
          <t>1988-02-09</t>
        </is>
      </c>
      <c r="AA411" t="n">
        <v>347</v>
      </c>
      <c r="AB411" t="n">
        <v>286</v>
      </c>
      <c r="AC411" t="n">
        <v>293</v>
      </c>
      <c r="AD411" t="n">
        <v>2</v>
      </c>
      <c r="AE411" t="n">
        <v>2</v>
      </c>
      <c r="AF411" t="n">
        <v>13</v>
      </c>
      <c r="AG411" t="n">
        <v>13</v>
      </c>
      <c r="AH411" t="n">
        <v>4</v>
      </c>
      <c r="AI411" t="n">
        <v>4</v>
      </c>
      <c r="AJ411" t="n">
        <v>4</v>
      </c>
      <c r="AK411" t="n">
        <v>4</v>
      </c>
      <c r="AL411" t="n">
        <v>9</v>
      </c>
      <c r="AM411" t="n">
        <v>9</v>
      </c>
      <c r="AN411" t="n">
        <v>1</v>
      </c>
      <c r="AO411" t="n">
        <v>1</v>
      </c>
      <c r="AP411" t="n">
        <v>0</v>
      </c>
      <c r="AQ411" t="n">
        <v>0</v>
      </c>
      <c r="AR411" t="inlineStr">
        <is>
          <t>No</t>
        </is>
      </c>
      <c r="AS411" t="inlineStr">
        <is>
          <t>Yes</t>
        </is>
      </c>
      <c r="AT411">
        <f>HYPERLINK("http://catalog.hathitrust.org/Record/000286616","HathiTrust Record")</f>
        <v/>
      </c>
      <c r="AU411">
        <f>HYPERLINK("https://creighton-primo.hosted.exlibrisgroup.com/primo-explore/search?tab=default_tab&amp;search_scope=EVERYTHING&amp;vid=01CRU&amp;lang=en_US&amp;offset=0&amp;query=any,contains,991000961259702656","Catalog Record")</f>
        <v/>
      </c>
      <c r="AV411">
        <f>HYPERLINK("http://www.worldcat.org/oclc/9685424","WorldCat Record")</f>
        <v/>
      </c>
      <c r="AW411" t="inlineStr">
        <is>
          <t>43765788:eng</t>
        </is>
      </c>
      <c r="AX411" t="inlineStr">
        <is>
          <t>9685424</t>
        </is>
      </c>
      <c r="AY411" t="inlineStr">
        <is>
          <t>991000961259702656</t>
        </is>
      </c>
      <c r="AZ411" t="inlineStr">
        <is>
          <t>991000961259702656</t>
        </is>
      </c>
      <c r="BA411" t="inlineStr">
        <is>
          <t>2270108860002656</t>
        </is>
      </c>
      <c r="BB411" t="inlineStr">
        <is>
          <t>BOOK</t>
        </is>
      </c>
      <c r="BD411" t="inlineStr">
        <is>
          <t>9780471885436</t>
        </is>
      </c>
      <c r="BE411" t="inlineStr">
        <is>
          <t>30001000197634</t>
        </is>
      </c>
      <c r="BF411" t="inlineStr">
        <is>
          <t>893820761</t>
        </is>
      </c>
    </row>
    <row r="412">
      <c r="B412" t="inlineStr">
        <is>
          <t>CUHSL</t>
        </is>
      </c>
      <c r="C412" t="inlineStr">
        <is>
          <t>SHELVES</t>
        </is>
      </c>
      <c r="D412" t="inlineStr">
        <is>
          <t>QV 276 C1436 1988</t>
        </is>
      </c>
      <c r="E412" t="inlineStr">
        <is>
          <t>0                      QV 0276000C  1436        1988</t>
        </is>
      </c>
      <c r="F412" t="inlineStr">
        <is>
          <t>Calcium in human biology / B.E.C. Nordin (ed.).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N412" t="inlineStr">
        <is>
          <t>London ; New York : Springer-Verlag, c1988.</t>
        </is>
      </c>
      <c r="O412" t="inlineStr">
        <is>
          <t>1988</t>
        </is>
      </c>
      <c r="Q412" t="inlineStr">
        <is>
          <t>eng</t>
        </is>
      </c>
      <c r="R412" t="inlineStr">
        <is>
          <t>enk</t>
        </is>
      </c>
      <c r="S412" t="inlineStr">
        <is>
          <t>ILSI human nutrition reviews</t>
        </is>
      </c>
      <c r="T412" t="inlineStr">
        <is>
          <t xml:space="preserve">QV </t>
        </is>
      </c>
      <c r="U412" t="n">
        <v>8</v>
      </c>
      <c r="V412" t="n">
        <v>8</v>
      </c>
      <c r="W412" t="inlineStr">
        <is>
          <t>1993-01-11</t>
        </is>
      </c>
      <c r="X412" t="inlineStr">
        <is>
          <t>1993-01-11</t>
        </is>
      </c>
      <c r="Y412" t="inlineStr">
        <is>
          <t>1989-02-11</t>
        </is>
      </c>
      <c r="Z412" t="inlineStr">
        <is>
          <t>1989-02-11</t>
        </is>
      </c>
      <c r="AA412" t="n">
        <v>223</v>
      </c>
      <c r="AB412" t="n">
        <v>151</v>
      </c>
      <c r="AC412" t="n">
        <v>171</v>
      </c>
      <c r="AD412" t="n">
        <v>1</v>
      </c>
      <c r="AE412" t="n">
        <v>1</v>
      </c>
      <c r="AF412" t="n">
        <v>5</v>
      </c>
      <c r="AG412" t="n">
        <v>6</v>
      </c>
      <c r="AH412" t="n">
        <v>0</v>
      </c>
      <c r="AI412" t="n">
        <v>1</v>
      </c>
      <c r="AJ412" t="n">
        <v>3</v>
      </c>
      <c r="AK412" t="n">
        <v>3</v>
      </c>
      <c r="AL412" t="n">
        <v>3</v>
      </c>
      <c r="AM412" t="n">
        <v>4</v>
      </c>
      <c r="AN412" t="n">
        <v>0</v>
      </c>
      <c r="AO412" t="n">
        <v>0</v>
      </c>
      <c r="AP412" t="n">
        <v>0</v>
      </c>
      <c r="AQ412" t="n">
        <v>0</v>
      </c>
      <c r="AR412" t="inlineStr">
        <is>
          <t>No</t>
        </is>
      </c>
      <c r="AS412" t="inlineStr">
        <is>
          <t>Yes</t>
        </is>
      </c>
      <c r="AT412">
        <f>HYPERLINK("http://catalog.hathitrust.org/Record/000945735","HathiTrust Record")</f>
        <v/>
      </c>
      <c r="AU412">
        <f>HYPERLINK("https://creighton-primo.hosted.exlibrisgroup.com/primo-explore/search?tab=default_tab&amp;search_scope=EVERYTHING&amp;vid=01CRU&amp;lang=en_US&amp;offset=0&amp;query=any,contains,991001120979702656","Catalog Record")</f>
        <v/>
      </c>
      <c r="AV412">
        <f>HYPERLINK("http://www.worldcat.org/oclc/17354645","WorldCat Record")</f>
        <v/>
      </c>
      <c r="AW412" t="inlineStr">
        <is>
          <t>15466725:eng</t>
        </is>
      </c>
      <c r="AX412" t="inlineStr">
        <is>
          <t>17354645</t>
        </is>
      </c>
      <c r="AY412" t="inlineStr">
        <is>
          <t>991001120979702656</t>
        </is>
      </c>
      <c r="AZ412" t="inlineStr">
        <is>
          <t>991001120979702656</t>
        </is>
      </c>
      <c r="BA412" t="inlineStr">
        <is>
          <t>2258431620002656</t>
        </is>
      </c>
      <c r="BB412" t="inlineStr">
        <is>
          <t>BOOK</t>
        </is>
      </c>
      <c r="BD412" t="inlineStr">
        <is>
          <t>9780387174754</t>
        </is>
      </c>
      <c r="BE412" t="inlineStr">
        <is>
          <t>30001001614496</t>
        </is>
      </c>
      <c r="BF412" t="inlineStr">
        <is>
          <t>893638051</t>
        </is>
      </c>
    </row>
    <row r="413">
      <c r="B413" t="inlineStr">
        <is>
          <t>CUHSL</t>
        </is>
      </c>
      <c r="C413" t="inlineStr">
        <is>
          <t>SHELVES</t>
        </is>
      </c>
      <c r="D413" t="inlineStr">
        <is>
          <t>QV 276 C164 1985</t>
        </is>
      </c>
      <c r="E413" t="inlineStr">
        <is>
          <t>0                      QV 0276000C  164         1985</t>
        </is>
      </c>
      <c r="F413" t="inlineStr">
        <is>
          <t>Calmodulin antagonists and cellular physiology / edited by Hiroyoshi Hidaka, David J. Hartshorne.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N413" t="inlineStr">
        <is>
          <t>Orlando : Academic Press, c1985.</t>
        </is>
      </c>
      <c r="O413" t="inlineStr">
        <is>
          <t>1985</t>
        </is>
      </c>
      <c r="Q413" t="inlineStr">
        <is>
          <t>eng</t>
        </is>
      </c>
      <c r="R413" t="inlineStr">
        <is>
          <t>flu</t>
        </is>
      </c>
      <c r="T413" t="inlineStr">
        <is>
          <t xml:space="preserve">QV </t>
        </is>
      </c>
      <c r="U413" t="n">
        <v>2</v>
      </c>
      <c r="V413" t="n">
        <v>2</v>
      </c>
      <c r="W413" t="inlineStr">
        <is>
          <t>1991-01-17</t>
        </is>
      </c>
      <c r="X413" t="inlineStr">
        <is>
          <t>1991-01-17</t>
        </is>
      </c>
      <c r="Y413" t="inlineStr">
        <is>
          <t>1988-02-09</t>
        </is>
      </c>
      <c r="Z413" t="inlineStr">
        <is>
          <t>1988-02-09</t>
        </is>
      </c>
      <c r="AA413" t="n">
        <v>210</v>
      </c>
      <c r="AB413" t="n">
        <v>160</v>
      </c>
      <c r="AC413" t="n">
        <v>209</v>
      </c>
      <c r="AD413" t="n">
        <v>1</v>
      </c>
      <c r="AE413" t="n">
        <v>1</v>
      </c>
      <c r="AF413" t="n">
        <v>6</v>
      </c>
      <c r="AG413" t="n">
        <v>8</v>
      </c>
      <c r="AH413" t="n">
        <v>1</v>
      </c>
      <c r="AI413" t="n">
        <v>3</v>
      </c>
      <c r="AJ413" t="n">
        <v>3</v>
      </c>
      <c r="AK413" t="n">
        <v>4</v>
      </c>
      <c r="AL413" t="n">
        <v>4</v>
      </c>
      <c r="AM413" t="n">
        <v>4</v>
      </c>
      <c r="AN413" t="n">
        <v>0</v>
      </c>
      <c r="AO413" t="n">
        <v>0</v>
      </c>
      <c r="AP413" t="n">
        <v>0</v>
      </c>
      <c r="AQ413" t="n">
        <v>0</v>
      </c>
      <c r="AR413" t="inlineStr">
        <is>
          <t>No</t>
        </is>
      </c>
      <c r="AS413" t="inlineStr">
        <is>
          <t>Yes</t>
        </is>
      </c>
      <c r="AT413">
        <f>HYPERLINK("http://catalog.hathitrust.org/Record/000579132","HathiTrust Record")</f>
        <v/>
      </c>
      <c r="AU413">
        <f>HYPERLINK("https://creighton-primo.hosted.exlibrisgroup.com/primo-explore/search?tab=default_tab&amp;search_scope=EVERYTHING&amp;vid=01CRU&amp;lang=en_US&amp;offset=0&amp;query=any,contains,991000961119702656","Catalog Record")</f>
        <v/>
      </c>
      <c r="AV413">
        <f>HYPERLINK("http://www.worldcat.org/oclc/11113581","WorldCat Record")</f>
        <v/>
      </c>
      <c r="AW413" t="inlineStr">
        <is>
          <t>355487248:eng</t>
        </is>
      </c>
      <c r="AX413" t="inlineStr">
        <is>
          <t>11113581</t>
        </is>
      </c>
      <c r="AY413" t="inlineStr">
        <is>
          <t>991000961119702656</t>
        </is>
      </c>
      <c r="AZ413" t="inlineStr">
        <is>
          <t>991000961119702656</t>
        </is>
      </c>
      <c r="BA413" t="inlineStr">
        <is>
          <t>2256330630002656</t>
        </is>
      </c>
      <c r="BB413" t="inlineStr">
        <is>
          <t>BOOK</t>
        </is>
      </c>
      <c r="BD413" t="inlineStr">
        <is>
          <t>9780123472304</t>
        </is>
      </c>
      <c r="BE413" t="inlineStr">
        <is>
          <t>30001000197600</t>
        </is>
      </c>
      <c r="BF413" t="inlineStr">
        <is>
          <t>893560789</t>
        </is>
      </c>
    </row>
    <row r="414">
      <c r="B414" t="inlineStr">
        <is>
          <t>CUHSL</t>
        </is>
      </c>
      <c r="C414" t="inlineStr">
        <is>
          <t>SHELVES</t>
        </is>
      </c>
      <c r="D414" t="inlineStr">
        <is>
          <t>QV 276 C187i 1983</t>
        </is>
      </c>
      <c r="E414" t="inlineStr">
        <is>
          <t>0                      QV 0276000C  187i        1983</t>
        </is>
      </c>
      <c r="F414" t="inlineStr">
        <is>
          <t>Intracellular calcium : its universal role as regulator / Anthony K. Campbell.</t>
        </is>
      </c>
      <c r="H414" t="inlineStr">
        <is>
          <t>No</t>
        </is>
      </c>
      <c r="I414" t="inlineStr">
        <is>
          <t>1</t>
        </is>
      </c>
      <c r="J414" t="inlineStr">
        <is>
          <t>Yes</t>
        </is>
      </c>
      <c r="K414" t="inlineStr">
        <is>
          <t>No</t>
        </is>
      </c>
      <c r="L414" t="inlineStr">
        <is>
          <t>0</t>
        </is>
      </c>
      <c r="M414" t="inlineStr">
        <is>
          <t>Campbell, Anthony K.</t>
        </is>
      </c>
      <c r="N414" t="inlineStr">
        <is>
          <t>Chichester [West Sussex] ; New York : Wiley, c1983.</t>
        </is>
      </c>
      <c r="O414" t="inlineStr">
        <is>
          <t>1983</t>
        </is>
      </c>
      <c r="Q414" t="inlineStr">
        <is>
          <t>eng</t>
        </is>
      </c>
      <c r="R414" t="inlineStr">
        <is>
          <t>enk</t>
        </is>
      </c>
      <c r="S414" t="inlineStr">
        <is>
          <t>Monographs in molecular biophysics and biochemistry</t>
        </is>
      </c>
      <c r="T414" t="inlineStr">
        <is>
          <t xml:space="preserve">QV </t>
        </is>
      </c>
      <c r="U414" t="n">
        <v>3</v>
      </c>
      <c r="V414" t="n">
        <v>3</v>
      </c>
      <c r="W414" t="inlineStr">
        <is>
          <t>1990-07-23</t>
        </is>
      </c>
      <c r="X414" t="inlineStr">
        <is>
          <t>1990-07-23</t>
        </is>
      </c>
      <c r="Y414" t="inlineStr">
        <is>
          <t>1988-02-09</t>
        </is>
      </c>
      <c r="Z414" t="inlineStr">
        <is>
          <t>1988-02-09</t>
        </is>
      </c>
      <c r="AA414" t="n">
        <v>448</v>
      </c>
      <c r="AB414" t="n">
        <v>323</v>
      </c>
      <c r="AC414" t="n">
        <v>325</v>
      </c>
      <c r="AD414" t="n">
        <v>3</v>
      </c>
      <c r="AE414" t="n">
        <v>3</v>
      </c>
      <c r="AF414" t="n">
        <v>15</v>
      </c>
      <c r="AG414" t="n">
        <v>15</v>
      </c>
      <c r="AH414" t="n">
        <v>6</v>
      </c>
      <c r="AI414" t="n">
        <v>6</v>
      </c>
      <c r="AJ414" t="n">
        <v>5</v>
      </c>
      <c r="AK414" t="n">
        <v>5</v>
      </c>
      <c r="AL414" t="n">
        <v>8</v>
      </c>
      <c r="AM414" t="n">
        <v>8</v>
      </c>
      <c r="AN414" t="n">
        <v>1</v>
      </c>
      <c r="AO414" t="n">
        <v>1</v>
      </c>
      <c r="AP414" t="n">
        <v>0</v>
      </c>
      <c r="AQ414" t="n">
        <v>0</v>
      </c>
      <c r="AR414" t="inlineStr">
        <is>
          <t>No</t>
        </is>
      </c>
      <c r="AS414" t="inlineStr">
        <is>
          <t>Yes</t>
        </is>
      </c>
      <c r="AT414">
        <f>HYPERLINK("http://catalog.hathitrust.org/Record/000203548","HathiTrust Record")</f>
        <v/>
      </c>
      <c r="AU414">
        <f>HYPERLINK("https://creighton-primo.hosted.exlibrisgroup.com/primo-explore/search?tab=default_tab&amp;search_scope=EVERYTHING&amp;vid=01CRU&amp;lang=en_US&amp;offset=0&amp;query=any,contains,991000961159702656","Catalog Record")</f>
        <v/>
      </c>
      <c r="AV414">
        <f>HYPERLINK("http://www.worldcat.org/oclc/8476156","WorldCat Record")</f>
        <v/>
      </c>
      <c r="AW414" t="inlineStr">
        <is>
          <t>235060726:eng</t>
        </is>
      </c>
      <c r="AX414" t="inlineStr">
        <is>
          <t>8476156</t>
        </is>
      </c>
      <c r="AY414" t="inlineStr">
        <is>
          <t>991000961159702656</t>
        </is>
      </c>
      <c r="AZ414" t="inlineStr">
        <is>
          <t>991000961159702656</t>
        </is>
      </c>
      <c r="BA414" t="inlineStr">
        <is>
          <t>2271691560002656</t>
        </is>
      </c>
      <c r="BB414" t="inlineStr">
        <is>
          <t>BOOK</t>
        </is>
      </c>
      <c r="BD414" t="inlineStr">
        <is>
          <t>9780471104889</t>
        </is>
      </c>
      <c r="BE414" t="inlineStr">
        <is>
          <t>30001000197592</t>
        </is>
      </c>
      <c r="BF414" t="inlineStr">
        <is>
          <t>893831782</t>
        </is>
      </c>
    </row>
    <row r="415">
      <c r="B415" t="inlineStr">
        <is>
          <t>CUHSL</t>
        </is>
      </c>
      <c r="C415" t="inlineStr">
        <is>
          <t>SHELVES</t>
        </is>
      </c>
      <c r="D415" t="inlineStr">
        <is>
          <t>QV 276 C3933 1987</t>
        </is>
      </c>
      <c r="E415" t="inlineStr">
        <is>
          <t>0                      QV 0276000C  3933        1987</t>
        </is>
      </c>
      <c r="F415" t="inlineStr">
        <is>
          <t>Cell calcium metabolism : physiology, biochemistry, pharmacology, and clinical implications / edited by Gary Fiskum.</t>
        </is>
      </c>
      <c r="H415" t="inlineStr">
        <is>
          <t>No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N415" t="inlineStr">
        <is>
          <t>New York : Plenum Press, c1989.</t>
        </is>
      </c>
      <c r="O415" t="inlineStr">
        <is>
          <t>1989</t>
        </is>
      </c>
      <c r="Q415" t="inlineStr">
        <is>
          <t>eng</t>
        </is>
      </c>
      <c r="R415" t="inlineStr">
        <is>
          <t>xxu</t>
        </is>
      </c>
      <c r="S415" t="inlineStr">
        <is>
          <t>GWUMC Department of Biochemistry annual spring symposia</t>
        </is>
      </c>
      <c r="T415" t="inlineStr">
        <is>
          <t xml:space="preserve">QV </t>
        </is>
      </c>
      <c r="U415" t="n">
        <v>8</v>
      </c>
      <c r="V415" t="n">
        <v>8</v>
      </c>
      <c r="W415" t="inlineStr">
        <is>
          <t>1990-04-10</t>
        </is>
      </c>
      <c r="X415" t="inlineStr">
        <is>
          <t>1990-04-10</t>
        </is>
      </c>
      <c r="Y415" t="inlineStr">
        <is>
          <t>1988-11-30</t>
        </is>
      </c>
      <c r="Z415" t="inlineStr">
        <is>
          <t>1988-11-30</t>
        </is>
      </c>
      <c r="AA415" t="n">
        <v>153</v>
      </c>
      <c r="AB415" t="n">
        <v>110</v>
      </c>
      <c r="AC415" t="n">
        <v>130</v>
      </c>
      <c r="AD415" t="n">
        <v>2</v>
      </c>
      <c r="AE415" t="n">
        <v>2</v>
      </c>
      <c r="AF415" t="n">
        <v>6</v>
      </c>
      <c r="AG415" t="n">
        <v>7</v>
      </c>
      <c r="AH415" t="n">
        <v>1</v>
      </c>
      <c r="AI415" t="n">
        <v>2</v>
      </c>
      <c r="AJ415" t="n">
        <v>3</v>
      </c>
      <c r="AK415" t="n">
        <v>3</v>
      </c>
      <c r="AL415" t="n">
        <v>2</v>
      </c>
      <c r="AM415" t="n">
        <v>3</v>
      </c>
      <c r="AN415" t="n">
        <v>1</v>
      </c>
      <c r="AO415" t="n">
        <v>1</v>
      </c>
      <c r="AP415" t="n">
        <v>0</v>
      </c>
      <c r="AQ415" t="n">
        <v>0</v>
      </c>
      <c r="AR415" t="inlineStr">
        <is>
          <t>No</t>
        </is>
      </c>
      <c r="AS415" t="inlineStr">
        <is>
          <t>No</t>
        </is>
      </c>
      <c r="AU415">
        <f>HYPERLINK("https://creighton-primo.hosted.exlibrisgroup.com/primo-explore/search?tab=default_tab&amp;search_scope=EVERYTHING&amp;vid=01CRU&amp;lang=en_US&amp;offset=0&amp;query=any,contains,991001105009702656","Catalog Record")</f>
        <v/>
      </c>
      <c r="AV415">
        <f>HYPERLINK("http://www.worldcat.org/oclc/19392835","WorldCat Record")</f>
        <v/>
      </c>
      <c r="AW415" t="inlineStr">
        <is>
          <t>808777224:eng</t>
        </is>
      </c>
      <c r="AX415" t="inlineStr">
        <is>
          <t>19392835</t>
        </is>
      </c>
      <c r="AY415" t="inlineStr">
        <is>
          <t>991001105009702656</t>
        </is>
      </c>
      <c r="AZ415" t="inlineStr">
        <is>
          <t>991001105009702656</t>
        </is>
      </c>
      <c r="BA415" t="inlineStr">
        <is>
          <t>2264659040002656</t>
        </is>
      </c>
      <c r="BB415" t="inlineStr">
        <is>
          <t>BOOK</t>
        </is>
      </c>
      <c r="BD415" t="inlineStr">
        <is>
          <t>9780306430695</t>
        </is>
      </c>
      <c r="BE415" t="inlineStr">
        <is>
          <t>30001001610650</t>
        </is>
      </c>
      <c r="BF415" t="inlineStr">
        <is>
          <t>893268080</t>
        </is>
      </c>
    </row>
    <row r="416">
      <c r="B416" t="inlineStr">
        <is>
          <t>CUHSL</t>
        </is>
      </c>
      <c r="C416" t="inlineStr">
        <is>
          <t>SHELVES</t>
        </is>
      </c>
      <c r="D416" t="inlineStr">
        <is>
          <t>QV 276 K36i 1981</t>
        </is>
      </c>
      <c r="E416" t="inlineStr">
        <is>
          <t>0                      QV 0276000K  36i         1981</t>
        </is>
      </c>
      <c r="F416" t="inlineStr">
        <is>
          <t>Intestinal calcium absorption and its regulation / author, Alexander D. Kenny.</t>
        </is>
      </c>
      <c r="H416" t="inlineStr">
        <is>
          <t>No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M416" t="inlineStr">
        <is>
          <t>Kenny, Alexander D.</t>
        </is>
      </c>
      <c r="N416" t="inlineStr">
        <is>
          <t>Boca Raton, Fl. : CRC Press, 1981.</t>
        </is>
      </c>
      <c r="O416" t="inlineStr">
        <is>
          <t>1981</t>
        </is>
      </c>
      <c r="Q416" t="inlineStr">
        <is>
          <t>eng</t>
        </is>
      </c>
      <c r="R416" t="inlineStr">
        <is>
          <t>xxu</t>
        </is>
      </c>
      <c r="T416" t="inlineStr">
        <is>
          <t xml:space="preserve">QV </t>
        </is>
      </c>
      <c r="U416" t="n">
        <v>3</v>
      </c>
      <c r="V416" t="n">
        <v>3</v>
      </c>
      <c r="W416" t="inlineStr">
        <is>
          <t>1989-11-30</t>
        </is>
      </c>
      <c r="X416" t="inlineStr">
        <is>
          <t>1989-11-30</t>
        </is>
      </c>
      <c r="Y416" t="inlineStr">
        <is>
          <t>1988-02-09</t>
        </is>
      </c>
      <c r="Z416" t="inlineStr">
        <is>
          <t>1988-02-09</t>
        </is>
      </c>
      <c r="AA416" t="n">
        <v>157</v>
      </c>
      <c r="AB416" t="n">
        <v>118</v>
      </c>
      <c r="AC416" t="n">
        <v>142</v>
      </c>
      <c r="AD416" t="n">
        <v>1</v>
      </c>
      <c r="AE416" t="n">
        <v>1</v>
      </c>
      <c r="AF416" t="n">
        <v>1</v>
      </c>
      <c r="AG416" t="n">
        <v>1</v>
      </c>
      <c r="AH416" t="n">
        <v>0</v>
      </c>
      <c r="AI416" t="n">
        <v>0</v>
      </c>
      <c r="AJ416" t="n">
        <v>1</v>
      </c>
      <c r="AK416" t="n">
        <v>1</v>
      </c>
      <c r="AL416" t="n">
        <v>1</v>
      </c>
      <c r="AM416" t="n">
        <v>1</v>
      </c>
      <c r="AN416" t="n">
        <v>0</v>
      </c>
      <c r="AO416" t="n">
        <v>0</v>
      </c>
      <c r="AP416" t="n">
        <v>0</v>
      </c>
      <c r="AQ416" t="n">
        <v>0</v>
      </c>
      <c r="AR416" t="inlineStr">
        <is>
          <t>No</t>
        </is>
      </c>
      <c r="AS416" t="inlineStr">
        <is>
          <t>Yes</t>
        </is>
      </c>
      <c r="AT416">
        <f>HYPERLINK("http://catalog.hathitrust.org/Record/000207203","HathiTrust Record")</f>
        <v/>
      </c>
      <c r="AU416">
        <f>HYPERLINK("https://creighton-primo.hosted.exlibrisgroup.com/primo-explore/search?tab=default_tab&amp;search_scope=EVERYTHING&amp;vid=01CRU&amp;lang=en_US&amp;offset=0&amp;query=any,contains,991000961039702656","Catalog Record")</f>
        <v/>
      </c>
      <c r="AV416">
        <f>HYPERLINK("http://www.worldcat.org/oclc/7171067","WorldCat Record")</f>
        <v/>
      </c>
      <c r="AW416" t="inlineStr">
        <is>
          <t>508752:eng</t>
        </is>
      </c>
      <c r="AX416" t="inlineStr">
        <is>
          <t>7171067</t>
        </is>
      </c>
      <c r="AY416" t="inlineStr">
        <is>
          <t>991000961039702656</t>
        </is>
      </c>
      <c r="AZ416" t="inlineStr">
        <is>
          <t>991000961039702656</t>
        </is>
      </c>
      <c r="BA416" t="inlineStr">
        <is>
          <t>2266380760002656</t>
        </is>
      </c>
      <c r="BB416" t="inlineStr">
        <is>
          <t>BOOK</t>
        </is>
      </c>
      <c r="BD416" t="inlineStr">
        <is>
          <t>9780849357015</t>
        </is>
      </c>
      <c r="BE416" t="inlineStr">
        <is>
          <t>30001000197535</t>
        </is>
      </c>
      <c r="BF416" t="inlineStr">
        <is>
          <t>893637888</t>
        </is>
      </c>
    </row>
    <row r="417">
      <c r="B417" t="inlineStr">
        <is>
          <t>CUHSL</t>
        </is>
      </c>
      <c r="C417" t="inlineStr">
        <is>
          <t>SHELVES</t>
        </is>
      </c>
      <c r="D417" t="inlineStr">
        <is>
          <t>QV 276 M533 1982</t>
        </is>
      </c>
      <c r="E417" t="inlineStr">
        <is>
          <t>0                      QV 0276000M  533         1982</t>
        </is>
      </c>
      <c r="F417" t="inlineStr">
        <is>
          <t>Membrane transport of calcium / edited by Ernesto Carafoli.</t>
        </is>
      </c>
      <c r="H417" t="inlineStr">
        <is>
          <t>No</t>
        </is>
      </c>
      <c r="I417" t="inlineStr">
        <is>
          <t>1</t>
        </is>
      </c>
      <c r="J417" t="inlineStr">
        <is>
          <t>No</t>
        </is>
      </c>
      <c r="K417" t="inlineStr">
        <is>
          <t>No</t>
        </is>
      </c>
      <c r="L417" t="inlineStr">
        <is>
          <t>0</t>
        </is>
      </c>
      <c r="N417" t="inlineStr">
        <is>
          <t>London ; New York : Academic Press, c1982.</t>
        </is>
      </c>
      <c r="O417" t="inlineStr">
        <is>
          <t>1982</t>
        </is>
      </c>
      <c r="Q417" t="inlineStr">
        <is>
          <t>eng</t>
        </is>
      </c>
      <c r="R417" t="inlineStr">
        <is>
          <t>enk</t>
        </is>
      </c>
      <c r="T417" t="inlineStr">
        <is>
          <t xml:space="preserve">QV </t>
        </is>
      </c>
      <c r="U417" t="n">
        <v>5</v>
      </c>
      <c r="V417" t="n">
        <v>5</v>
      </c>
      <c r="W417" t="inlineStr">
        <is>
          <t>2006-04-04</t>
        </is>
      </c>
      <c r="X417" t="inlineStr">
        <is>
          <t>2006-04-04</t>
        </is>
      </c>
      <c r="Y417" t="inlineStr">
        <is>
          <t>1988-02-09</t>
        </is>
      </c>
      <c r="Z417" t="inlineStr">
        <is>
          <t>1988-02-09</t>
        </is>
      </c>
      <c r="AA417" t="n">
        <v>262</v>
      </c>
      <c r="AB417" t="n">
        <v>169</v>
      </c>
      <c r="AC417" t="n">
        <v>177</v>
      </c>
      <c r="AD417" t="n">
        <v>2</v>
      </c>
      <c r="AE417" t="n">
        <v>2</v>
      </c>
      <c r="AF417" t="n">
        <v>6</v>
      </c>
      <c r="AG417" t="n">
        <v>6</v>
      </c>
      <c r="AH417" t="n">
        <v>1</v>
      </c>
      <c r="AI417" t="n">
        <v>1</v>
      </c>
      <c r="AJ417" t="n">
        <v>2</v>
      </c>
      <c r="AK417" t="n">
        <v>2</v>
      </c>
      <c r="AL417" t="n">
        <v>3</v>
      </c>
      <c r="AM417" t="n">
        <v>3</v>
      </c>
      <c r="AN417" t="n">
        <v>1</v>
      </c>
      <c r="AO417" t="n">
        <v>1</v>
      </c>
      <c r="AP417" t="n">
        <v>0</v>
      </c>
      <c r="AQ417" t="n">
        <v>0</v>
      </c>
      <c r="AR417" t="inlineStr">
        <is>
          <t>No</t>
        </is>
      </c>
      <c r="AS417" t="inlineStr">
        <is>
          <t>Yes</t>
        </is>
      </c>
      <c r="AT417">
        <f>HYPERLINK("http://catalog.hathitrust.org/Record/000329670","HathiTrust Record")</f>
        <v/>
      </c>
      <c r="AU417">
        <f>HYPERLINK("https://creighton-primo.hosted.exlibrisgroup.com/primo-explore/search?tab=default_tab&amp;search_scope=EVERYTHING&amp;vid=01CRU&amp;lang=en_US&amp;offset=0&amp;query=any,contains,991000960959702656","Catalog Record")</f>
        <v/>
      </c>
      <c r="AV417">
        <f>HYPERLINK("http://www.worldcat.org/oclc/8502879","WorldCat Record")</f>
        <v/>
      </c>
      <c r="AW417" t="inlineStr">
        <is>
          <t>54506707:eng</t>
        </is>
      </c>
      <c r="AX417" t="inlineStr">
        <is>
          <t>8502879</t>
        </is>
      </c>
      <c r="AY417" t="inlineStr">
        <is>
          <t>991000960959702656</t>
        </is>
      </c>
      <c r="AZ417" t="inlineStr">
        <is>
          <t>991000960959702656</t>
        </is>
      </c>
      <c r="BA417" t="inlineStr">
        <is>
          <t>2260679550002656</t>
        </is>
      </c>
      <c r="BB417" t="inlineStr">
        <is>
          <t>BOOK</t>
        </is>
      </c>
      <c r="BD417" t="inlineStr">
        <is>
          <t>9780121593209</t>
        </is>
      </c>
      <c r="BE417" t="inlineStr">
        <is>
          <t>30001000197527</t>
        </is>
      </c>
      <c r="BF417" t="inlineStr">
        <is>
          <t>893267873</t>
        </is>
      </c>
    </row>
    <row r="418">
      <c r="B418" t="inlineStr">
        <is>
          <t>CUHSL</t>
        </is>
      </c>
      <c r="C418" t="inlineStr">
        <is>
          <t>SHELVES</t>
        </is>
      </c>
      <c r="D418" t="inlineStr">
        <is>
          <t>QV 276 N331c 1988</t>
        </is>
      </c>
      <c r="E418" t="inlineStr">
        <is>
          <t>0                      QV 0276000N  331c        1988</t>
        </is>
      </c>
      <c r="F418" t="inlineStr">
        <is>
          <t>Calcium antagonists / Winifred G. Nayler.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Nayler, W.</t>
        </is>
      </c>
      <c r="N418" t="inlineStr">
        <is>
          <t>London ; San Diego : Academic, c1988.</t>
        </is>
      </c>
      <c r="O418" t="inlineStr">
        <is>
          <t>1988</t>
        </is>
      </c>
      <c r="Q418" t="inlineStr">
        <is>
          <t>eng</t>
        </is>
      </c>
      <c r="R418" t="inlineStr">
        <is>
          <t>enk</t>
        </is>
      </c>
      <c r="T418" t="inlineStr">
        <is>
          <t xml:space="preserve">QV </t>
        </is>
      </c>
      <c r="U418" t="n">
        <v>4</v>
      </c>
      <c r="V418" t="n">
        <v>4</v>
      </c>
      <c r="W418" t="inlineStr">
        <is>
          <t>1996-01-09</t>
        </is>
      </c>
      <c r="X418" t="inlineStr">
        <is>
          <t>1996-01-09</t>
        </is>
      </c>
      <c r="Y418" t="inlineStr">
        <is>
          <t>1989-02-17</t>
        </is>
      </c>
      <c r="Z418" t="inlineStr">
        <is>
          <t>1989-02-17</t>
        </is>
      </c>
      <c r="AA418" t="n">
        <v>145</v>
      </c>
      <c r="AB418" t="n">
        <v>91</v>
      </c>
      <c r="AC418" t="n">
        <v>93</v>
      </c>
      <c r="AD418" t="n">
        <v>1</v>
      </c>
      <c r="AE418" t="n">
        <v>1</v>
      </c>
      <c r="AF418" t="n">
        <v>2</v>
      </c>
      <c r="AG418" t="n">
        <v>2</v>
      </c>
      <c r="AH418" t="n">
        <v>1</v>
      </c>
      <c r="AI418" t="n">
        <v>1</v>
      </c>
      <c r="AJ418" t="n">
        <v>0</v>
      </c>
      <c r="AK418" t="n">
        <v>0</v>
      </c>
      <c r="AL418" t="n">
        <v>1</v>
      </c>
      <c r="AM418" t="n">
        <v>1</v>
      </c>
      <c r="AN418" t="n">
        <v>0</v>
      </c>
      <c r="AO418" t="n">
        <v>0</v>
      </c>
      <c r="AP418" t="n">
        <v>0</v>
      </c>
      <c r="AQ418" t="n">
        <v>0</v>
      </c>
      <c r="AR418" t="inlineStr">
        <is>
          <t>No</t>
        </is>
      </c>
      <c r="AS418" t="inlineStr">
        <is>
          <t>Yes</t>
        </is>
      </c>
      <c r="AT418">
        <f>HYPERLINK("http://catalog.hathitrust.org/Record/000949606","HathiTrust Record")</f>
        <v/>
      </c>
      <c r="AU418">
        <f>HYPERLINK("https://creighton-primo.hosted.exlibrisgroup.com/primo-explore/search?tab=default_tab&amp;search_scope=EVERYTHING&amp;vid=01CRU&amp;lang=en_US&amp;offset=0&amp;query=any,contains,991001124199702656","Catalog Record")</f>
        <v/>
      </c>
      <c r="AV418">
        <f>HYPERLINK("http://www.worldcat.org/oclc/20398391","WorldCat Record")</f>
        <v/>
      </c>
      <c r="AW418" t="inlineStr">
        <is>
          <t>17645194:eng</t>
        </is>
      </c>
      <c r="AX418" t="inlineStr">
        <is>
          <t>20398391</t>
        </is>
      </c>
      <c r="AY418" t="inlineStr">
        <is>
          <t>991001124199702656</t>
        </is>
      </c>
      <c r="AZ418" t="inlineStr">
        <is>
          <t>991001124199702656</t>
        </is>
      </c>
      <c r="BA418" t="inlineStr">
        <is>
          <t>2258654710002656</t>
        </is>
      </c>
      <c r="BB418" t="inlineStr">
        <is>
          <t>BOOK</t>
        </is>
      </c>
      <c r="BD418" t="inlineStr">
        <is>
          <t>9780125146456</t>
        </is>
      </c>
      <c r="BE418" t="inlineStr">
        <is>
          <t>30001001615006</t>
        </is>
      </c>
      <c r="BF418" t="inlineStr">
        <is>
          <t>893546388</t>
        </is>
      </c>
    </row>
    <row r="419">
      <c r="B419" t="inlineStr">
        <is>
          <t>CUHSL</t>
        </is>
      </c>
      <c r="C419" t="inlineStr">
        <is>
          <t>SHELVES</t>
        </is>
      </c>
      <c r="D419" t="inlineStr">
        <is>
          <t>QV 276 P895 1994</t>
        </is>
      </c>
      <c r="E419" t="inlineStr">
        <is>
          <t>0                      QV 0276000P  895         1994</t>
        </is>
      </c>
      <c r="F419" t="inlineStr">
        <is>
          <t>A Practical guide to the study of calcium in living cells / edited by Richard Nuccitelli.</t>
        </is>
      </c>
      <c r="H419" t="inlineStr">
        <is>
          <t>No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N419" t="inlineStr">
        <is>
          <t>San Diego : Academic Press, c1994.</t>
        </is>
      </c>
      <c r="O419" t="inlineStr">
        <is>
          <t>1994</t>
        </is>
      </c>
      <c r="Q419" t="inlineStr">
        <is>
          <t>eng</t>
        </is>
      </c>
      <c r="R419" t="inlineStr">
        <is>
          <t>xxu</t>
        </is>
      </c>
      <c r="S419" t="inlineStr">
        <is>
          <t>Methods in cell biology, 0091-679X ; v. 40</t>
        </is>
      </c>
      <c r="T419" t="inlineStr">
        <is>
          <t xml:space="preserve">QV </t>
        </is>
      </c>
      <c r="U419" t="n">
        <v>7</v>
      </c>
      <c r="V419" t="n">
        <v>7</v>
      </c>
      <c r="W419" t="inlineStr">
        <is>
          <t>1995-05-25</t>
        </is>
      </c>
      <c r="X419" t="inlineStr">
        <is>
          <t>1995-05-25</t>
        </is>
      </c>
      <c r="Y419" t="inlineStr">
        <is>
          <t>1994-09-13</t>
        </is>
      </c>
      <c r="Z419" t="inlineStr">
        <is>
          <t>1994-09-13</t>
        </is>
      </c>
      <c r="AA419" t="n">
        <v>251</v>
      </c>
      <c r="AB419" t="n">
        <v>160</v>
      </c>
      <c r="AC419" t="n">
        <v>188</v>
      </c>
      <c r="AD419" t="n">
        <v>1</v>
      </c>
      <c r="AE419" t="n">
        <v>2</v>
      </c>
      <c r="AF419" t="n">
        <v>5</v>
      </c>
      <c r="AG419" t="n">
        <v>7</v>
      </c>
      <c r="AH419" t="n">
        <v>2</v>
      </c>
      <c r="AI419" t="n">
        <v>3</v>
      </c>
      <c r="AJ419" t="n">
        <v>2</v>
      </c>
      <c r="AK419" t="n">
        <v>3</v>
      </c>
      <c r="AL419" t="n">
        <v>4</v>
      </c>
      <c r="AM419" t="n">
        <v>4</v>
      </c>
      <c r="AN419" t="n">
        <v>0</v>
      </c>
      <c r="AO419" t="n">
        <v>1</v>
      </c>
      <c r="AP419" t="n">
        <v>0</v>
      </c>
      <c r="AQ419" t="n">
        <v>0</v>
      </c>
      <c r="AR419" t="inlineStr">
        <is>
          <t>No</t>
        </is>
      </c>
      <c r="AS419" t="inlineStr">
        <is>
          <t>No</t>
        </is>
      </c>
      <c r="AU419">
        <f>HYPERLINK("https://creighton-primo.hosted.exlibrisgroup.com/primo-explore/search?tab=default_tab&amp;search_scope=EVERYTHING&amp;vid=01CRU&amp;lang=en_US&amp;offset=0&amp;query=any,contains,991000680009702656","Catalog Record")</f>
        <v/>
      </c>
      <c r="AV419">
        <f>HYPERLINK("http://www.worldcat.org/oclc/30010969","WorldCat Record")</f>
        <v/>
      </c>
      <c r="AW419" t="inlineStr">
        <is>
          <t>14353251:eng</t>
        </is>
      </c>
      <c r="AX419" t="inlineStr">
        <is>
          <t>30010969</t>
        </is>
      </c>
      <c r="AY419" t="inlineStr">
        <is>
          <t>991000680009702656</t>
        </is>
      </c>
      <c r="AZ419" t="inlineStr">
        <is>
          <t>991000680009702656</t>
        </is>
      </c>
      <c r="BA419" t="inlineStr">
        <is>
          <t>2262394950002656</t>
        </is>
      </c>
      <c r="BB419" t="inlineStr">
        <is>
          <t>BOOK</t>
        </is>
      </c>
      <c r="BD419" t="inlineStr">
        <is>
          <t>9780125228107</t>
        </is>
      </c>
      <c r="BE419" t="inlineStr">
        <is>
          <t>30001002697219</t>
        </is>
      </c>
      <c r="BF419" t="inlineStr">
        <is>
          <t>893815144</t>
        </is>
      </c>
    </row>
    <row r="420">
      <c r="B420" t="inlineStr">
        <is>
          <t>CUHSL</t>
        </is>
      </c>
      <c r="C420" t="inlineStr">
        <is>
          <t>SHELVES</t>
        </is>
      </c>
      <c r="D420" t="inlineStr">
        <is>
          <t>QV 276 R228c 1981</t>
        </is>
      </c>
      <c r="E420" t="inlineStr">
        <is>
          <t>0                      QV 0276000R  228c        1981</t>
        </is>
      </c>
      <c r="F420" t="inlineStr">
        <is>
          <t>Calcium and cAMP as synarchic messengers / Howard Rasmussen.</t>
        </is>
      </c>
      <c r="H420" t="inlineStr">
        <is>
          <t>No</t>
        </is>
      </c>
      <c r="I420" t="inlineStr">
        <is>
          <t>1</t>
        </is>
      </c>
      <c r="J420" t="inlineStr">
        <is>
          <t>Yes</t>
        </is>
      </c>
      <c r="K420" t="inlineStr">
        <is>
          <t>No</t>
        </is>
      </c>
      <c r="L420" t="inlineStr">
        <is>
          <t>0</t>
        </is>
      </c>
      <c r="M420" t="inlineStr">
        <is>
          <t>Rasmussen, Howard, 1925-</t>
        </is>
      </c>
      <c r="N420" t="inlineStr">
        <is>
          <t>New York : Wiley, c1981.</t>
        </is>
      </c>
      <c r="O420" t="inlineStr">
        <is>
          <t>1981</t>
        </is>
      </c>
      <c r="Q420" t="inlineStr">
        <is>
          <t>eng</t>
        </is>
      </c>
      <c r="R420" t="inlineStr">
        <is>
          <t>xxu</t>
        </is>
      </c>
      <c r="S420" t="inlineStr">
        <is>
          <t>Wiley-Interscience publication</t>
        </is>
      </c>
      <c r="T420" t="inlineStr">
        <is>
          <t xml:space="preserve">QV </t>
        </is>
      </c>
      <c r="U420" t="n">
        <v>2</v>
      </c>
      <c r="V420" t="n">
        <v>2</v>
      </c>
      <c r="W420" t="inlineStr">
        <is>
          <t>1992-04-13</t>
        </is>
      </c>
      <c r="X420" t="inlineStr">
        <is>
          <t>1992-04-13</t>
        </is>
      </c>
      <c r="Y420" t="inlineStr">
        <is>
          <t>1988-02-09</t>
        </is>
      </c>
      <c r="Z420" t="inlineStr">
        <is>
          <t>1988-02-09</t>
        </is>
      </c>
      <c r="AA420" t="n">
        <v>302</v>
      </c>
      <c r="AB420" t="n">
        <v>248</v>
      </c>
      <c r="AC420" t="n">
        <v>250</v>
      </c>
      <c r="AD420" t="n">
        <v>4</v>
      </c>
      <c r="AE420" t="n">
        <v>4</v>
      </c>
      <c r="AF420" t="n">
        <v>11</v>
      </c>
      <c r="AG420" t="n">
        <v>11</v>
      </c>
      <c r="AH420" t="n">
        <v>4</v>
      </c>
      <c r="AI420" t="n">
        <v>4</v>
      </c>
      <c r="AJ420" t="n">
        <v>3</v>
      </c>
      <c r="AK420" t="n">
        <v>3</v>
      </c>
      <c r="AL420" t="n">
        <v>6</v>
      </c>
      <c r="AM420" t="n">
        <v>6</v>
      </c>
      <c r="AN420" t="n">
        <v>2</v>
      </c>
      <c r="AO420" t="n">
        <v>2</v>
      </c>
      <c r="AP420" t="n">
        <v>0</v>
      </c>
      <c r="AQ420" t="n">
        <v>0</v>
      </c>
      <c r="AR420" t="inlineStr">
        <is>
          <t>No</t>
        </is>
      </c>
      <c r="AS420" t="inlineStr">
        <is>
          <t>Yes</t>
        </is>
      </c>
      <c r="AT420">
        <f>HYPERLINK("http://catalog.hathitrust.org/Record/000231316","HathiTrust Record")</f>
        <v/>
      </c>
      <c r="AU420">
        <f>HYPERLINK("https://creighton-primo.hosted.exlibrisgroup.com/primo-explore/search?tab=default_tab&amp;search_scope=EVERYTHING&amp;vid=01CRU&amp;lang=en_US&amp;offset=0&amp;query=any,contains,991000960879702656","Catalog Record")</f>
        <v/>
      </c>
      <c r="AV420">
        <f>HYPERLINK("http://www.worldcat.org/oclc/7573077","WorldCat Record")</f>
        <v/>
      </c>
      <c r="AW420" t="inlineStr">
        <is>
          <t>28828241:eng</t>
        </is>
      </c>
      <c r="AX420" t="inlineStr">
        <is>
          <t>7573077</t>
        </is>
      </c>
      <c r="AY420" t="inlineStr">
        <is>
          <t>991000960879702656</t>
        </is>
      </c>
      <c r="AZ420" t="inlineStr">
        <is>
          <t>991000960879702656</t>
        </is>
      </c>
      <c r="BA420" t="inlineStr">
        <is>
          <t>2255730750002656</t>
        </is>
      </c>
      <c r="BB420" t="inlineStr">
        <is>
          <t>BOOK</t>
        </is>
      </c>
      <c r="BD420" t="inlineStr">
        <is>
          <t>9780471083962</t>
        </is>
      </c>
      <c r="BE420" t="inlineStr">
        <is>
          <t>30001000197501</t>
        </is>
      </c>
      <c r="BF420" t="inlineStr">
        <is>
          <t>893278527</t>
        </is>
      </c>
    </row>
    <row r="421">
      <c r="B421" t="inlineStr">
        <is>
          <t>CUHSL</t>
        </is>
      </c>
      <c r="C421" t="inlineStr">
        <is>
          <t>SHELVES</t>
        </is>
      </c>
      <c r="D421" t="inlineStr">
        <is>
          <t>QV 276 R333c 1986</t>
        </is>
      </c>
      <c r="E421" t="inlineStr">
        <is>
          <t>0                      QV 0276000R  333c        1986</t>
        </is>
      </c>
      <c r="F421" t="inlineStr">
        <is>
          <t>The Ca2+ pump of plasma membranes / authors, Alcides F. Rega, Patricio J. Garrahan.</t>
        </is>
      </c>
      <c r="H421" t="inlineStr">
        <is>
          <t>No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M421" t="inlineStr">
        <is>
          <t>Rega, Alcides F.</t>
        </is>
      </c>
      <c r="N421" t="inlineStr">
        <is>
          <t>Boca Raton, Fla. : CRC Press, c1986.</t>
        </is>
      </c>
      <c r="O421" t="inlineStr">
        <is>
          <t>1986</t>
        </is>
      </c>
      <c r="Q421" t="inlineStr">
        <is>
          <t>eng</t>
        </is>
      </c>
      <c r="R421" t="inlineStr">
        <is>
          <t>xxu</t>
        </is>
      </c>
      <c r="T421" t="inlineStr">
        <is>
          <t xml:space="preserve">QV </t>
        </is>
      </c>
      <c r="U421" t="n">
        <v>6</v>
      </c>
      <c r="V421" t="n">
        <v>6</v>
      </c>
      <c r="W421" t="inlineStr">
        <is>
          <t>1992-04-13</t>
        </is>
      </c>
      <c r="X421" t="inlineStr">
        <is>
          <t>1992-04-13</t>
        </is>
      </c>
      <c r="Y421" t="inlineStr">
        <is>
          <t>1988-02-09</t>
        </is>
      </c>
      <c r="Z421" t="inlineStr">
        <is>
          <t>1988-02-09</t>
        </is>
      </c>
      <c r="AA421" t="n">
        <v>274</v>
      </c>
      <c r="AB421" t="n">
        <v>193</v>
      </c>
      <c r="AC421" t="n">
        <v>236</v>
      </c>
      <c r="AD421" t="n">
        <v>2</v>
      </c>
      <c r="AE421" t="n">
        <v>2</v>
      </c>
      <c r="AF421" t="n">
        <v>7</v>
      </c>
      <c r="AG421" t="n">
        <v>7</v>
      </c>
      <c r="AH421" t="n">
        <v>2</v>
      </c>
      <c r="AI421" t="n">
        <v>2</v>
      </c>
      <c r="AJ421" t="n">
        <v>2</v>
      </c>
      <c r="AK421" t="n">
        <v>2</v>
      </c>
      <c r="AL421" t="n">
        <v>4</v>
      </c>
      <c r="AM421" t="n">
        <v>4</v>
      </c>
      <c r="AN421" t="n">
        <v>1</v>
      </c>
      <c r="AO421" t="n">
        <v>1</v>
      </c>
      <c r="AP421" t="n">
        <v>0</v>
      </c>
      <c r="AQ421" t="n">
        <v>0</v>
      </c>
      <c r="AR421" t="inlineStr">
        <is>
          <t>No</t>
        </is>
      </c>
      <c r="AS421" t="inlineStr">
        <is>
          <t>Yes</t>
        </is>
      </c>
      <c r="AT421">
        <f>HYPERLINK("http://catalog.hathitrust.org/Record/000822158","HathiTrust Record")</f>
        <v/>
      </c>
      <c r="AU421">
        <f>HYPERLINK("https://creighton-primo.hosted.exlibrisgroup.com/primo-explore/search?tab=default_tab&amp;search_scope=EVERYTHING&amp;vid=01CRU&amp;lang=en_US&amp;offset=0&amp;query=any,contains,991000960909702656","Catalog Record")</f>
        <v/>
      </c>
      <c r="AV421">
        <f>HYPERLINK("http://www.worldcat.org/oclc/12107423","WorldCat Record")</f>
        <v/>
      </c>
      <c r="AW421" t="inlineStr">
        <is>
          <t>4855411:eng</t>
        </is>
      </c>
      <c r="AX421" t="inlineStr">
        <is>
          <t>12107423</t>
        </is>
      </c>
      <c r="AY421" t="inlineStr">
        <is>
          <t>991000960909702656</t>
        </is>
      </c>
      <c r="AZ421" t="inlineStr">
        <is>
          <t>991000960909702656</t>
        </is>
      </c>
      <c r="BA421" t="inlineStr">
        <is>
          <t>2264828650002656</t>
        </is>
      </c>
      <c r="BB421" t="inlineStr">
        <is>
          <t>BOOK</t>
        </is>
      </c>
      <c r="BD421" t="inlineStr">
        <is>
          <t>9780849362538</t>
        </is>
      </c>
      <c r="BE421" t="inlineStr">
        <is>
          <t>30001000197493</t>
        </is>
      </c>
      <c r="BF421" t="inlineStr">
        <is>
          <t>893121056</t>
        </is>
      </c>
    </row>
    <row r="422">
      <c r="B422" t="inlineStr">
        <is>
          <t>CUHSL</t>
        </is>
      </c>
      <c r="C422" t="inlineStr">
        <is>
          <t>SHELVES</t>
        </is>
      </c>
      <c r="D422" t="inlineStr">
        <is>
          <t>QV 276 R746 1987</t>
        </is>
      </c>
      <c r="E422" t="inlineStr">
        <is>
          <t>0                      QV 0276000R  746         1987</t>
        </is>
      </c>
      <c r="F422" t="inlineStr">
        <is>
          <t>The Role of calcium in drug action / section editor, M.A. Denborough.</t>
        </is>
      </c>
      <c r="H422" t="inlineStr">
        <is>
          <t>No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N422" t="inlineStr">
        <is>
          <t>Oxford ; New York : Pergamon Press, c1986.</t>
        </is>
      </c>
      <c r="O422" t="inlineStr">
        <is>
          <t>1986</t>
        </is>
      </c>
      <c r="P422" t="inlineStr">
        <is>
          <t>1st ed.</t>
        </is>
      </c>
      <c r="Q422" t="inlineStr">
        <is>
          <t>eng</t>
        </is>
      </c>
      <c r="R422" t="inlineStr">
        <is>
          <t>enk</t>
        </is>
      </c>
      <c r="S422" t="inlineStr">
        <is>
          <t>International encyclopedia of pharmacology and therapeutics ; section 124</t>
        </is>
      </c>
      <c r="T422" t="inlineStr">
        <is>
          <t xml:space="preserve">QV </t>
        </is>
      </c>
      <c r="U422" t="n">
        <v>6</v>
      </c>
      <c r="V422" t="n">
        <v>6</v>
      </c>
      <c r="W422" t="inlineStr">
        <is>
          <t>1988-11-10</t>
        </is>
      </c>
      <c r="X422" t="inlineStr">
        <is>
          <t>1988-11-10</t>
        </is>
      </c>
      <c r="Y422" t="inlineStr">
        <is>
          <t>1988-02-09</t>
        </is>
      </c>
      <c r="Z422" t="inlineStr">
        <is>
          <t>1988-02-09</t>
        </is>
      </c>
      <c r="AA422" t="n">
        <v>112</v>
      </c>
      <c r="AB422" t="n">
        <v>75</v>
      </c>
      <c r="AC422" t="n">
        <v>77</v>
      </c>
      <c r="AD422" t="n">
        <v>1</v>
      </c>
      <c r="AE422" t="n">
        <v>1</v>
      </c>
      <c r="AF422" t="n">
        <v>1</v>
      </c>
      <c r="AG422" t="n">
        <v>1</v>
      </c>
      <c r="AH422" t="n">
        <v>0</v>
      </c>
      <c r="AI422" t="n">
        <v>0</v>
      </c>
      <c r="AJ422" t="n">
        <v>1</v>
      </c>
      <c r="AK422" t="n">
        <v>1</v>
      </c>
      <c r="AL422" t="n">
        <v>0</v>
      </c>
      <c r="AM422" t="n">
        <v>0</v>
      </c>
      <c r="AN422" t="n">
        <v>0</v>
      </c>
      <c r="AO422" t="n">
        <v>0</v>
      </c>
      <c r="AP422" t="n">
        <v>0</v>
      </c>
      <c r="AQ422" t="n">
        <v>0</v>
      </c>
      <c r="AR422" t="inlineStr">
        <is>
          <t>No</t>
        </is>
      </c>
      <c r="AS422" t="inlineStr">
        <is>
          <t>Yes</t>
        </is>
      </c>
      <c r="AT422">
        <f>HYPERLINK("http://catalog.hathitrust.org/Record/000829699","HathiTrust Record")</f>
        <v/>
      </c>
      <c r="AU422">
        <f>HYPERLINK("https://creighton-primo.hosted.exlibrisgroup.com/primo-explore/search?tab=default_tab&amp;search_scope=EVERYTHING&amp;vid=01CRU&amp;lang=en_US&amp;offset=0&amp;query=any,contains,991001265389702656","Catalog Record")</f>
        <v/>
      </c>
      <c r="AV422">
        <f>HYPERLINK("http://www.worldcat.org/oclc/13903046","WorldCat Record")</f>
        <v/>
      </c>
      <c r="AW422" t="inlineStr">
        <is>
          <t>6861863:eng</t>
        </is>
      </c>
      <c r="AX422" t="inlineStr">
        <is>
          <t>13903046</t>
        </is>
      </c>
      <c r="AY422" t="inlineStr">
        <is>
          <t>991001265389702656</t>
        </is>
      </c>
      <c r="AZ422" t="inlineStr">
        <is>
          <t>991001265389702656</t>
        </is>
      </c>
      <c r="BA422" t="inlineStr">
        <is>
          <t>2270049610002656</t>
        </is>
      </c>
      <c r="BB422" t="inlineStr">
        <is>
          <t>BOOK</t>
        </is>
      </c>
      <c r="BD422" t="inlineStr">
        <is>
          <t>9780080341934</t>
        </is>
      </c>
      <c r="BE422" t="inlineStr">
        <is>
          <t>30001000352676</t>
        </is>
      </c>
      <c r="BF422" t="inlineStr">
        <is>
          <t>893832047</t>
        </is>
      </c>
    </row>
    <row r="423">
      <c r="B423" t="inlineStr">
        <is>
          <t>CUHSL</t>
        </is>
      </c>
      <c r="C423" t="inlineStr">
        <is>
          <t>SHELVES</t>
        </is>
      </c>
      <c r="D423" t="inlineStr">
        <is>
          <t>QV 282 F647 1970</t>
        </is>
      </c>
      <c r="E423" t="inlineStr">
        <is>
          <t>0                      QV 0282000F  647         1970</t>
        </is>
      </c>
      <c r="F423" t="inlineStr">
        <is>
          <t>Fluoride in medicine : ([Report of] a symposium which took place at Bad Ragaz on April 17th to 19th, 1969.) / ed. by T(homas) L. Vischer.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N423" t="inlineStr">
        <is>
          <t>Bern, Stuttgart, Vienna : Hans Huber, (1970)</t>
        </is>
      </c>
      <c r="O423" t="inlineStr">
        <is>
          <t>1970</t>
        </is>
      </c>
      <c r="Q423" t="inlineStr">
        <is>
          <t>eng</t>
        </is>
      </c>
      <c r="R423" t="inlineStr">
        <is>
          <t xml:space="preserve">sz </t>
        </is>
      </c>
      <c r="T423" t="inlineStr">
        <is>
          <t xml:space="preserve">QV </t>
        </is>
      </c>
      <c r="U423" t="n">
        <v>5</v>
      </c>
      <c r="V423" t="n">
        <v>5</v>
      </c>
      <c r="W423" t="inlineStr">
        <is>
          <t>1990-05-09</t>
        </is>
      </c>
      <c r="X423" t="inlineStr">
        <is>
          <t>1990-05-09</t>
        </is>
      </c>
      <c r="Y423" t="inlineStr">
        <is>
          <t>1988-03-17</t>
        </is>
      </c>
      <c r="Z423" t="inlineStr">
        <is>
          <t>1988-03-17</t>
        </is>
      </c>
      <c r="AA423" t="n">
        <v>71</v>
      </c>
      <c r="AB423" t="n">
        <v>54</v>
      </c>
      <c r="AC423" t="n">
        <v>56</v>
      </c>
      <c r="AD423" t="n">
        <v>1</v>
      </c>
      <c r="AE423" t="n">
        <v>1</v>
      </c>
      <c r="AF423" t="n">
        <v>1</v>
      </c>
      <c r="AG423" t="n">
        <v>1</v>
      </c>
      <c r="AH423" t="n">
        <v>0</v>
      </c>
      <c r="AI423" t="n">
        <v>0</v>
      </c>
      <c r="AJ423" t="n">
        <v>0</v>
      </c>
      <c r="AK423" t="n">
        <v>0</v>
      </c>
      <c r="AL423" t="n">
        <v>1</v>
      </c>
      <c r="AM423" t="n">
        <v>1</v>
      </c>
      <c r="AN423" t="n">
        <v>0</v>
      </c>
      <c r="AO423" t="n">
        <v>0</v>
      </c>
      <c r="AP423" t="n">
        <v>0</v>
      </c>
      <c r="AQ423" t="n">
        <v>0</v>
      </c>
      <c r="AR423" t="inlineStr">
        <is>
          <t>No</t>
        </is>
      </c>
      <c r="AS423" t="inlineStr">
        <is>
          <t>Yes</t>
        </is>
      </c>
      <c r="AT423">
        <f>HYPERLINK("http://catalog.hathitrust.org/Record/001571734","HathiTrust Record")</f>
        <v/>
      </c>
      <c r="AU423">
        <f>HYPERLINK("https://creighton-primo.hosted.exlibrisgroup.com/primo-explore/search?tab=default_tab&amp;search_scope=EVERYTHING&amp;vid=01CRU&amp;lang=en_US&amp;offset=0&amp;query=any,contains,991000960839702656","Catalog Record")</f>
        <v/>
      </c>
      <c r="AV423">
        <f>HYPERLINK("http://www.worldcat.org/oclc/135699","WorldCat Record")</f>
        <v/>
      </c>
      <c r="AW423" t="inlineStr">
        <is>
          <t>1152657541:eng</t>
        </is>
      </c>
      <c r="AX423" t="inlineStr">
        <is>
          <t>135699</t>
        </is>
      </c>
      <c r="AY423" t="inlineStr">
        <is>
          <t>991000960839702656</t>
        </is>
      </c>
      <c r="AZ423" t="inlineStr">
        <is>
          <t>991000960839702656</t>
        </is>
      </c>
      <c r="BA423" t="inlineStr">
        <is>
          <t>2263354940002656</t>
        </is>
      </c>
      <c r="BB423" t="inlineStr">
        <is>
          <t>BOOK</t>
        </is>
      </c>
      <c r="BE423" t="inlineStr">
        <is>
          <t>30001000197477</t>
        </is>
      </c>
      <c r="BF423" t="inlineStr">
        <is>
          <t>893455311</t>
        </is>
      </c>
    </row>
    <row r="424">
      <c r="B424" t="inlineStr">
        <is>
          <t>CUHSL</t>
        </is>
      </c>
      <c r="C424" t="inlineStr">
        <is>
          <t>SHELVES</t>
        </is>
      </c>
      <c r="D424" t="inlineStr">
        <is>
          <t>QV 282 S989c 1971</t>
        </is>
      </c>
      <c r="E424" t="inlineStr">
        <is>
          <t>0                      QV 0282000S  989c        1971</t>
        </is>
      </c>
      <c r="F424" t="inlineStr">
        <is>
          <t>Carbon-fluorine compounds : chemistry, biochemistry &amp; biological activities : a Ciba Foundation symposium.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M424" t="inlineStr">
        <is>
          <t>Symposium on Carbon-Fluorine Compounds: Chemistry, Biochemistry and Biological Activities (1971 : London, England)</t>
        </is>
      </c>
      <c r="N424" t="inlineStr">
        <is>
          <t>Amsterdam ; New York : Associated Scientific Publishers, 1972.</t>
        </is>
      </c>
      <c r="O424" t="inlineStr">
        <is>
          <t>1972</t>
        </is>
      </c>
      <c r="Q424" t="inlineStr">
        <is>
          <t>eng</t>
        </is>
      </c>
      <c r="R424" t="inlineStr">
        <is>
          <t xml:space="preserve">ne </t>
        </is>
      </c>
      <c r="T424" t="inlineStr">
        <is>
          <t xml:space="preserve">QV </t>
        </is>
      </c>
      <c r="U424" t="n">
        <v>4</v>
      </c>
      <c r="V424" t="n">
        <v>4</v>
      </c>
      <c r="W424" t="inlineStr">
        <is>
          <t>2002-11-05</t>
        </is>
      </c>
      <c r="X424" t="inlineStr">
        <is>
          <t>2002-11-05</t>
        </is>
      </c>
      <c r="Y424" t="inlineStr">
        <is>
          <t>1988-03-17</t>
        </is>
      </c>
      <c r="Z424" t="inlineStr">
        <is>
          <t>1988-03-17</t>
        </is>
      </c>
      <c r="AA424" t="n">
        <v>283</v>
      </c>
      <c r="AB424" t="n">
        <v>241</v>
      </c>
      <c r="AC424" t="n">
        <v>601</v>
      </c>
      <c r="AD424" t="n">
        <v>3</v>
      </c>
      <c r="AE424" t="n">
        <v>6</v>
      </c>
      <c r="AF424" t="n">
        <v>9</v>
      </c>
      <c r="AG424" t="n">
        <v>26</v>
      </c>
      <c r="AH424" t="n">
        <v>1</v>
      </c>
      <c r="AI424" t="n">
        <v>7</v>
      </c>
      <c r="AJ424" t="n">
        <v>1</v>
      </c>
      <c r="AK424" t="n">
        <v>6</v>
      </c>
      <c r="AL424" t="n">
        <v>5</v>
      </c>
      <c r="AM424" t="n">
        <v>9</v>
      </c>
      <c r="AN424" t="n">
        <v>2</v>
      </c>
      <c r="AO424" t="n">
        <v>5</v>
      </c>
      <c r="AP424" t="n">
        <v>0</v>
      </c>
      <c r="AQ424" t="n">
        <v>1</v>
      </c>
      <c r="AR424" t="inlineStr">
        <is>
          <t>No</t>
        </is>
      </c>
      <c r="AS424" t="inlineStr">
        <is>
          <t>Yes</t>
        </is>
      </c>
      <c r="AT424">
        <f>HYPERLINK("http://catalog.hathitrust.org/Record/000039831","HathiTrust Record")</f>
        <v/>
      </c>
      <c r="AU424">
        <f>HYPERLINK("https://creighton-primo.hosted.exlibrisgroup.com/primo-explore/search?tab=default_tab&amp;search_scope=EVERYTHING&amp;vid=01CRU&amp;lang=en_US&amp;offset=0&amp;query=any,contains,991000960809702656","Catalog Record")</f>
        <v/>
      </c>
      <c r="AV424">
        <f>HYPERLINK("http://www.worldcat.org/oclc/1164703","WorldCat Record")</f>
        <v/>
      </c>
      <c r="AW424" t="inlineStr">
        <is>
          <t>5611228377:eng</t>
        </is>
      </c>
      <c r="AX424" t="inlineStr">
        <is>
          <t>1164703</t>
        </is>
      </c>
      <c r="AY424" t="inlineStr">
        <is>
          <t>991000960809702656</t>
        </is>
      </c>
      <c r="AZ424" t="inlineStr">
        <is>
          <t>991000960809702656</t>
        </is>
      </c>
      <c r="BA424" t="inlineStr">
        <is>
          <t>2262922160002656</t>
        </is>
      </c>
      <c r="BB424" t="inlineStr">
        <is>
          <t>BOOK</t>
        </is>
      </c>
      <c r="BD424" t="inlineStr">
        <is>
          <t>9780444103734</t>
        </is>
      </c>
      <c r="BE424" t="inlineStr">
        <is>
          <t>30001000197444</t>
        </is>
      </c>
      <c r="BF424" t="inlineStr">
        <is>
          <t>893460170</t>
        </is>
      </c>
    </row>
    <row r="425">
      <c r="B425" t="inlineStr">
        <is>
          <t>CUHSL</t>
        </is>
      </c>
      <c r="C425" t="inlineStr">
        <is>
          <t>SHELVES</t>
        </is>
      </c>
      <c r="D425" t="inlineStr">
        <is>
          <t>QV 282 W595m 1996</t>
        </is>
      </c>
      <c r="E425" t="inlineStr">
        <is>
          <t>0                      QV 0282000W  595m        1996</t>
        </is>
      </c>
      <c r="F425" t="inlineStr">
        <is>
          <t>The metabolism and toxicity of fluoride / Gary M. Whitford.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Whitford, Gary M.</t>
        </is>
      </c>
      <c r="N425" t="inlineStr">
        <is>
          <t>Basel ; New York : Karger, c1996.</t>
        </is>
      </c>
      <c r="O425" t="inlineStr">
        <is>
          <t>1996</t>
        </is>
      </c>
      <c r="P425" t="inlineStr">
        <is>
          <t>2nd, rev. ed.</t>
        </is>
      </c>
      <c r="Q425" t="inlineStr">
        <is>
          <t>eng</t>
        </is>
      </c>
      <c r="R425" t="inlineStr">
        <is>
          <t xml:space="preserve">sz </t>
        </is>
      </c>
      <c r="S425" t="inlineStr">
        <is>
          <t>Monographs in oral science ; vol. 16</t>
        </is>
      </c>
      <c r="T425" t="inlineStr">
        <is>
          <t xml:space="preserve">QV </t>
        </is>
      </c>
      <c r="U425" t="n">
        <v>1</v>
      </c>
      <c r="V425" t="n">
        <v>1</v>
      </c>
      <c r="W425" t="inlineStr">
        <is>
          <t>1997-06-17</t>
        </is>
      </c>
      <c r="X425" t="inlineStr">
        <is>
          <t>1997-06-17</t>
        </is>
      </c>
      <c r="Y425" t="inlineStr">
        <is>
          <t>1997-06-17</t>
        </is>
      </c>
      <c r="Z425" t="inlineStr">
        <is>
          <t>1997-06-17</t>
        </is>
      </c>
      <c r="AA425" t="n">
        <v>125</v>
      </c>
      <c r="AB425" t="n">
        <v>75</v>
      </c>
      <c r="AC425" t="n">
        <v>126</v>
      </c>
      <c r="AD425" t="n">
        <v>1</v>
      </c>
      <c r="AE425" t="n">
        <v>1</v>
      </c>
      <c r="AF425" t="n">
        <v>3</v>
      </c>
      <c r="AG425" t="n">
        <v>3</v>
      </c>
      <c r="AH425" t="n">
        <v>0</v>
      </c>
      <c r="AI425" t="n">
        <v>0</v>
      </c>
      <c r="AJ425" t="n">
        <v>2</v>
      </c>
      <c r="AK425" t="n">
        <v>2</v>
      </c>
      <c r="AL425" t="n">
        <v>2</v>
      </c>
      <c r="AM425" t="n">
        <v>2</v>
      </c>
      <c r="AN425" t="n">
        <v>0</v>
      </c>
      <c r="AO425" t="n">
        <v>0</v>
      </c>
      <c r="AP425" t="n">
        <v>0</v>
      </c>
      <c r="AQ425" t="n">
        <v>0</v>
      </c>
      <c r="AR425" t="inlineStr">
        <is>
          <t>No</t>
        </is>
      </c>
      <c r="AS425" t="inlineStr">
        <is>
          <t>Yes</t>
        </is>
      </c>
      <c r="AT425">
        <f>HYPERLINK("http://catalog.hathitrust.org/Record/003081210","HathiTrust Record")</f>
        <v/>
      </c>
      <c r="AU425">
        <f>HYPERLINK("https://creighton-primo.hosted.exlibrisgroup.com/primo-explore/search?tab=default_tab&amp;search_scope=EVERYTHING&amp;vid=01CRU&amp;lang=en_US&amp;offset=0&amp;query=any,contains,991001254549702656","Catalog Record")</f>
        <v/>
      </c>
      <c r="AV425">
        <f>HYPERLINK("http://www.worldcat.org/oclc/34547929","WorldCat Record")</f>
        <v/>
      </c>
      <c r="AW425" t="inlineStr">
        <is>
          <t>20585196:eng</t>
        </is>
      </c>
      <c r="AX425" t="inlineStr">
        <is>
          <t>34547929</t>
        </is>
      </c>
      <c r="AY425" t="inlineStr">
        <is>
          <t>991001254549702656</t>
        </is>
      </c>
      <c r="AZ425" t="inlineStr">
        <is>
          <t>991001254549702656</t>
        </is>
      </c>
      <c r="BA425" t="inlineStr">
        <is>
          <t>2263568680002656</t>
        </is>
      </c>
      <c r="BB425" t="inlineStr">
        <is>
          <t>BOOK</t>
        </is>
      </c>
      <c r="BD425" t="inlineStr">
        <is>
          <t>9783805562478</t>
        </is>
      </c>
      <c r="BE425" t="inlineStr">
        <is>
          <t>30001003683838</t>
        </is>
      </c>
      <c r="BF425" t="inlineStr">
        <is>
          <t>893168099</t>
        </is>
      </c>
    </row>
    <row r="426">
      <c r="B426" t="inlineStr">
        <is>
          <t>CUHSL</t>
        </is>
      </c>
      <c r="C426" t="inlineStr">
        <is>
          <t>SHELVES</t>
        </is>
      </c>
      <c r="D426" t="inlineStr">
        <is>
          <t>QV 290 F897c 1971</t>
        </is>
      </c>
      <c r="E426" t="inlineStr">
        <is>
          <t>0                      QV 0290000F  897c        1971</t>
        </is>
      </c>
      <c r="F426" t="inlineStr">
        <is>
          <t>Cadmium in the environment / by Lars Friberg.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No</t>
        </is>
      </c>
      <c r="L426" t="inlineStr">
        <is>
          <t>0</t>
        </is>
      </c>
      <c r="M426" t="inlineStr">
        <is>
          <t>Friberg, Lars.</t>
        </is>
      </c>
      <c r="N426" t="inlineStr">
        <is>
          <t>Cleveland : CRC Press, c1971.</t>
        </is>
      </c>
      <c r="O426" t="inlineStr">
        <is>
          <t>1971</t>
        </is>
      </c>
      <c r="Q426" t="inlineStr">
        <is>
          <t>eng</t>
        </is>
      </c>
      <c r="R426" t="inlineStr">
        <is>
          <t>ohu</t>
        </is>
      </c>
      <c r="T426" t="inlineStr">
        <is>
          <t xml:space="preserve">QV </t>
        </is>
      </c>
      <c r="U426" t="n">
        <v>3</v>
      </c>
      <c r="V426" t="n">
        <v>3</v>
      </c>
      <c r="W426" t="inlineStr">
        <is>
          <t>1995-03-14</t>
        </is>
      </c>
      <c r="X426" t="inlineStr">
        <is>
          <t>1995-03-14</t>
        </is>
      </c>
      <c r="Y426" t="inlineStr">
        <is>
          <t>1988-02-09</t>
        </is>
      </c>
      <c r="Z426" t="inlineStr">
        <is>
          <t>1988-02-09</t>
        </is>
      </c>
      <c r="AA426" t="n">
        <v>332</v>
      </c>
      <c r="AB426" t="n">
        <v>298</v>
      </c>
      <c r="AC426" t="n">
        <v>481</v>
      </c>
      <c r="AD426" t="n">
        <v>3</v>
      </c>
      <c r="AE426" t="n">
        <v>3</v>
      </c>
      <c r="AF426" t="n">
        <v>9</v>
      </c>
      <c r="AG426" t="n">
        <v>10</v>
      </c>
      <c r="AH426" t="n">
        <v>1</v>
      </c>
      <c r="AI426" t="n">
        <v>2</v>
      </c>
      <c r="AJ426" t="n">
        <v>3</v>
      </c>
      <c r="AK426" t="n">
        <v>4</v>
      </c>
      <c r="AL426" t="n">
        <v>5</v>
      </c>
      <c r="AM426" t="n">
        <v>5</v>
      </c>
      <c r="AN426" t="n">
        <v>2</v>
      </c>
      <c r="AO426" t="n">
        <v>2</v>
      </c>
      <c r="AP426" t="n">
        <v>0</v>
      </c>
      <c r="AQ426" t="n">
        <v>0</v>
      </c>
      <c r="AR426" t="inlineStr">
        <is>
          <t>No</t>
        </is>
      </c>
      <c r="AS426" t="inlineStr">
        <is>
          <t>Yes</t>
        </is>
      </c>
      <c r="AT426">
        <f>HYPERLINK("http://catalog.hathitrust.org/Record/001560593","HathiTrust Record")</f>
        <v/>
      </c>
      <c r="AU426">
        <f>HYPERLINK("https://creighton-primo.hosted.exlibrisgroup.com/primo-explore/search?tab=default_tab&amp;search_scope=EVERYTHING&amp;vid=01CRU&amp;lang=en_US&amp;offset=0&amp;query=any,contains,991000960729702656","Catalog Record")</f>
        <v/>
      </c>
      <c r="AV426">
        <f>HYPERLINK("http://www.worldcat.org/oclc/251675","WorldCat Record")</f>
        <v/>
      </c>
      <c r="AW426" t="inlineStr">
        <is>
          <t>54020068:eng</t>
        </is>
      </c>
      <c r="AX426" t="inlineStr">
        <is>
          <t>251675</t>
        </is>
      </c>
      <c r="AY426" t="inlineStr">
        <is>
          <t>991000960729702656</t>
        </is>
      </c>
      <c r="AZ426" t="inlineStr">
        <is>
          <t>991000960729702656</t>
        </is>
      </c>
      <c r="BA426" t="inlineStr">
        <is>
          <t>2268579040002656</t>
        </is>
      </c>
      <c r="BB426" t="inlineStr">
        <is>
          <t>BOOK</t>
        </is>
      </c>
      <c r="BE426" t="inlineStr">
        <is>
          <t>30001000197410</t>
        </is>
      </c>
      <c r="BF426" t="inlineStr">
        <is>
          <t>893637887</t>
        </is>
      </c>
    </row>
    <row r="427">
      <c r="B427" t="inlineStr">
        <is>
          <t>CUHSL</t>
        </is>
      </c>
      <c r="C427" t="inlineStr">
        <is>
          <t>SHELVES</t>
        </is>
      </c>
      <c r="D427" t="inlineStr">
        <is>
          <t>QV 290 F897m 1972</t>
        </is>
      </c>
      <c r="E427" t="inlineStr">
        <is>
          <t>0                      QV 0290000F  897m        1972</t>
        </is>
      </c>
      <c r="F427" t="inlineStr">
        <is>
          <t>Mercury in the environment : an epidemiological and toxicological appraisal / editors, Lars Friberg, Jaroslav Vostal.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Yes</t>
        </is>
      </c>
      <c r="L427" t="inlineStr">
        <is>
          <t>0</t>
        </is>
      </c>
      <c r="M427" t="inlineStr">
        <is>
          <t>Friberg, Lars.</t>
        </is>
      </c>
      <c r="N427" t="inlineStr">
        <is>
          <t>Cleveland : CRC Press, c1972, 1976 printing.</t>
        </is>
      </c>
      <c r="O427" t="inlineStr">
        <is>
          <t>1972</t>
        </is>
      </c>
      <c r="Q427" t="inlineStr">
        <is>
          <t>eng</t>
        </is>
      </c>
      <c r="R427" t="inlineStr">
        <is>
          <t>ohu</t>
        </is>
      </c>
      <c r="T427" t="inlineStr">
        <is>
          <t xml:space="preserve">QV </t>
        </is>
      </c>
      <c r="U427" t="n">
        <v>2</v>
      </c>
      <c r="V427" t="n">
        <v>2</v>
      </c>
      <c r="W427" t="inlineStr">
        <is>
          <t>2002-10-06</t>
        </is>
      </c>
      <c r="X427" t="inlineStr">
        <is>
          <t>2002-10-06</t>
        </is>
      </c>
      <c r="Y427" t="inlineStr">
        <is>
          <t>1988-03-21</t>
        </is>
      </c>
      <c r="Z427" t="inlineStr">
        <is>
          <t>1988-03-21</t>
        </is>
      </c>
      <c r="AA427" t="n">
        <v>41</v>
      </c>
      <c r="AB427" t="n">
        <v>34</v>
      </c>
      <c r="AC427" t="n">
        <v>492</v>
      </c>
      <c r="AD427" t="n">
        <v>1</v>
      </c>
      <c r="AE427" t="n">
        <v>3</v>
      </c>
      <c r="AF427" t="n">
        <v>0</v>
      </c>
      <c r="AG427" t="n">
        <v>21</v>
      </c>
      <c r="AH427" t="n">
        <v>0</v>
      </c>
      <c r="AI427" t="n">
        <v>12</v>
      </c>
      <c r="AJ427" t="n">
        <v>0</v>
      </c>
      <c r="AK427" t="n">
        <v>4</v>
      </c>
      <c r="AL427" t="n">
        <v>0</v>
      </c>
      <c r="AM427" t="n">
        <v>10</v>
      </c>
      <c r="AN427" t="n">
        <v>0</v>
      </c>
      <c r="AO427" t="n">
        <v>1</v>
      </c>
      <c r="AP427" t="n">
        <v>0</v>
      </c>
      <c r="AQ427" t="n">
        <v>0</v>
      </c>
      <c r="AR427" t="inlineStr">
        <is>
          <t>No</t>
        </is>
      </c>
      <c r="AS427" t="inlineStr">
        <is>
          <t>No</t>
        </is>
      </c>
      <c r="AU427">
        <f>HYPERLINK("https://creighton-primo.hosted.exlibrisgroup.com/primo-explore/search?tab=default_tab&amp;search_scope=EVERYTHING&amp;vid=01CRU&amp;lang=en_US&amp;offset=0&amp;query=any,contains,991000960769702656","Catalog Record")</f>
        <v/>
      </c>
      <c r="AV427">
        <f>HYPERLINK("http://www.worldcat.org/oclc/4318765","WorldCat Record")</f>
        <v/>
      </c>
      <c r="AW427" t="inlineStr">
        <is>
          <t>4928075716:eng</t>
        </is>
      </c>
      <c r="AX427" t="inlineStr">
        <is>
          <t>4318765</t>
        </is>
      </c>
      <c r="AY427" t="inlineStr">
        <is>
          <t>991000960769702656</t>
        </is>
      </c>
      <c r="AZ427" t="inlineStr">
        <is>
          <t>991000960769702656</t>
        </is>
      </c>
      <c r="BA427" t="inlineStr">
        <is>
          <t>2272068520002656</t>
        </is>
      </c>
      <c r="BB427" t="inlineStr">
        <is>
          <t>BOOK</t>
        </is>
      </c>
      <c r="BD427" t="inlineStr">
        <is>
          <t>9780849350177</t>
        </is>
      </c>
      <c r="BE427" t="inlineStr">
        <is>
          <t>30001000197402</t>
        </is>
      </c>
      <c r="BF427" t="inlineStr">
        <is>
          <t>893460169</t>
        </is>
      </c>
    </row>
    <row r="428">
      <c r="B428" t="inlineStr">
        <is>
          <t>CUHSL</t>
        </is>
      </c>
      <c r="C428" t="inlineStr">
        <is>
          <t>SHELVES</t>
        </is>
      </c>
      <c r="D428" t="inlineStr">
        <is>
          <t>QV 290 L941m 1977 v.1</t>
        </is>
      </c>
      <c r="E428" t="inlineStr">
        <is>
          <t>0                      QV 0290000L  941m        1977                                        v.1</t>
        </is>
      </c>
      <c r="F428" t="inlineStr">
        <is>
          <t>Metal toxicity in mammals / T.D. Luckey and B. Venugopal.</t>
        </is>
      </c>
      <c r="G428" t="inlineStr">
        <is>
          <t>V. 1</t>
        </is>
      </c>
      <c r="H428" t="inlineStr">
        <is>
          <t>Yes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Luckey, T. D. (Thomas D.), 1919-</t>
        </is>
      </c>
      <c r="N428" t="inlineStr">
        <is>
          <t>New York : Plenum Press, c1977.</t>
        </is>
      </c>
      <c r="O428" t="inlineStr">
        <is>
          <t>1977</t>
        </is>
      </c>
      <c r="Q428" t="inlineStr">
        <is>
          <t>eng</t>
        </is>
      </c>
      <c r="R428" t="inlineStr">
        <is>
          <t>nyu</t>
        </is>
      </c>
      <c r="T428" t="inlineStr">
        <is>
          <t xml:space="preserve">QV </t>
        </is>
      </c>
      <c r="U428" t="n">
        <v>3</v>
      </c>
      <c r="V428" t="n">
        <v>6</v>
      </c>
      <c r="X428" t="inlineStr">
        <is>
          <t>2002-09-16</t>
        </is>
      </c>
      <c r="Y428" t="inlineStr">
        <is>
          <t>1988-02-09</t>
        </is>
      </c>
      <c r="Z428" t="inlineStr">
        <is>
          <t>1988-02-09</t>
        </is>
      </c>
      <c r="AA428" t="n">
        <v>383</v>
      </c>
      <c r="AB428" t="n">
        <v>295</v>
      </c>
      <c r="AC428" t="n">
        <v>299</v>
      </c>
      <c r="AD428" t="n">
        <v>2</v>
      </c>
      <c r="AE428" t="n">
        <v>2</v>
      </c>
      <c r="AF428" t="n">
        <v>7</v>
      </c>
      <c r="AG428" t="n">
        <v>7</v>
      </c>
      <c r="AH428" t="n">
        <v>1</v>
      </c>
      <c r="AI428" t="n">
        <v>1</v>
      </c>
      <c r="AJ428" t="n">
        <v>4</v>
      </c>
      <c r="AK428" t="n">
        <v>4</v>
      </c>
      <c r="AL428" t="n">
        <v>3</v>
      </c>
      <c r="AM428" t="n">
        <v>3</v>
      </c>
      <c r="AN428" t="n">
        <v>1</v>
      </c>
      <c r="AO428" t="n">
        <v>1</v>
      </c>
      <c r="AP428" t="n">
        <v>0</v>
      </c>
      <c r="AQ428" t="n">
        <v>0</v>
      </c>
      <c r="AR428" t="inlineStr">
        <is>
          <t>No</t>
        </is>
      </c>
      <c r="AS428" t="inlineStr">
        <is>
          <t>Yes</t>
        </is>
      </c>
      <c r="AT428">
        <f>HYPERLINK("http://catalog.hathitrust.org/Record/000232255","HathiTrust Record")</f>
        <v/>
      </c>
      <c r="AU428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V428">
        <f>HYPERLINK("http://www.worldcat.org/oclc/2493549","WorldCat Record")</f>
        <v/>
      </c>
      <c r="AW428" t="inlineStr">
        <is>
          <t>3901288192:eng</t>
        </is>
      </c>
      <c r="AX428" t="inlineStr">
        <is>
          <t>2493549</t>
        </is>
      </c>
      <c r="AY428" t="inlineStr">
        <is>
          <t>991000960689702656</t>
        </is>
      </c>
      <c r="AZ428" t="inlineStr">
        <is>
          <t>991000960689702656</t>
        </is>
      </c>
      <c r="BA428" t="inlineStr">
        <is>
          <t>2256742070002656</t>
        </is>
      </c>
      <c r="BB428" t="inlineStr">
        <is>
          <t>BOOK</t>
        </is>
      </c>
      <c r="BD428" t="inlineStr">
        <is>
          <t>9780306371769</t>
        </is>
      </c>
      <c r="BE428" t="inlineStr">
        <is>
          <t>30001000197386</t>
        </is>
      </c>
      <c r="BF428" t="inlineStr">
        <is>
          <t>893546248</t>
        </is>
      </c>
    </row>
    <row r="429">
      <c r="B429" t="inlineStr">
        <is>
          <t>CUHSL</t>
        </is>
      </c>
      <c r="C429" t="inlineStr">
        <is>
          <t>SHELVES</t>
        </is>
      </c>
      <c r="D429" t="inlineStr">
        <is>
          <t>QV 290 L941m 1977 v.1</t>
        </is>
      </c>
      <c r="E429" t="inlineStr">
        <is>
          <t>0                      QV 0290000L  941m        1977                                        v.1</t>
        </is>
      </c>
      <c r="F429" t="inlineStr">
        <is>
          <t>Metal toxicity in mammals / T.D. Luckey and B. Venugopal.</t>
        </is>
      </c>
      <c r="G429" t="inlineStr">
        <is>
          <t>V. 2</t>
        </is>
      </c>
      <c r="H429" t="inlineStr">
        <is>
          <t>Yes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M429" t="inlineStr">
        <is>
          <t>Luckey, T. D. (Thomas D.), 1919-</t>
        </is>
      </c>
      <c r="N429" t="inlineStr">
        <is>
          <t>New York : Plenum Press, c1977.</t>
        </is>
      </c>
      <c r="O429" t="inlineStr">
        <is>
          <t>1977</t>
        </is>
      </c>
      <c r="Q429" t="inlineStr">
        <is>
          <t>eng</t>
        </is>
      </c>
      <c r="R429" t="inlineStr">
        <is>
          <t>nyu</t>
        </is>
      </c>
      <c r="T429" t="inlineStr">
        <is>
          <t xml:space="preserve">QV </t>
        </is>
      </c>
      <c r="U429" t="n">
        <v>3</v>
      </c>
      <c r="V429" t="n">
        <v>6</v>
      </c>
      <c r="W429" t="inlineStr">
        <is>
          <t>2002-09-16</t>
        </is>
      </c>
      <c r="X429" t="inlineStr">
        <is>
          <t>2002-09-16</t>
        </is>
      </c>
      <c r="Y429" t="inlineStr">
        <is>
          <t>1988-02-09</t>
        </is>
      </c>
      <c r="Z429" t="inlineStr">
        <is>
          <t>1988-02-09</t>
        </is>
      </c>
      <c r="AA429" t="n">
        <v>383</v>
      </c>
      <c r="AB429" t="n">
        <v>295</v>
      </c>
      <c r="AC429" t="n">
        <v>299</v>
      </c>
      <c r="AD429" t="n">
        <v>2</v>
      </c>
      <c r="AE429" t="n">
        <v>2</v>
      </c>
      <c r="AF429" t="n">
        <v>7</v>
      </c>
      <c r="AG429" t="n">
        <v>7</v>
      </c>
      <c r="AH429" t="n">
        <v>1</v>
      </c>
      <c r="AI429" t="n">
        <v>1</v>
      </c>
      <c r="AJ429" t="n">
        <v>4</v>
      </c>
      <c r="AK429" t="n">
        <v>4</v>
      </c>
      <c r="AL429" t="n">
        <v>3</v>
      </c>
      <c r="AM429" t="n">
        <v>3</v>
      </c>
      <c r="AN429" t="n">
        <v>1</v>
      </c>
      <c r="AO429" t="n">
        <v>1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HYPERLINK("http://catalog.hathitrust.org/Record/000232255","HathiTrust Record")</f>
        <v/>
      </c>
      <c r="AU429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V429">
        <f>HYPERLINK("http://www.worldcat.org/oclc/2493549","WorldCat Record")</f>
        <v/>
      </c>
      <c r="AW429" t="inlineStr">
        <is>
          <t>3901288192:eng</t>
        </is>
      </c>
      <c r="AX429" t="inlineStr">
        <is>
          <t>2493549</t>
        </is>
      </c>
      <c r="AY429" t="inlineStr">
        <is>
          <t>991000960689702656</t>
        </is>
      </c>
      <c r="AZ429" t="inlineStr">
        <is>
          <t>991000960689702656</t>
        </is>
      </c>
      <c r="BA429" t="inlineStr">
        <is>
          <t>2256742070002656</t>
        </is>
      </c>
      <c r="BB429" t="inlineStr">
        <is>
          <t>BOOK</t>
        </is>
      </c>
      <c r="BD429" t="inlineStr">
        <is>
          <t>9780306371769</t>
        </is>
      </c>
      <c r="BE429" t="inlineStr">
        <is>
          <t>30001000197394</t>
        </is>
      </c>
      <c r="BF429" t="inlineStr">
        <is>
          <t>893546247</t>
        </is>
      </c>
    </row>
    <row r="430">
      <c r="B430" t="inlineStr">
        <is>
          <t>CUHSL</t>
        </is>
      </c>
      <c r="C430" t="inlineStr">
        <is>
          <t>SHELVES</t>
        </is>
      </c>
      <c r="D430" t="inlineStr">
        <is>
          <t>QV290 M718 2001</t>
        </is>
      </c>
      <c r="E430" t="inlineStr">
        <is>
          <t>0                      QV 0290000M  718         2001</t>
        </is>
      </c>
      <c r="F430" t="inlineStr">
        <is>
          <t>Molecular mechanisms of metal toxicity and carcinogenesis / edited by Xianglin Shi... [et. al].</t>
        </is>
      </c>
      <c r="H430" t="inlineStr">
        <is>
          <t>No</t>
        </is>
      </c>
      <c r="I430" t="inlineStr">
        <is>
          <t>1</t>
        </is>
      </c>
      <c r="J430" t="inlineStr">
        <is>
          <t>No</t>
        </is>
      </c>
      <c r="K430" t="inlineStr">
        <is>
          <t>No</t>
        </is>
      </c>
      <c r="L430" t="inlineStr">
        <is>
          <t>0</t>
        </is>
      </c>
      <c r="N430" t="inlineStr">
        <is>
          <t>Dordrecht ; Boston, MA : Kluwer Academic Pub., 2001.</t>
        </is>
      </c>
      <c r="O430" t="inlineStr">
        <is>
          <t>2001</t>
        </is>
      </c>
      <c r="Q430" t="inlineStr">
        <is>
          <t>eng</t>
        </is>
      </c>
      <c r="R430" t="inlineStr">
        <is>
          <t xml:space="preserve">ne </t>
        </is>
      </c>
      <c r="S430" t="inlineStr">
        <is>
          <t>Developments in molecular and cellular biochemistry ; v. 34</t>
        </is>
      </c>
      <c r="T430" t="inlineStr">
        <is>
          <t xml:space="preserve">QV </t>
        </is>
      </c>
      <c r="U430" t="n">
        <v>0</v>
      </c>
      <c r="V430" t="n">
        <v>0</v>
      </c>
      <c r="W430" t="inlineStr">
        <is>
          <t>2003-01-02</t>
        </is>
      </c>
      <c r="X430" t="inlineStr">
        <is>
          <t>2003-01-02</t>
        </is>
      </c>
      <c r="Y430" t="inlineStr">
        <is>
          <t>2002-12-13</t>
        </is>
      </c>
      <c r="Z430" t="inlineStr">
        <is>
          <t>2002-12-13</t>
        </is>
      </c>
      <c r="AA430" t="n">
        <v>29</v>
      </c>
      <c r="AB430" t="n">
        <v>20</v>
      </c>
      <c r="AC430" t="n">
        <v>52</v>
      </c>
      <c r="AD430" t="n">
        <v>1</v>
      </c>
      <c r="AE430" t="n">
        <v>1</v>
      </c>
      <c r="AF430" t="n">
        <v>0</v>
      </c>
      <c r="AG430" t="n">
        <v>3</v>
      </c>
      <c r="AH430" t="n">
        <v>0</v>
      </c>
      <c r="AI430" t="n">
        <v>2</v>
      </c>
      <c r="AJ430" t="n">
        <v>0</v>
      </c>
      <c r="AK430" t="n">
        <v>1</v>
      </c>
      <c r="AL430" t="n">
        <v>0</v>
      </c>
      <c r="AM430" t="n">
        <v>2</v>
      </c>
      <c r="AN430" t="n">
        <v>0</v>
      </c>
      <c r="AO430" t="n">
        <v>0</v>
      </c>
      <c r="AP430" t="n">
        <v>0</v>
      </c>
      <c r="AQ430" t="n">
        <v>0</v>
      </c>
      <c r="AR430" t="inlineStr">
        <is>
          <t>No</t>
        </is>
      </c>
      <c r="AS430" t="inlineStr">
        <is>
          <t>No</t>
        </is>
      </c>
      <c r="AU430">
        <f>HYPERLINK("https://creighton-primo.hosted.exlibrisgroup.com/primo-explore/search?tab=default_tab&amp;search_scope=EVERYTHING&amp;vid=01CRU&amp;lang=en_US&amp;offset=0&amp;query=any,contains,991000333639702656","Catalog Record")</f>
        <v/>
      </c>
      <c r="AV430">
        <f>HYPERLINK("http://www.worldcat.org/oclc/47625407","WorldCat Record")</f>
        <v/>
      </c>
      <c r="AW430" t="inlineStr">
        <is>
          <t>364532909:eng</t>
        </is>
      </c>
      <c r="AX430" t="inlineStr">
        <is>
          <t>47625407</t>
        </is>
      </c>
      <c r="AY430" t="inlineStr">
        <is>
          <t>991000333639702656</t>
        </is>
      </c>
      <c r="AZ430" t="inlineStr">
        <is>
          <t>991000333639702656</t>
        </is>
      </c>
      <c r="BA430" t="inlineStr">
        <is>
          <t>2270003110002656</t>
        </is>
      </c>
      <c r="BB430" t="inlineStr">
        <is>
          <t>BOOK</t>
        </is>
      </c>
      <c r="BD430" t="inlineStr">
        <is>
          <t>9780792374985</t>
        </is>
      </c>
      <c r="BE430" t="inlineStr">
        <is>
          <t>30001004500759</t>
        </is>
      </c>
      <c r="BF430" t="inlineStr">
        <is>
          <t>893723379</t>
        </is>
      </c>
    </row>
    <row r="431">
      <c r="B431" t="inlineStr">
        <is>
          <t>CUHSL</t>
        </is>
      </c>
      <c r="C431" t="inlineStr">
        <is>
          <t>SHELVES</t>
        </is>
      </c>
      <c r="D431" t="inlineStr">
        <is>
          <t>QV 290 T756 1979 pt.2</t>
        </is>
      </c>
      <c r="E431" t="inlineStr">
        <is>
          <t>0                      QV 0290000T  756         1979                                        pt.2</t>
        </is>
      </c>
      <c r="F431" t="inlineStr">
        <is>
          <t>Toxicity of heavy metals in the environment : part 2 / edited by Frederick W. Oehme.</t>
        </is>
      </c>
      <c r="G431" t="inlineStr">
        <is>
          <t>pt.2*</t>
        </is>
      </c>
      <c r="H431" t="inlineStr">
        <is>
          <t>No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N431" t="inlineStr">
        <is>
          <t>New York : M. Dekker, c1979.</t>
        </is>
      </c>
      <c r="O431" t="inlineStr">
        <is>
          <t>1979</t>
        </is>
      </c>
      <c r="Q431" t="inlineStr">
        <is>
          <t>eng</t>
        </is>
      </c>
      <c r="R431" t="inlineStr">
        <is>
          <t>nyu</t>
        </is>
      </c>
      <c r="S431" t="inlineStr">
        <is>
          <t>Hazardous and toxic substances ; 2</t>
        </is>
      </c>
      <c r="T431" t="inlineStr">
        <is>
          <t xml:space="preserve">QV </t>
        </is>
      </c>
      <c r="U431" t="n">
        <v>6</v>
      </c>
      <c r="V431" t="n">
        <v>6</v>
      </c>
      <c r="W431" t="inlineStr">
        <is>
          <t>2000-03-20</t>
        </is>
      </c>
      <c r="X431" t="inlineStr">
        <is>
          <t>2000-03-20</t>
        </is>
      </c>
      <c r="Y431" t="inlineStr">
        <is>
          <t>1988-02-09</t>
        </is>
      </c>
      <c r="Z431" t="inlineStr">
        <is>
          <t>1988-02-09</t>
        </is>
      </c>
      <c r="AA431" t="n">
        <v>317</v>
      </c>
      <c r="AB431" t="n">
        <v>232</v>
      </c>
      <c r="AC431" t="n">
        <v>240</v>
      </c>
      <c r="AD431" t="n">
        <v>2</v>
      </c>
      <c r="AE431" t="n">
        <v>2</v>
      </c>
      <c r="AF431" t="n">
        <v>4</v>
      </c>
      <c r="AG431" t="n">
        <v>4</v>
      </c>
      <c r="AH431" t="n">
        <v>1</v>
      </c>
      <c r="AI431" t="n">
        <v>1</v>
      </c>
      <c r="AJ431" t="n">
        <v>2</v>
      </c>
      <c r="AK431" t="n">
        <v>2</v>
      </c>
      <c r="AL431" t="n">
        <v>1</v>
      </c>
      <c r="AM431" t="n">
        <v>1</v>
      </c>
      <c r="AN431" t="n">
        <v>1</v>
      </c>
      <c r="AO431" t="n">
        <v>1</v>
      </c>
      <c r="AP431" t="n">
        <v>0</v>
      </c>
      <c r="AQ431" t="n">
        <v>0</v>
      </c>
      <c r="AR431" t="inlineStr">
        <is>
          <t>No</t>
        </is>
      </c>
      <c r="AS431" t="inlineStr">
        <is>
          <t>Yes</t>
        </is>
      </c>
      <c r="AT431">
        <f>HYPERLINK("http://catalog.hathitrust.org/Record/000039656","HathiTrust Record")</f>
        <v/>
      </c>
      <c r="AU431">
        <f>HYPERLINK("https://creighton-primo.hosted.exlibrisgroup.com/primo-explore/search?tab=default_tab&amp;search_scope=EVERYTHING&amp;vid=01CRU&amp;lang=en_US&amp;offset=0&amp;query=any,contains,991000960659702656","Catalog Record")</f>
        <v/>
      </c>
      <c r="AV431">
        <f>HYPERLINK("http://www.worldcat.org/oclc/4135489","WorldCat Record")</f>
        <v/>
      </c>
      <c r="AW431" t="inlineStr">
        <is>
          <t>2864716990:eng</t>
        </is>
      </c>
      <c r="AX431" t="inlineStr">
        <is>
          <t>4135489</t>
        </is>
      </c>
      <c r="AY431" t="inlineStr">
        <is>
          <t>991000960659702656</t>
        </is>
      </c>
      <c r="AZ431" t="inlineStr">
        <is>
          <t>991000960659702656</t>
        </is>
      </c>
      <c r="BA431" t="inlineStr">
        <is>
          <t>2254747310002656</t>
        </is>
      </c>
      <c r="BB431" t="inlineStr">
        <is>
          <t>BOOK</t>
        </is>
      </c>
      <c r="BE431" t="inlineStr">
        <is>
          <t>30001000197378</t>
        </is>
      </c>
      <c r="BF431" t="inlineStr">
        <is>
          <t>893374132</t>
        </is>
      </c>
    </row>
    <row r="432">
      <c r="B432" t="inlineStr">
        <is>
          <t>CUHSL</t>
        </is>
      </c>
      <c r="C432" t="inlineStr">
        <is>
          <t>SHELVES</t>
        </is>
      </c>
      <c r="D432" t="inlineStr">
        <is>
          <t>QV 292 L4344 1986</t>
        </is>
      </c>
      <c r="E432" t="inlineStr">
        <is>
          <t>0                      QV 0292000L  4344        1986</t>
        </is>
      </c>
      <c r="F432" t="inlineStr">
        <is>
          <t>Lead toxicity : history and environmental impact / edited by Richard Lansdown and William Yule.</t>
        </is>
      </c>
      <c r="H432" t="inlineStr">
        <is>
          <t>No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N432" t="inlineStr">
        <is>
          <t>Baltimore : Johns Hopkins University Press, c1986.</t>
        </is>
      </c>
      <c r="O432" t="inlineStr">
        <is>
          <t>1986</t>
        </is>
      </c>
      <c r="Q432" t="inlineStr">
        <is>
          <t>eng</t>
        </is>
      </c>
      <c r="R432" t="inlineStr">
        <is>
          <t>mdu</t>
        </is>
      </c>
      <c r="S432" t="inlineStr">
        <is>
          <t>The Johns Hopkins series in environmental toxicology</t>
        </is>
      </c>
      <c r="T432" t="inlineStr">
        <is>
          <t xml:space="preserve">QV </t>
        </is>
      </c>
      <c r="U432" t="n">
        <v>21</v>
      </c>
      <c r="V432" t="n">
        <v>21</v>
      </c>
      <c r="W432" t="inlineStr">
        <is>
          <t>2002-10-03</t>
        </is>
      </c>
      <c r="X432" t="inlineStr">
        <is>
          <t>2002-10-03</t>
        </is>
      </c>
      <c r="Y432" t="inlineStr">
        <is>
          <t>1988-02-09</t>
        </is>
      </c>
      <c r="Z432" t="inlineStr">
        <is>
          <t>1988-02-09</t>
        </is>
      </c>
      <c r="AA432" t="n">
        <v>292</v>
      </c>
      <c r="AB432" t="n">
        <v>256</v>
      </c>
      <c r="AC432" t="n">
        <v>257</v>
      </c>
      <c r="AD432" t="n">
        <v>3</v>
      </c>
      <c r="AE432" t="n">
        <v>3</v>
      </c>
      <c r="AF432" t="n">
        <v>10</v>
      </c>
      <c r="AG432" t="n">
        <v>10</v>
      </c>
      <c r="AH432" t="n">
        <v>3</v>
      </c>
      <c r="AI432" t="n">
        <v>3</v>
      </c>
      <c r="AJ432" t="n">
        <v>2</v>
      </c>
      <c r="AK432" t="n">
        <v>2</v>
      </c>
      <c r="AL432" t="n">
        <v>5</v>
      </c>
      <c r="AM432" t="n">
        <v>5</v>
      </c>
      <c r="AN432" t="n">
        <v>2</v>
      </c>
      <c r="AO432" t="n">
        <v>2</v>
      </c>
      <c r="AP432" t="n">
        <v>0</v>
      </c>
      <c r="AQ432" t="n">
        <v>0</v>
      </c>
      <c r="AR432" t="inlineStr">
        <is>
          <t>No</t>
        </is>
      </c>
      <c r="AS432" t="inlineStr">
        <is>
          <t>No</t>
        </is>
      </c>
      <c r="AU432">
        <f>HYPERLINK("https://creighton-primo.hosted.exlibrisgroup.com/primo-explore/search?tab=default_tab&amp;search_scope=EVERYTHING&amp;vid=01CRU&amp;lang=en_US&amp;offset=0&amp;query=any,contains,991001267659702656","Catalog Record")</f>
        <v/>
      </c>
      <c r="AV432">
        <f>HYPERLINK("http://www.worldcat.org/oclc/13270835","WorldCat Record")</f>
        <v/>
      </c>
      <c r="AW432" t="inlineStr">
        <is>
          <t>905982683:eng</t>
        </is>
      </c>
      <c r="AX432" t="inlineStr">
        <is>
          <t>13270835</t>
        </is>
      </c>
      <c r="AY432" t="inlineStr">
        <is>
          <t>991001267659702656</t>
        </is>
      </c>
      <c r="AZ432" t="inlineStr">
        <is>
          <t>991001267659702656</t>
        </is>
      </c>
      <c r="BA432" t="inlineStr">
        <is>
          <t>2262318920002656</t>
        </is>
      </c>
      <c r="BB432" t="inlineStr">
        <is>
          <t>BOOK</t>
        </is>
      </c>
      <c r="BD432" t="inlineStr">
        <is>
          <t>9780801833380</t>
        </is>
      </c>
      <c r="BE432" t="inlineStr">
        <is>
          <t>30001000353849</t>
        </is>
      </c>
      <c r="BF432" t="inlineStr">
        <is>
          <t>893278915</t>
        </is>
      </c>
    </row>
    <row r="433">
      <c r="B433" t="inlineStr">
        <is>
          <t>CUHSL</t>
        </is>
      </c>
      <c r="C433" t="inlineStr">
        <is>
          <t>SHELVES</t>
        </is>
      </c>
      <c r="D433" t="inlineStr">
        <is>
          <t>QV 310 K244m 1962</t>
        </is>
      </c>
      <c r="E433" t="inlineStr">
        <is>
          <t>0                      QV 0310000K  244m        1962</t>
        </is>
      </c>
      <c r="F433" t="inlineStr">
        <is>
          <t>Microaerosols : physiology, pharmacology, therapeutics.</t>
        </is>
      </c>
      <c r="H433" t="inlineStr">
        <is>
          <t>No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M433" t="inlineStr">
        <is>
          <t>Dautrebande, Lucien.</t>
        </is>
      </c>
      <c r="N433" t="inlineStr">
        <is>
          <t>New York : Academic Press, 1962.</t>
        </is>
      </c>
      <c r="O433" t="inlineStr">
        <is>
          <t>1962</t>
        </is>
      </c>
      <c r="Q433" t="inlineStr">
        <is>
          <t>eng</t>
        </is>
      </c>
      <c r="R433" t="inlineStr">
        <is>
          <t>nyu</t>
        </is>
      </c>
      <c r="T433" t="inlineStr">
        <is>
          <t xml:space="preserve">QV </t>
        </is>
      </c>
      <c r="U433" t="n">
        <v>5</v>
      </c>
      <c r="V433" t="n">
        <v>5</v>
      </c>
      <c r="W433" t="inlineStr">
        <is>
          <t>1991-01-31</t>
        </is>
      </c>
      <c r="X433" t="inlineStr">
        <is>
          <t>1991-01-31</t>
        </is>
      </c>
      <c r="Y433" t="inlineStr">
        <is>
          <t>1988-03-17</t>
        </is>
      </c>
      <c r="Z433" t="inlineStr">
        <is>
          <t>1988-03-17</t>
        </is>
      </c>
      <c r="AA433" t="n">
        <v>147</v>
      </c>
      <c r="AB433" t="n">
        <v>107</v>
      </c>
      <c r="AC433" t="n">
        <v>168</v>
      </c>
      <c r="AD433" t="n">
        <v>1</v>
      </c>
      <c r="AE433" t="n">
        <v>2</v>
      </c>
      <c r="AF433" t="n">
        <v>2</v>
      </c>
      <c r="AG433" t="n">
        <v>8</v>
      </c>
      <c r="AH433" t="n">
        <v>1</v>
      </c>
      <c r="AI433" t="n">
        <v>3</v>
      </c>
      <c r="AJ433" t="n">
        <v>0</v>
      </c>
      <c r="AK433" t="n">
        <v>3</v>
      </c>
      <c r="AL433" t="n">
        <v>1</v>
      </c>
      <c r="AM433" t="n">
        <v>2</v>
      </c>
      <c r="AN433" t="n">
        <v>0</v>
      </c>
      <c r="AO433" t="n">
        <v>1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HYPERLINK("http://catalog.hathitrust.org/Record/001588093","HathiTrust Record")</f>
        <v/>
      </c>
      <c r="AU433">
        <f>HYPERLINK("https://creighton-primo.hosted.exlibrisgroup.com/primo-explore/search?tab=default_tab&amp;search_scope=EVERYTHING&amp;vid=01CRU&amp;lang=en_US&amp;offset=0&amp;query=any,contains,991000961629702656","Catalog Record")</f>
        <v/>
      </c>
      <c r="AV433">
        <f>HYPERLINK("http://www.worldcat.org/oclc/14603983","WorldCat Record")</f>
        <v/>
      </c>
      <c r="AW433" t="inlineStr">
        <is>
          <t>8097309:eng</t>
        </is>
      </c>
      <c r="AX433" t="inlineStr">
        <is>
          <t>14603983</t>
        </is>
      </c>
      <c r="AY433" t="inlineStr">
        <is>
          <t>991000961629702656</t>
        </is>
      </c>
      <c r="AZ433" t="inlineStr">
        <is>
          <t>991000961629702656</t>
        </is>
      </c>
      <c r="BA433" t="inlineStr">
        <is>
          <t>2271367420002656</t>
        </is>
      </c>
      <c r="BB433" t="inlineStr">
        <is>
          <t>BOOK</t>
        </is>
      </c>
      <c r="BE433" t="inlineStr">
        <is>
          <t>30001000197816</t>
        </is>
      </c>
      <c r="BF433" t="inlineStr">
        <is>
          <t>893648802</t>
        </is>
      </c>
    </row>
    <row r="434">
      <c r="B434" t="inlineStr">
        <is>
          <t>CUHSL</t>
        </is>
      </c>
      <c r="C434" t="inlineStr">
        <is>
          <t>SHELVES</t>
        </is>
      </c>
      <c r="D434" t="inlineStr">
        <is>
          <t>QV 312 B6152 1992</t>
        </is>
      </c>
      <c r="E434" t="inlineStr">
        <is>
          <t>0                      QV 0312000B  6152        1992</t>
        </is>
      </c>
      <c r="F434" t="inlineStr">
        <is>
          <t>Biological consequences of oxidative stress : implications for cardiovascular disease and carcinogenesis / edited by Lawrence Spatz, Arthur D. Bloom.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N434" t="inlineStr">
        <is>
          <t>New York : Oxford University Press, c1992.</t>
        </is>
      </c>
      <c r="O434" t="inlineStr">
        <is>
          <t>1992</t>
        </is>
      </c>
      <c r="Q434" t="inlineStr">
        <is>
          <t>eng</t>
        </is>
      </c>
      <c r="R434" t="inlineStr">
        <is>
          <t>nyu</t>
        </is>
      </c>
      <c r="S434" t="inlineStr">
        <is>
          <t>The Conte Institute series ; 1.</t>
        </is>
      </c>
      <c r="T434" t="inlineStr">
        <is>
          <t xml:space="preserve">QV </t>
        </is>
      </c>
      <c r="U434" t="n">
        <v>6</v>
      </c>
      <c r="V434" t="n">
        <v>6</v>
      </c>
      <c r="W434" t="inlineStr">
        <is>
          <t>2000-04-14</t>
        </is>
      </c>
      <c r="X434" t="inlineStr">
        <is>
          <t>2000-04-14</t>
        </is>
      </c>
      <c r="Y434" t="inlineStr">
        <is>
          <t>1993-08-27</t>
        </is>
      </c>
      <c r="Z434" t="inlineStr">
        <is>
          <t>1993-08-27</t>
        </is>
      </c>
      <c r="AA434" t="n">
        <v>117</v>
      </c>
      <c r="AB434" t="n">
        <v>78</v>
      </c>
      <c r="AC434" t="n">
        <v>85</v>
      </c>
      <c r="AD434" t="n">
        <v>1</v>
      </c>
      <c r="AE434" t="n">
        <v>1</v>
      </c>
      <c r="AF434" t="n">
        <v>3</v>
      </c>
      <c r="AG434" t="n">
        <v>3</v>
      </c>
      <c r="AH434" t="n">
        <v>1</v>
      </c>
      <c r="AI434" t="n">
        <v>1</v>
      </c>
      <c r="AJ434" t="n">
        <v>0</v>
      </c>
      <c r="AK434" t="n">
        <v>0</v>
      </c>
      <c r="AL434" t="n">
        <v>3</v>
      </c>
      <c r="AM434" t="n">
        <v>3</v>
      </c>
      <c r="AN434" t="n">
        <v>0</v>
      </c>
      <c r="AO434" t="n">
        <v>0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HYPERLINK("http://catalog.hathitrust.org/Record/002559323","HathiTrust Record")</f>
        <v/>
      </c>
      <c r="AU434">
        <f>HYPERLINK("https://creighton-primo.hosted.exlibrisgroup.com/primo-explore/search?tab=default_tab&amp;search_scope=EVERYTHING&amp;vid=01CRU&amp;lang=en_US&amp;offset=0&amp;query=any,contains,991001510459702656","Catalog Record")</f>
        <v/>
      </c>
      <c r="AV434">
        <f>HYPERLINK("http://www.worldcat.org/oclc/24378648","WorldCat Record")</f>
        <v/>
      </c>
      <c r="AW434" t="inlineStr">
        <is>
          <t>836905036:eng</t>
        </is>
      </c>
      <c r="AX434" t="inlineStr">
        <is>
          <t>24378648</t>
        </is>
      </c>
      <c r="AY434" t="inlineStr">
        <is>
          <t>991001510459702656</t>
        </is>
      </c>
      <c r="AZ434" t="inlineStr">
        <is>
          <t>991001510459702656</t>
        </is>
      </c>
      <c r="BA434" t="inlineStr">
        <is>
          <t>2266182950002656</t>
        </is>
      </c>
      <c r="BB434" t="inlineStr">
        <is>
          <t>BOOK</t>
        </is>
      </c>
      <c r="BD434" t="inlineStr">
        <is>
          <t>9780195072969</t>
        </is>
      </c>
      <c r="BE434" t="inlineStr">
        <is>
          <t>30001002600726</t>
        </is>
      </c>
      <c r="BF434" t="inlineStr">
        <is>
          <t>893741214</t>
        </is>
      </c>
    </row>
    <row r="435">
      <c r="B435" t="inlineStr">
        <is>
          <t>CUHSL</t>
        </is>
      </c>
      <c r="C435" t="inlineStr">
        <is>
          <t>SHELVES</t>
        </is>
      </c>
      <c r="D435" t="inlineStr">
        <is>
          <t>QV 312 B61526 1992</t>
        </is>
      </c>
      <c r="E435" t="inlineStr">
        <is>
          <t>0                      QV 0312000B  61526       1992</t>
        </is>
      </c>
      <c r="F435" t="inlineStr">
        <is>
          <t>Biological oxidants : generation and injurious consequences / edited by Charles G. Cochrane, Michael A. Gimbrone, Jr.</t>
        </is>
      </c>
      <c r="H435" t="inlineStr">
        <is>
          <t>No</t>
        </is>
      </c>
      <c r="I435" t="inlineStr">
        <is>
          <t>1</t>
        </is>
      </c>
      <c r="J435" t="inlineStr">
        <is>
          <t>Yes</t>
        </is>
      </c>
      <c r="K435" t="inlineStr">
        <is>
          <t>No</t>
        </is>
      </c>
      <c r="L435" t="inlineStr">
        <is>
          <t>0</t>
        </is>
      </c>
      <c r="N435" t="inlineStr">
        <is>
          <t>San Diego : Academic Press, c1992.</t>
        </is>
      </c>
      <c r="O435" t="inlineStr">
        <is>
          <t>1992</t>
        </is>
      </c>
      <c r="Q435" t="inlineStr">
        <is>
          <t>eng</t>
        </is>
      </c>
      <c r="R435" t="inlineStr">
        <is>
          <t>xxu</t>
        </is>
      </c>
      <c r="S435" t="inlineStr">
        <is>
          <t>Cellular and molecular mechanisms of inflammation, 1052-582 ; v. 4</t>
        </is>
      </c>
      <c r="T435" t="inlineStr">
        <is>
          <t xml:space="preserve">QV </t>
        </is>
      </c>
      <c r="U435" t="n">
        <v>6</v>
      </c>
      <c r="V435" t="n">
        <v>6</v>
      </c>
      <c r="W435" t="inlineStr">
        <is>
          <t>2002-10-21</t>
        </is>
      </c>
      <c r="X435" t="inlineStr">
        <is>
          <t>2002-10-21</t>
        </is>
      </c>
      <c r="Y435" t="inlineStr">
        <is>
          <t>1993-08-27</t>
        </is>
      </c>
      <c r="Z435" t="inlineStr">
        <is>
          <t>1993-08-27</t>
        </is>
      </c>
      <c r="AA435" t="n">
        <v>98</v>
      </c>
      <c r="AB435" t="n">
        <v>68</v>
      </c>
      <c r="AC435" t="n">
        <v>111</v>
      </c>
      <c r="AD435" t="n">
        <v>2</v>
      </c>
      <c r="AE435" t="n">
        <v>2</v>
      </c>
      <c r="AF435" t="n">
        <v>1</v>
      </c>
      <c r="AG435" t="n">
        <v>4</v>
      </c>
      <c r="AH435" t="n">
        <v>0</v>
      </c>
      <c r="AI435" t="n">
        <v>2</v>
      </c>
      <c r="AJ435" t="n">
        <v>0</v>
      </c>
      <c r="AK435" t="n">
        <v>2</v>
      </c>
      <c r="AL435" t="n">
        <v>1</v>
      </c>
      <c r="AM435" t="n">
        <v>1</v>
      </c>
      <c r="AN435" t="n">
        <v>0</v>
      </c>
      <c r="AO435" t="n">
        <v>0</v>
      </c>
      <c r="AP435" t="n">
        <v>0</v>
      </c>
      <c r="AQ435" t="n">
        <v>0</v>
      </c>
      <c r="AR435" t="inlineStr">
        <is>
          <t>No</t>
        </is>
      </c>
      <c r="AS435" t="inlineStr">
        <is>
          <t>No</t>
        </is>
      </c>
      <c r="AU435">
        <f>HYPERLINK("https://creighton-primo.hosted.exlibrisgroup.com/primo-explore/search?tab=default_tab&amp;search_scope=EVERYTHING&amp;vid=01CRU&amp;lang=en_US&amp;offset=0&amp;query=any,contains,991001510399702656","Catalog Record")</f>
        <v/>
      </c>
      <c r="AV435">
        <f>HYPERLINK("http://www.worldcat.org/oclc/27196220","WorldCat Record")</f>
        <v/>
      </c>
      <c r="AW435" t="inlineStr">
        <is>
          <t>365416982:eng</t>
        </is>
      </c>
      <c r="AX435" t="inlineStr">
        <is>
          <t>27196220</t>
        </is>
      </c>
      <c r="AY435" t="inlineStr">
        <is>
          <t>991001510399702656</t>
        </is>
      </c>
      <c r="AZ435" t="inlineStr">
        <is>
          <t>991001510399702656</t>
        </is>
      </c>
      <c r="BA435" t="inlineStr">
        <is>
          <t>2262776000002656</t>
        </is>
      </c>
      <c r="BB435" t="inlineStr">
        <is>
          <t>BOOK</t>
        </is>
      </c>
      <c r="BD435" t="inlineStr">
        <is>
          <t>9780121504045</t>
        </is>
      </c>
      <c r="BE435" t="inlineStr">
        <is>
          <t>30001002600718</t>
        </is>
      </c>
      <c r="BF435" t="inlineStr">
        <is>
          <t>893558046</t>
        </is>
      </c>
    </row>
    <row r="436">
      <c r="B436" t="inlineStr">
        <is>
          <t>CUHSL</t>
        </is>
      </c>
      <c r="C436" t="inlineStr">
        <is>
          <t>SHELVES</t>
        </is>
      </c>
      <c r="D436" t="inlineStr">
        <is>
          <t>QV 312 C738p 1950</t>
        </is>
      </c>
      <c r="E436" t="inlineStr">
        <is>
          <t>0                      QV 0312000C  738p        1950</t>
        </is>
      </c>
      <c r="F436" t="inlineStr">
        <is>
          <t>Physiological basis for oxygen therapy / by Julius H. Comroe, Jr. and Robert D. Dripps.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Comroe, Julius H. (Julius Hiram), 1911-</t>
        </is>
      </c>
      <c r="N436" t="inlineStr">
        <is>
          <t>Springfield, Ill. : Thomas, [1950]</t>
        </is>
      </c>
      <c r="O436" t="inlineStr">
        <is>
          <t>1950</t>
        </is>
      </c>
      <c r="Q436" t="inlineStr">
        <is>
          <t>eng</t>
        </is>
      </c>
      <c r="R436" t="inlineStr">
        <is>
          <t xml:space="preserve">xx </t>
        </is>
      </c>
      <c r="S436" t="inlineStr">
        <is>
          <t>American lecture series, publication no. 42. American lectures in physiology</t>
        </is>
      </c>
      <c r="T436" t="inlineStr">
        <is>
          <t xml:space="preserve">QV </t>
        </is>
      </c>
      <c r="U436" t="n">
        <v>1</v>
      </c>
      <c r="V436" t="n">
        <v>1</v>
      </c>
      <c r="W436" t="inlineStr">
        <is>
          <t>2000-04-14</t>
        </is>
      </c>
      <c r="X436" t="inlineStr">
        <is>
          <t>2000-04-14</t>
        </is>
      </c>
      <c r="Y436" t="inlineStr">
        <is>
          <t>1988-03-17</t>
        </is>
      </c>
      <c r="Z436" t="inlineStr">
        <is>
          <t>1988-03-17</t>
        </is>
      </c>
      <c r="AA436" t="n">
        <v>94</v>
      </c>
      <c r="AB436" t="n">
        <v>71</v>
      </c>
      <c r="AC436" t="n">
        <v>75</v>
      </c>
      <c r="AD436" t="n">
        <v>1</v>
      </c>
      <c r="AE436" t="n">
        <v>1</v>
      </c>
      <c r="AF436" t="n">
        <v>2</v>
      </c>
      <c r="AG436" t="n">
        <v>2</v>
      </c>
      <c r="AH436" t="n">
        <v>1</v>
      </c>
      <c r="AI436" t="n">
        <v>1</v>
      </c>
      <c r="AJ436" t="n">
        <v>0</v>
      </c>
      <c r="AK436" t="n">
        <v>0</v>
      </c>
      <c r="AL436" t="n">
        <v>1</v>
      </c>
      <c r="AM436" t="n">
        <v>1</v>
      </c>
      <c r="AN436" t="n">
        <v>0</v>
      </c>
      <c r="AO436" t="n">
        <v>0</v>
      </c>
      <c r="AP436" t="n">
        <v>0</v>
      </c>
      <c r="AQ436" t="n">
        <v>0</v>
      </c>
      <c r="AR436" t="inlineStr">
        <is>
          <t>No</t>
        </is>
      </c>
      <c r="AS436" t="inlineStr">
        <is>
          <t>No</t>
        </is>
      </c>
      <c r="AT436">
        <f>HYPERLINK("http://catalog.hathitrust.org/Record/000852967","HathiTrust Record")</f>
        <v/>
      </c>
      <c r="AU436">
        <f>HYPERLINK("https://creighton-primo.hosted.exlibrisgroup.com/primo-explore/search?tab=default_tab&amp;search_scope=EVERYTHING&amp;vid=01CRU&amp;lang=en_US&amp;offset=0&amp;query=any,contains,991000961549702656","Catalog Record")</f>
        <v/>
      </c>
      <c r="AV436">
        <f>HYPERLINK("http://www.worldcat.org/oclc/2688911","WorldCat Record")</f>
        <v/>
      </c>
      <c r="AW436" t="inlineStr">
        <is>
          <t>5908593:eng</t>
        </is>
      </c>
      <c r="AX436" t="inlineStr">
        <is>
          <t>2688911</t>
        </is>
      </c>
      <c r="AY436" t="inlineStr">
        <is>
          <t>991000961549702656</t>
        </is>
      </c>
      <c r="AZ436" t="inlineStr">
        <is>
          <t>991000961549702656</t>
        </is>
      </c>
      <c r="BA436" t="inlineStr">
        <is>
          <t>2260443300002656</t>
        </is>
      </c>
      <c r="BB436" t="inlineStr">
        <is>
          <t>BOOK</t>
        </is>
      </c>
      <c r="BE436" t="inlineStr">
        <is>
          <t>30001000197774</t>
        </is>
      </c>
      <c r="BF436" t="inlineStr">
        <is>
          <t>893267874</t>
        </is>
      </c>
    </row>
    <row r="437">
      <c r="B437" t="inlineStr">
        <is>
          <t>CUHSL</t>
        </is>
      </c>
      <c r="C437" t="inlineStr">
        <is>
          <t>SHELVES</t>
        </is>
      </c>
      <c r="D437" t="inlineStr">
        <is>
          <t>QV 312 F853 1992</t>
        </is>
      </c>
      <c r="E437" t="inlineStr">
        <is>
          <t>0                      QV 0312000F  853         1992</t>
        </is>
      </c>
      <c r="F437" t="inlineStr">
        <is>
          <t>Free radical mechanisms of tissue injury / editors, Mary Treinen Moslen, Charles V. Smith.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No</t>
        </is>
      </c>
      <c r="L437" t="inlineStr">
        <is>
          <t>0</t>
        </is>
      </c>
      <c r="N437" t="inlineStr">
        <is>
          <t>Ann Arbor : CRC Press, c1992.</t>
        </is>
      </c>
      <c r="O437" t="inlineStr">
        <is>
          <t>1992</t>
        </is>
      </c>
      <c r="Q437" t="inlineStr">
        <is>
          <t>eng</t>
        </is>
      </c>
      <c r="R437" t="inlineStr">
        <is>
          <t>miu</t>
        </is>
      </c>
      <c r="T437" t="inlineStr">
        <is>
          <t xml:space="preserve">QV </t>
        </is>
      </c>
      <c r="U437" t="n">
        <v>11</v>
      </c>
      <c r="V437" t="n">
        <v>11</v>
      </c>
      <c r="W437" t="inlineStr">
        <is>
          <t>2000-04-14</t>
        </is>
      </c>
      <c r="X437" t="inlineStr">
        <is>
          <t>2000-04-14</t>
        </is>
      </c>
      <c r="Y437" t="inlineStr">
        <is>
          <t>1992-04-09</t>
        </is>
      </c>
      <c r="Z437" t="inlineStr">
        <is>
          <t>1992-04-09</t>
        </is>
      </c>
      <c r="AA437" t="n">
        <v>138</v>
      </c>
      <c r="AB437" t="n">
        <v>108</v>
      </c>
      <c r="AC437" t="n">
        <v>108</v>
      </c>
      <c r="AD437" t="n">
        <v>2</v>
      </c>
      <c r="AE437" t="n">
        <v>2</v>
      </c>
      <c r="AF437" t="n">
        <v>4</v>
      </c>
      <c r="AG437" t="n">
        <v>4</v>
      </c>
      <c r="AH437" t="n">
        <v>1</v>
      </c>
      <c r="AI437" t="n">
        <v>1</v>
      </c>
      <c r="AJ437" t="n">
        <v>1</v>
      </c>
      <c r="AK437" t="n">
        <v>1</v>
      </c>
      <c r="AL437" t="n">
        <v>1</v>
      </c>
      <c r="AM437" t="n">
        <v>1</v>
      </c>
      <c r="AN437" t="n">
        <v>1</v>
      </c>
      <c r="AO437" t="n">
        <v>1</v>
      </c>
      <c r="AP437" t="n">
        <v>0</v>
      </c>
      <c r="AQ437" t="n">
        <v>0</v>
      </c>
      <c r="AR437" t="inlineStr">
        <is>
          <t>No</t>
        </is>
      </c>
      <c r="AS437" t="inlineStr">
        <is>
          <t>No</t>
        </is>
      </c>
      <c r="AU437">
        <f>HYPERLINK("https://creighton-primo.hosted.exlibrisgroup.com/primo-explore/search?tab=default_tab&amp;search_scope=EVERYTHING&amp;vid=01CRU&amp;lang=en_US&amp;offset=0&amp;query=any,contains,991001301709702656","Catalog Record")</f>
        <v/>
      </c>
      <c r="AV437">
        <f>HYPERLINK("http://www.worldcat.org/oclc/24318415","WorldCat Record")</f>
        <v/>
      </c>
      <c r="AW437" t="inlineStr">
        <is>
          <t>435215365:eng</t>
        </is>
      </c>
      <c r="AX437" t="inlineStr">
        <is>
          <t>24318415</t>
        </is>
      </c>
      <c r="AY437" t="inlineStr">
        <is>
          <t>991001301709702656</t>
        </is>
      </c>
      <c r="AZ437" t="inlineStr">
        <is>
          <t>991001301709702656</t>
        </is>
      </c>
      <c r="BA437" t="inlineStr">
        <is>
          <t>2272540320002656</t>
        </is>
      </c>
      <c r="BB437" t="inlineStr">
        <is>
          <t>BOOK</t>
        </is>
      </c>
      <c r="BD437" t="inlineStr">
        <is>
          <t>9780849351617</t>
        </is>
      </c>
      <c r="BE437" t="inlineStr">
        <is>
          <t>30001002412072</t>
        </is>
      </c>
      <c r="BF437" t="inlineStr">
        <is>
          <t>893465393</t>
        </is>
      </c>
    </row>
    <row r="438">
      <c r="B438" t="inlineStr">
        <is>
          <t>CUHSL</t>
        </is>
      </c>
      <c r="C438" t="inlineStr">
        <is>
          <t>SHELVES</t>
        </is>
      </c>
      <c r="D438" t="inlineStr">
        <is>
          <t>QV 312 O9515 1997</t>
        </is>
      </c>
      <c r="E438" t="inlineStr">
        <is>
          <t>0                      QV 0312000O  9515        1997</t>
        </is>
      </c>
      <c r="F438" t="inlineStr">
        <is>
          <t>Oxidative stress and the molecular biology of antioxidant defenses / edited by John G. Scandalios.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No</t>
        </is>
      </c>
      <c r="L438" t="inlineStr">
        <is>
          <t>0</t>
        </is>
      </c>
      <c r="N438" t="inlineStr">
        <is>
          <t>Plainview, N.Y. : Cold Spring Harbor Laboratory Press, c1997.</t>
        </is>
      </c>
      <c r="O438" t="inlineStr">
        <is>
          <t>1997</t>
        </is>
      </c>
      <c r="Q438" t="inlineStr">
        <is>
          <t>eng</t>
        </is>
      </c>
      <c r="R438" t="inlineStr">
        <is>
          <t>nyu</t>
        </is>
      </c>
      <c r="S438" t="inlineStr">
        <is>
          <t>Cold Spring Harbor monograph series ; 34</t>
        </is>
      </c>
      <c r="T438" t="inlineStr">
        <is>
          <t xml:space="preserve">QV </t>
        </is>
      </c>
      <c r="U438" t="n">
        <v>19</v>
      </c>
      <c r="V438" t="n">
        <v>19</v>
      </c>
      <c r="W438" t="inlineStr">
        <is>
          <t>2005-08-25</t>
        </is>
      </c>
      <c r="X438" t="inlineStr">
        <is>
          <t>2005-08-25</t>
        </is>
      </c>
      <c r="Y438" t="inlineStr">
        <is>
          <t>1998-02-27</t>
        </is>
      </c>
      <c r="Z438" t="inlineStr">
        <is>
          <t>1998-02-27</t>
        </is>
      </c>
      <c r="AA438" t="n">
        <v>229</v>
      </c>
      <c r="AB438" t="n">
        <v>163</v>
      </c>
      <c r="AC438" t="n">
        <v>173</v>
      </c>
      <c r="AD438" t="n">
        <v>2</v>
      </c>
      <c r="AE438" t="n">
        <v>2</v>
      </c>
      <c r="AF438" t="n">
        <v>6</v>
      </c>
      <c r="AG438" t="n">
        <v>7</v>
      </c>
      <c r="AH438" t="n">
        <v>1</v>
      </c>
      <c r="AI438" t="n">
        <v>1</v>
      </c>
      <c r="AJ438" t="n">
        <v>2</v>
      </c>
      <c r="AK438" t="n">
        <v>3</v>
      </c>
      <c r="AL438" t="n">
        <v>3</v>
      </c>
      <c r="AM438" t="n">
        <v>4</v>
      </c>
      <c r="AN438" t="n">
        <v>1</v>
      </c>
      <c r="AO438" t="n">
        <v>1</v>
      </c>
      <c r="AP438" t="n">
        <v>0</v>
      </c>
      <c r="AQ438" t="n">
        <v>0</v>
      </c>
      <c r="AR438" t="inlineStr">
        <is>
          <t>No</t>
        </is>
      </c>
      <c r="AS438" t="inlineStr">
        <is>
          <t>No</t>
        </is>
      </c>
      <c r="AU438">
        <f>HYPERLINK("https://creighton-primo.hosted.exlibrisgroup.com/primo-explore/search?tab=default_tab&amp;search_scope=EVERYTHING&amp;vid=01CRU&amp;lang=en_US&amp;offset=0&amp;query=any,contains,991001564139702656","Catalog Record")</f>
        <v/>
      </c>
      <c r="AV438">
        <f>HYPERLINK("http://www.worldcat.org/oclc/36459080","WorldCat Record")</f>
        <v/>
      </c>
      <c r="AW438" t="inlineStr">
        <is>
          <t>644645:eng</t>
        </is>
      </c>
      <c r="AX438" t="inlineStr">
        <is>
          <t>36459080</t>
        </is>
      </c>
      <c r="AY438" t="inlineStr">
        <is>
          <t>991001564139702656</t>
        </is>
      </c>
      <c r="AZ438" t="inlineStr">
        <is>
          <t>991001564139702656</t>
        </is>
      </c>
      <c r="BA438" t="inlineStr">
        <is>
          <t>2271021020002656</t>
        </is>
      </c>
      <c r="BB438" t="inlineStr">
        <is>
          <t>BOOK</t>
        </is>
      </c>
      <c r="BD438" t="inlineStr">
        <is>
          <t>9780879695026</t>
        </is>
      </c>
      <c r="BE438" t="inlineStr">
        <is>
          <t>30001003669357</t>
        </is>
      </c>
      <c r="BF438" t="inlineStr">
        <is>
          <t>893268650</t>
        </is>
      </c>
    </row>
    <row r="439">
      <c r="B439" t="inlineStr">
        <is>
          <t>CUHSL</t>
        </is>
      </c>
      <c r="C439" t="inlineStr">
        <is>
          <t>SHELVES</t>
        </is>
      </c>
      <c r="D439" t="inlineStr">
        <is>
          <t>QV 312 O9558 1993</t>
        </is>
      </c>
      <c r="E439" t="inlineStr">
        <is>
          <t>0                      QV 0312000O  9558        1993</t>
        </is>
      </c>
      <c r="F439" t="inlineStr">
        <is>
          <t>Oxygen free radicals in tissue damage / Merrill Tarr, Fred Samson, editors.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N439" t="inlineStr">
        <is>
          <t>Boston : Birkhäuser, c1993.</t>
        </is>
      </c>
      <c r="O439" t="inlineStr">
        <is>
          <t>1993</t>
        </is>
      </c>
      <c r="Q439" t="inlineStr">
        <is>
          <t>eng</t>
        </is>
      </c>
      <c r="R439" t="inlineStr">
        <is>
          <t>mau</t>
        </is>
      </c>
      <c r="T439" t="inlineStr">
        <is>
          <t xml:space="preserve">QV </t>
        </is>
      </c>
      <c r="U439" t="n">
        <v>9</v>
      </c>
      <c r="V439" t="n">
        <v>9</v>
      </c>
      <c r="W439" t="inlineStr">
        <is>
          <t>2001-02-21</t>
        </is>
      </c>
      <c r="X439" t="inlineStr">
        <is>
          <t>2001-02-21</t>
        </is>
      </c>
      <c r="Y439" t="inlineStr">
        <is>
          <t>1993-08-31</t>
        </is>
      </c>
      <c r="Z439" t="inlineStr">
        <is>
          <t>1993-08-31</t>
        </is>
      </c>
      <c r="AA439" t="n">
        <v>126</v>
      </c>
      <c r="AB439" t="n">
        <v>77</v>
      </c>
      <c r="AC439" t="n">
        <v>104</v>
      </c>
      <c r="AD439" t="n">
        <v>2</v>
      </c>
      <c r="AE439" t="n">
        <v>2</v>
      </c>
      <c r="AF439" t="n">
        <v>4</v>
      </c>
      <c r="AG439" t="n">
        <v>4</v>
      </c>
      <c r="AH439" t="n">
        <v>1</v>
      </c>
      <c r="AI439" t="n">
        <v>1</v>
      </c>
      <c r="AJ439" t="n">
        <v>1</v>
      </c>
      <c r="AK439" t="n">
        <v>1</v>
      </c>
      <c r="AL439" t="n">
        <v>2</v>
      </c>
      <c r="AM439" t="n">
        <v>2</v>
      </c>
      <c r="AN439" t="n">
        <v>1</v>
      </c>
      <c r="AO439" t="n">
        <v>1</v>
      </c>
      <c r="AP439" t="n">
        <v>0</v>
      </c>
      <c r="AQ439" t="n">
        <v>0</v>
      </c>
      <c r="AR439" t="inlineStr">
        <is>
          <t>No</t>
        </is>
      </c>
      <c r="AS439" t="inlineStr">
        <is>
          <t>Yes</t>
        </is>
      </c>
      <c r="AT439">
        <f>HYPERLINK("http://catalog.hathitrust.org/Record/002606197","HathiTrust Record")</f>
        <v/>
      </c>
      <c r="AU439">
        <f>HYPERLINK("https://creighton-primo.hosted.exlibrisgroup.com/primo-explore/search?tab=default_tab&amp;search_scope=EVERYTHING&amp;vid=01CRU&amp;lang=en_US&amp;offset=0&amp;query=any,contains,991001512209702656","Catalog Record")</f>
        <v/>
      </c>
      <c r="AV439">
        <f>HYPERLINK("http://www.worldcat.org/oclc/26220030","WorldCat Record")</f>
        <v/>
      </c>
      <c r="AW439" t="inlineStr">
        <is>
          <t>355816450:eng</t>
        </is>
      </c>
      <c r="AX439" t="inlineStr">
        <is>
          <t>26220030</t>
        </is>
      </c>
      <c r="AY439" t="inlineStr">
        <is>
          <t>991001512209702656</t>
        </is>
      </c>
      <c r="AZ439" t="inlineStr">
        <is>
          <t>991001512209702656</t>
        </is>
      </c>
      <c r="BA439" t="inlineStr">
        <is>
          <t>2272696260002656</t>
        </is>
      </c>
      <c r="BB439" t="inlineStr">
        <is>
          <t>BOOK</t>
        </is>
      </c>
      <c r="BD439" t="inlineStr">
        <is>
          <t>9780817636098</t>
        </is>
      </c>
      <c r="BE439" t="inlineStr">
        <is>
          <t>30001002601021</t>
        </is>
      </c>
      <c r="BF439" t="inlineStr">
        <is>
          <t>893364212</t>
        </is>
      </c>
    </row>
    <row r="440">
      <c r="B440" t="inlineStr">
        <is>
          <t>CUHSL</t>
        </is>
      </c>
      <c r="C440" t="inlineStr">
        <is>
          <t>SHELVES</t>
        </is>
      </c>
      <c r="D440" t="inlineStr">
        <is>
          <t>QV 312 O9664 1988</t>
        </is>
      </c>
      <c r="E440" t="inlineStr">
        <is>
          <t>0                      QV 0312000O  9664        1988</t>
        </is>
      </c>
      <c r="F440" t="inlineStr">
        <is>
          <t>Oxygen radicals in the pathophysiology of heart disease / edited by Pawan K. Singal.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N440" t="inlineStr">
        <is>
          <t>Boston : Nijhoff ; Norwell, MA : Distributors for the U.S. and Canada, Kluwer Academic Publishers, c1988.</t>
        </is>
      </c>
      <c r="O440" t="inlineStr">
        <is>
          <t>1988</t>
        </is>
      </c>
      <c r="Q440" t="inlineStr">
        <is>
          <t>eng</t>
        </is>
      </c>
      <c r="R440" t="inlineStr">
        <is>
          <t>xxu</t>
        </is>
      </c>
      <c r="S440" t="inlineStr">
        <is>
          <t>Developments in cardiovascular medicine</t>
        </is>
      </c>
      <c r="T440" t="inlineStr">
        <is>
          <t xml:space="preserve">QV </t>
        </is>
      </c>
      <c r="U440" t="n">
        <v>9</v>
      </c>
      <c r="V440" t="n">
        <v>9</v>
      </c>
      <c r="W440" t="inlineStr">
        <is>
          <t>2000-04-14</t>
        </is>
      </c>
      <c r="X440" t="inlineStr">
        <is>
          <t>2000-04-14</t>
        </is>
      </c>
      <c r="Y440" t="inlineStr">
        <is>
          <t>1988-07-25</t>
        </is>
      </c>
      <c r="Z440" t="inlineStr">
        <is>
          <t>1988-07-25</t>
        </is>
      </c>
      <c r="AA440" t="n">
        <v>77</v>
      </c>
      <c r="AB440" t="n">
        <v>51</v>
      </c>
      <c r="AC440" t="n">
        <v>74</v>
      </c>
      <c r="AD440" t="n">
        <v>1</v>
      </c>
      <c r="AE440" t="n">
        <v>1</v>
      </c>
      <c r="AF440" t="n">
        <v>1</v>
      </c>
      <c r="AG440" t="n">
        <v>1</v>
      </c>
      <c r="AH440" t="n">
        <v>0</v>
      </c>
      <c r="AI440" t="n">
        <v>0</v>
      </c>
      <c r="AJ440" t="n">
        <v>0</v>
      </c>
      <c r="AK440" t="n">
        <v>0</v>
      </c>
      <c r="AL440" t="n">
        <v>1</v>
      </c>
      <c r="AM440" t="n">
        <v>1</v>
      </c>
      <c r="AN440" t="n">
        <v>0</v>
      </c>
      <c r="AO440" t="n">
        <v>0</v>
      </c>
      <c r="AP440" t="n">
        <v>0</v>
      </c>
      <c r="AQ440" t="n">
        <v>0</v>
      </c>
      <c r="AR440" t="inlineStr">
        <is>
          <t>No</t>
        </is>
      </c>
      <c r="AS440" t="inlineStr">
        <is>
          <t>Yes</t>
        </is>
      </c>
      <c r="AT440">
        <f>HYPERLINK("http://catalog.hathitrust.org/Record/000905964","HathiTrust Record")</f>
        <v/>
      </c>
      <c r="AU440">
        <f>HYPERLINK("https://creighton-primo.hosted.exlibrisgroup.com/primo-explore/search?tab=default_tab&amp;search_scope=EVERYTHING&amp;vid=01CRU&amp;lang=en_US&amp;offset=0&amp;query=any,contains,991001418989702656","Catalog Record")</f>
        <v/>
      </c>
      <c r="AV440">
        <f>HYPERLINK("http://www.worldcat.org/oclc/17508940","WorldCat Record")</f>
        <v/>
      </c>
      <c r="AW440" t="inlineStr">
        <is>
          <t>15533314:eng</t>
        </is>
      </c>
      <c r="AX440" t="inlineStr">
        <is>
          <t>17508940</t>
        </is>
      </c>
      <c r="AY440" t="inlineStr">
        <is>
          <t>991001418989702656</t>
        </is>
      </c>
      <c r="AZ440" t="inlineStr">
        <is>
          <t>991001418989702656</t>
        </is>
      </c>
      <c r="BA440" t="inlineStr">
        <is>
          <t>2258755440002656</t>
        </is>
      </c>
      <c r="BB440" t="inlineStr">
        <is>
          <t>BOOK</t>
        </is>
      </c>
      <c r="BD440" t="inlineStr">
        <is>
          <t>9780898383751</t>
        </is>
      </c>
      <c r="BE440" t="inlineStr">
        <is>
          <t>30001001181652</t>
        </is>
      </c>
      <c r="BF440" t="inlineStr">
        <is>
          <t>893455793</t>
        </is>
      </c>
    </row>
    <row r="441">
      <c r="B441" t="inlineStr">
        <is>
          <t>CUHSL</t>
        </is>
      </c>
      <c r="C441" t="inlineStr">
        <is>
          <t>SHELVES</t>
        </is>
      </c>
      <c r="D441" t="inlineStr">
        <is>
          <t>QV 312 O9675 1998</t>
        </is>
      </c>
      <c r="E441" t="inlineStr">
        <is>
          <t>0                      QV 0312000O  9675        1998</t>
        </is>
      </c>
      <c r="F441" t="inlineStr">
        <is>
          <t>Oxygen regulation of ion channels and gene expression / edited by José López-Barneo, E. Kenneth Weir.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0</t>
        </is>
      </c>
      <c r="N441" t="inlineStr">
        <is>
          <t>Armonk, N.Y. : Futura Pub., c1998.</t>
        </is>
      </c>
      <c r="O441" t="inlineStr">
        <is>
          <t>1998</t>
        </is>
      </c>
      <c r="Q441" t="inlineStr">
        <is>
          <t>eng</t>
        </is>
      </c>
      <c r="R441" t="inlineStr">
        <is>
          <t>nyu</t>
        </is>
      </c>
      <c r="T441" t="inlineStr">
        <is>
          <t xml:space="preserve">QV </t>
        </is>
      </c>
      <c r="U441" t="n">
        <v>3</v>
      </c>
      <c r="V441" t="n">
        <v>3</v>
      </c>
      <c r="W441" t="inlineStr">
        <is>
          <t>2000-04-07</t>
        </is>
      </c>
      <c r="X441" t="inlineStr">
        <is>
          <t>2000-04-07</t>
        </is>
      </c>
      <c r="Y441" t="inlineStr">
        <is>
          <t>2000-03-03</t>
        </is>
      </c>
      <c r="Z441" t="inlineStr">
        <is>
          <t>2000-03-03</t>
        </is>
      </c>
      <c r="AA441" t="n">
        <v>90</v>
      </c>
      <c r="AB441" t="n">
        <v>73</v>
      </c>
      <c r="AC441" t="n">
        <v>78</v>
      </c>
      <c r="AD441" t="n">
        <v>2</v>
      </c>
      <c r="AE441" t="n">
        <v>2</v>
      </c>
      <c r="AF441" t="n">
        <v>4</v>
      </c>
      <c r="AG441" t="n">
        <v>4</v>
      </c>
      <c r="AH441" t="n">
        <v>0</v>
      </c>
      <c r="AI441" t="n">
        <v>0</v>
      </c>
      <c r="AJ441" t="n">
        <v>3</v>
      </c>
      <c r="AK441" t="n">
        <v>3</v>
      </c>
      <c r="AL441" t="n">
        <v>1</v>
      </c>
      <c r="AM441" t="n">
        <v>1</v>
      </c>
      <c r="AN441" t="n">
        <v>1</v>
      </c>
      <c r="AO441" t="n">
        <v>1</v>
      </c>
      <c r="AP441" t="n">
        <v>0</v>
      </c>
      <c r="AQ441" t="n">
        <v>0</v>
      </c>
      <c r="AR441" t="inlineStr">
        <is>
          <t>No</t>
        </is>
      </c>
      <c r="AS441" t="inlineStr">
        <is>
          <t>No</t>
        </is>
      </c>
      <c r="AU441">
        <f>HYPERLINK("https://creighton-primo.hosted.exlibrisgroup.com/primo-explore/search?tab=default_tab&amp;search_scope=EVERYTHING&amp;vid=01CRU&amp;lang=en_US&amp;offset=0&amp;query=any,contains,991000500899702656","Catalog Record")</f>
        <v/>
      </c>
      <c r="AV441">
        <f>HYPERLINK("http://www.worldcat.org/oclc/38105647","WorldCat Record")</f>
        <v/>
      </c>
      <c r="AW441" t="inlineStr">
        <is>
          <t>364722051:eng</t>
        </is>
      </c>
      <c r="AX441" t="inlineStr">
        <is>
          <t>38105647</t>
        </is>
      </c>
      <c r="AY441" t="inlineStr">
        <is>
          <t>991000500899702656</t>
        </is>
      </c>
      <c r="AZ441" t="inlineStr">
        <is>
          <t>991000500899702656</t>
        </is>
      </c>
      <c r="BA441" t="inlineStr">
        <is>
          <t>2268256500002656</t>
        </is>
      </c>
      <c r="BB441" t="inlineStr">
        <is>
          <t>BOOK</t>
        </is>
      </c>
      <c r="BD441" t="inlineStr">
        <is>
          <t>9780879936945</t>
        </is>
      </c>
      <c r="BE441" t="inlineStr">
        <is>
          <t>30001003882109</t>
        </is>
      </c>
      <c r="BF441" t="inlineStr">
        <is>
          <t>893452467</t>
        </is>
      </c>
    </row>
    <row r="442">
      <c r="B442" t="inlineStr">
        <is>
          <t>CUHSL</t>
        </is>
      </c>
      <c r="C442" t="inlineStr">
        <is>
          <t>SHELVES</t>
        </is>
      </c>
      <c r="D442" t="inlineStr">
        <is>
          <t>QV 312 O968 1988</t>
        </is>
      </c>
      <c r="E442" t="inlineStr">
        <is>
          <t>0                      QV 0312000O  968         1988</t>
        </is>
      </c>
      <c r="F442" t="inlineStr">
        <is>
          <t>Oxygen sensing in tissues / Helmut Acker (editor).</t>
        </is>
      </c>
      <c r="H442" t="inlineStr">
        <is>
          <t>No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N442" t="inlineStr">
        <is>
          <t>Berlin ; New York : Springer-Verlag, c1988.</t>
        </is>
      </c>
      <c r="O442" t="inlineStr">
        <is>
          <t>1988</t>
        </is>
      </c>
      <c r="Q442" t="inlineStr">
        <is>
          <t>eng</t>
        </is>
      </c>
      <c r="R442" t="inlineStr">
        <is>
          <t xml:space="preserve">gw </t>
        </is>
      </c>
      <c r="T442" t="inlineStr">
        <is>
          <t xml:space="preserve">QV </t>
        </is>
      </c>
      <c r="U442" t="n">
        <v>3</v>
      </c>
      <c r="V442" t="n">
        <v>3</v>
      </c>
      <c r="W442" t="inlineStr">
        <is>
          <t>2000-04-14</t>
        </is>
      </c>
      <c r="X442" t="inlineStr">
        <is>
          <t>2000-04-14</t>
        </is>
      </c>
      <c r="Y442" t="inlineStr">
        <is>
          <t>1988-12-15</t>
        </is>
      </c>
      <c r="Z442" t="inlineStr">
        <is>
          <t>1988-12-15</t>
        </is>
      </c>
      <c r="AA442" t="n">
        <v>131</v>
      </c>
      <c r="AB442" t="n">
        <v>97</v>
      </c>
      <c r="AC442" t="n">
        <v>116</v>
      </c>
      <c r="AD442" t="n">
        <v>1</v>
      </c>
      <c r="AE442" t="n">
        <v>1</v>
      </c>
      <c r="AF442" t="n">
        <v>2</v>
      </c>
      <c r="AG442" t="n">
        <v>3</v>
      </c>
      <c r="AH442" t="n">
        <v>0</v>
      </c>
      <c r="AI442" t="n">
        <v>1</v>
      </c>
      <c r="AJ442" t="n">
        <v>2</v>
      </c>
      <c r="AK442" t="n">
        <v>2</v>
      </c>
      <c r="AL442" t="n">
        <v>1</v>
      </c>
      <c r="AM442" t="n">
        <v>2</v>
      </c>
      <c r="AN442" t="n">
        <v>0</v>
      </c>
      <c r="AO442" t="n">
        <v>0</v>
      </c>
      <c r="AP442" t="n">
        <v>0</v>
      </c>
      <c r="AQ442" t="n">
        <v>0</v>
      </c>
      <c r="AR442" t="inlineStr">
        <is>
          <t>No</t>
        </is>
      </c>
      <c r="AS442" t="inlineStr">
        <is>
          <t>Yes</t>
        </is>
      </c>
      <c r="AT442">
        <f>HYPERLINK("http://catalog.hathitrust.org/Record/000944536","HathiTrust Record")</f>
        <v/>
      </c>
      <c r="AU442">
        <f>HYPERLINK("https://creighton-primo.hosted.exlibrisgroup.com/primo-explore/search?tab=default_tab&amp;search_scope=EVERYTHING&amp;vid=01CRU&amp;lang=en_US&amp;offset=0&amp;query=any,contains,991001105509702656","Catalog Record")</f>
        <v/>
      </c>
      <c r="AV442">
        <f>HYPERLINK("http://www.worldcat.org/oclc/17841534","WorldCat Record")</f>
        <v/>
      </c>
      <c r="AW442" t="inlineStr">
        <is>
          <t>16977658:eng</t>
        </is>
      </c>
      <c r="AX442" t="inlineStr">
        <is>
          <t>17841534</t>
        </is>
      </c>
      <c r="AY442" t="inlineStr">
        <is>
          <t>991001105509702656</t>
        </is>
      </c>
      <c r="AZ442" t="inlineStr">
        <is>
          <t>991001105509702656</t>
        </is>
      </c>
      <c r="BA442" t="inlineStr">
        <is>
          <t>2256764430002656</t>
        </is>
      </c>
      <c r="BB442" t="inlineStr">
        <is>
          <t>BOOK</t>
        </is>
      </c>
      <c r="BD442" t="inlineStr">
        <is>
          <t>9780387191300</t>
        </is>
      </c>
      <c r="BE442" t="inlineStr">
        <is>
          <t>30001001610841</t>
        </is>
      </c>
      <c r="BF442" t="inlineStr">
        <is>
          <t>893273702</t>
        </is>
      </c>
    </row>
    <row r="443">
      <c r="B443" t="inlineStr">
        <is>
          <t>CUHSL</t>
        </is>
      </c>
      <c r="C443" t="inlineStr">
        <is>
          <t>SHELVES</t>
        </is>
      </c>
      <c r="D443" t="inlineStr">
        <is>
          <t>QV 312 O98 1987</t>
        </is>
      </c>
      <c r="E443" t="inlineStr">
        <is>
          <t>0                      QV 0312000O  98          1987</t>
        </is>
      </c>
      <c r="F443" t="inlineStr">
        <is>
          <t>Oxygen radicals and tissue injury : proceedings of a Brook Lodge symposium, Augusta, Michigan, U.S.A., April 27 to 29, 1987 / Barry Halliwell, editor.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No</t>
        </is>
      </c>
      <c r="L443" t="inlineStr">
        <is>
          <t>0</t>
        </is>
      </c>
      <c r="N443" t="inlineStr">
        <is>
          <t>Bethesda, MD, U.S.A. : Published for the Upjohn Company by the Federation of American Societies of Experimental Biology, c1988.</t>
        </is>
      </c>
      <c r="O443" t="inlineStr">
        <is>
          <t>1988</t>
        </is>
      </c>
      <c r="Q443" t="inlineStr">
        <is>
          <t>eng</t>
        </is>
      </c>
      <c r="R443" t="inlineStr">
        <is>
          <t>mdu</t>
        </is>
      </c>
      <c r="T443" t="inlineStr">
        <is>
          <t xml:space="preserve">QV </t>
        </is>
      </c>
      <c r="U443" t="n">
        <v>7</v>
      </c>
      <c r="V443" t="n">
        <v>7</v>
      </c>
      <c r="W443" t="inlineStr">
        <is>
          <t>2000-04-14</t>
        </is>
      </c>
      <c r="X443" t="inlineStr">
        <is>
          <t>2000-04-14</t>
        </is>
      </c>
      <c r="Y443" t="inlineStr">
        <is>
          <t>1989-11-03</t>
        </is>
      </c>
      <c r="Z443" t="inlineStr">
        <is>
          <t>1989-11-03</t>
        </is>
      </c>
      <c r="AA443" t="n">
        <v>338</v>
      </c>
      <c r="AB443" t="n">
        <v>242</v>
      </c>
      <c r="AC443" t="n">
        <v>244</v>
      </c>
      <c r="AD443" t="n">
        <v>3</v>
      </c>
      <c r="AE443" t="n">
        <v>3</v>
      </c>
      <c r="AF443" t="n">
        <v>9</v>
      </c>
      <c r="AG443" t="n">
        <v>9</v>
      </c>
      <c r="AH443" t="n">
        <v>4</v>
      </c>
      <c r="AI443" t="n">
        <v>4</v>
      </c>
      <c r="AJ443" t="n">
        <v>3</v>
      </c>
      <c r="AK443" t="n">
        <v>3</v>
      </c>
      <c r="AL443" t="n">
        <v>7</v>
      </c>
      <c r="AM443" t="n">
        <v>7</v>
      </c>
      <c r="AN443" t="n">
        <v>1</v>
      </c>
      <c r="AO443" t="n">
        <v>1</v>
      </c>
      <c r="AP443" t="n">
        <v>0</v>
      </c>
      <c r="AQ443" t="n">
        <v>0</v>
      </c>
      <c r="AR443" t="inlineStr">
        <is>
          <t>No</t>
        </is>
      </c>
      <c r="AS443" t="inlineStr">
        <is>
          <t>Yes</t>
        </is>
      </c>
      <c r="AT443">
        <f>HYPERLINK("http://catalog.hathitrust.org/Record/005055105","HathiTrust Record")</f>
        <v/>
      </c>
      <c r="AU443">
        <f>HYPERLINK("https://creighton-primo.hosted.exlibrisgroup.com/primo-explore/search?tab=default_tab&amp;search_scope=EVERYTHING&amp;vid=01CRU&amp;lang=en_US&amp;offset=0&amp;query=any,contains,991001322959702656","Catalog Record")</f>
        <v/>
      </c>
      <c r="AV443">
        <f>HYPERLINK("http://www.worldcat.org/oclc/18291642","WorldCat Record")</f>
        <v/>
      </c>
      <c r="AW443" t="inlineStr">
        <is>
          <t>17935441:eng</t>
        </is>
      </c>
      <c r="AX443" t="inlineStr">
        <is>
          <t>18291642</t>
        </is>
      </c>
      <c r="AY443" t="inlineStr">
        <is>
          <t>991001322959702656</t>
        </is>
      </c>
      <c r="AZ443" t="inlineStr">
        <is>
          <t>991001322959702656</t>
        </is>
      </c>
      <c r="BA443" t="inlineStr">
        <is>
          <t>2264619180002656</t>
        </is>
      </c>
      <c r="BB443" t="inlineStr">
        <is>
          <t>BOOK</t>
        </is>
      </c>
      <c r="BD443" t="inlineStr">
        <is>
          <t>9780913822159</t>
        </is>
      </c>
      <c r="BE443" t="inlineStr">
        <is>
          <t>30001001754136</t>
        </is>
      </c>
      <c r="BF443" t="inlineStr">
        <is>
          <t>893632946</t>
        </is>
      </c>
    </row>
    <row r="444">
      <c r="B444" t="inlineStr">
        <is>
          <t>CUHSL</t>
        </is>
      </c>
      <c r="C444" t="inlineStr">
        <is>
          <t>SHELVES</t>
        </is>
      </c>
      <c r="D444" t="inlineStr">
        <is>
          <t>QV 312 P297 1979</t>
        </is>
      </c>
      <c r="E444" t="inlineStr">
        <is>
          <t>0                      QV 0312000P  297         1979</t>
        </is>
      </c>
      <c r="F444" t="inlineStr">
        <is>
          <t>Pathology of oxygen / edited by Anne P. Autor.</t>
        </is>
      </c>
      <c r="H444" t="inlineStr">
        <is>
          <t>No</t>
        </is>
      </c>
      <c r="I444" t="inlineStr">
        <is>
          <t>1</t>
        </is>
      </c>
      <c r="J444" t="inlineStr">
        <is>
          <t>No</t>
        </is>
      </c>
      <c r="K444" t="inlineStr">
        <is>
          <t>No</t>
        </is>
      </c>
      <c r="L444" t="inlineStr">
        <is>
          <t>0</t>
        </is>
      </c>
      <c r="N444" t="inlineStr">
        <is>
          <t>New York : Academic Press, c1982.</t>
        </is>
      </c>
      <c r="O444" t="inlineStr">
        <is>
          <t>1982</t>
        </is>
      </c>
      <c r="Q444" t="inlineStr">
        <is>
          <t>eng</t>
        </is>
      </c>
      <c r="R444" t="inlineStr">
        <is>
          <t>xxu</t>
        </is>
      </c>
      <c r="T444" t="inlineStr">
        <is>
          <t xml:space="preserve">QV </t>
        </is>
      </c>
      <c r="U444" t="n">
        <v>3</v>
      </c>
      <c r="V444" t="n">
        <v>3</v>
      </c>
      <c r="W444" t="inlineStr">
        <is>
          <t>2000-04-14</t>
        </is>
      </c>
      <c r="X444" t="inlineStr">
        <is>
          <t>2000-04-14</t>
        </is>
      </c>
      <c r="Y444" t="inlineStr">
        <is>
          <t>1988-02-09</t>
        </is>
      </c>
      <c r="Z444" t="inlineStr">
        <is>
          <t>1988-02-09</t>
        </is>
      </c>
      <c r="AA444" t="n">
        <v>144</v>
      </c>
      <c r="AB444" t="n">
        <v>95</v>
      </c>
      <c r="AC444" t="n">
        <v>102</v>
      </c>
      <c r="AD444" t="n">
        <v>1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inlineStr">
        <is>
          <t>No</t>
        </is>
      </c>
      <c r="AS444" t="inlineStr">
        <is>
          <t>Yes</t>
        </is>
      </c>
      <c r="AT444">
        <f>HYPERLINK("http://catalog.hathitrust.org/Record/000109025","HathiTrust Record")</f>
        <v/>
      </c>
      <c r="AU444">
        <f>HYPERLINK("https://creighton-primo.hosted.exlibrisgroup.com/primo-explore/search?tab=default_tab&amp;search_scope=EVERYTHING&amp;vid=01CRU&amp;lang=en_US&amp;offset=0&amp;query=any,contains,991000961489702656","Catalog Record")</f>
        <v/>
      </c>
      <c r="AV444">
        <f>HYPERLINK("http://www.worldcat.org/oclc/8865397","WorldCat Record")</f>
        <v/>
      </c>
      <c r="AW444" t="inlineStr">
        <is>
          <t>42750208:eng</t>
        </is>
      </c>
      <c r="AX444" t="inlineStr">
        <is>
          <t>8865397</t>
        </is>
      </c>
      <c r="AY444" t="inlineStr">
        <is>
          <t>991000961489702656</t>
        </is>
      </c>
      <c r="AZ444" t="inlineStr">
        <is>
          <t>991000961489702656</t>
        </is>
      </c>
      <c r="BA444" t="inlineStr">
        <is>
          <t>2271583330002656</t>
        </is>
      </c>
      <c r="BB444" t="inlineStr">
        <is>
          <t>BOOK</t>
        </is>
      </c>
      <c r="BD444" t="inlineStr">
        <is>
          <t>9780120686209</t>
        </is>
      </c>
      <c r="BE444" t="inlineStr">
        <is>
          <t>30001000197758</t>
        </is>
      </c>
      <c r="BF444" t="inlineStr">
        <is>
          <t>893815955</t>
        </is>
      </c>
    </row>
    <row r="445">
      <c r="B445" t="inlineStr">
        <is>
          <t>CUHSL</t>
        </is>
      </c>
      <c r="C445" t="inlineStr">
        <is>
          <t>SHELVES</t>
        </is>
      </c>
      <c r="D445" t="inlineStr">
        <is>
          <t>QV 350 A517</t>
        </is>
      </c>
      <c r="E445" t="inlineStr">
        <is>
          <t>0                      QV 0350000A  517</t>
        </is>
      </c>
      <c r="F445" t="inlineStr">
        <is>
          <t>Aminoglycoside antibiotics / edited by Susumu Mitsuhashi.</t>
        </is>
      </c>
      <c r="H445" t="inlineStr">
        <is>
          <t>No</t>
        </is>
      </c>
      <c r="I445" t="inlineStr">
        <is>
          <t>1</t>
        </is>
      </c>
      <c r="J445" t="inlineStr">
        <is>
          <t>No</t>
        </is>
      </c>
      <c r="K445" t="inlineStr">
        <is>
          <t>No</t>
        </is>
      </c>
      <c r="L445" t="inlineStr">
        <is>
          <t>0</t>
        </is>
      </c>
      <c r="N445" t="inlineStr">
        <is>
          <t>Baltimore : University Park Press, [1975]</t>
        </is>
      </c>
      <c r="O445" t="inlineStr">
        <is>
          <t>1975</t>
        </is>
      </c>
      <c r="Q445" t="inlineStr">
        <is>
          <t>eng</t>
        </is>
      </c>
      <c r="R445" t="inlineStr">
        <is>
          <t>mdu</t>
        </is>
      </c>
      <c r="S445" t="inlineStr">
        <is>
          <t>Drug action and drug resistance in bacteria ; 2</t>
        </is>
      </c>
      <c r="T445" t="inlineStr">
        <is>
          <t xml:space="preserve">QV </t>
        </is>
      </c>
      <c r="U445" t="n">
        <v>8</v>
      </c>
      <c r="V445" t="n">
        <v>8</v>
      </c>
      <c r="W445" t="inlineStr">
        <is>
          <t>1997-12-12</t>
        </is>
      </c>
      <c r="X445" t="inlineStr">
        <is>
          <t>1997-12-12</t>
        </is>
      </c>
      <c r="Y445" t="inlineStr">
        <is>
          <t>1988-03-17</t>
        </is>
      </c>
      <c r="Z445" t="inlineStr">
        <is>
          <t>1988-03-17</t>
        </is>
      </c>
      <c r="AA445" t="n">
        <v>169</v>
      </c>
      <c r="AB445" t="n">
        <v>137</v>
      </c>
      <c r="AC445" t="n">
        <v>143</v>
      </c>
      <c r="AD445" t="n">
        <v>1</v>
      </c>
      <c r="AE445" t="n">
        <v>1</v>
      </c>
      <c r="AF445" t="n">
        <v>3</v>
      </c>
      <c r="AG445" t="n">
        <v>4</v>
      </c>
      <c r="AH445" t="n">
        <v>0</v>
      </c>
      <c r="AI445" t="n">
        <v>0</v>
      </c>
      <c r="AJ445" t="n">
        <v>2</v>
      </c>
      <c r="AK445" t="n">
        <v>3</v>
      </c>
      <c r="AL445" t="n">
        <v>2</v>
      </c>
      <c r="AM445" t="n">
        <v>3</v>
      </c>
      <c r="AN445" t="n">
        <v>0</v>
      </c>
      <c r="AO445" t="n">
        <v>0</v>
      </c>
      <c r="AP445" t="n">
        <v>0</v>
      </c>
      <c r="AQ445" t="n">
        <v>0</v>
      </c>
      <c r="AR445" t="inlineStr">
        <is>
          <t>No</t>
        </is>
      </c>
      <c r="AS445" t="inlineStr">
        <is>
          <t>Yes</t>
        </is>
      </c>
      <c r="AT445">
        <f>HYPERLINK("http://catalog.hathitrust.org/Record/001644442","HathiTrust Record")</f>
        <v/>
      </c>
      <c r="AU445">
        <f>HYPERLINK("https://creighton-primo.hosted.exlibrisgroup.com/primo-explore/search?tab=default_tab&amp;search_scope=EVERYTHING&amp;vid=01CRU&amp;lang=en_US&amp;offset=0&amp;query=any,contains,991000961459702656","Catalog Record")</f>
        <v/>
      </c>
      <c r="AV445">
        <f>HYPERLINK("http://www.worldcat.org/oclc/1288293","WorldCat Record")</f>
        <v/>
      </c>
      <c r="AW445" t="inlineStr">
        <is>
          <t>54034179:eng</t>
        </is>
      </c>
      <c r="AX445" t="inlineStr">
        <is>
          <t>1288293</t>
        </is>
      </c>
      <c r="AY445" t="inlineStr">
        <is>
          <t>991000961459702656</t>
        </is>
      </c>
      <c r="AZ445" t="inlineStr">
        <is>
          <t>991000961459702656</t>
        </is>
      </c>
      <c r="BA445" t="inlineStr">
        <is>
          <t>2266920970002656</t>
        </is>
      </c>
      <c r="BB445" t="inlineStr">
        <is>
          <t>BOOK</t>
        </is>
      </c>
      <c r="BE445" t="inlineStr">
        <is>
          <t>30001000197733</t>
        </is>
      </c>
      <c r="BF445" t="inlineStr">
        <is>
          <t>893551975</t>
        </is>
      </c>
    </row>
    <row r="446">
      <c r="B446" t="inlineStr">
        <is>
          <t>CUHSL</t>
        </is>
      </c>
      <c r="C446" t="inlineStr">
        <is>
          <t>SHELVES</t>
        </is>
      </c>
      <c r="D446" t="inlineStr">
        <is>
          <t>QV350 A6262 2005</t>
        </is>
      </c>
      <c r="E446" t="inlineStr">
        <is>
          <t>0                      QV 0350000A  6262        2005</t>
        </is>
      </c>
      <c r="F446" t="inlineStr">
        <is>
          <t>Antibiotic optimization : concepts and strategies in clinical practice / edited by Robert C. Owens, Paul G. Ambrose, Charles H. Nightingale.</t>
        </is>
      </c>
      <c r="H446" t="inlineStr">
        <is>
          <t>No</t>
        </is>
      </c>
      <c r="I446" t="inlineStr">
        <is>
          <t>1</t>
        </is>
      </c>
      <c r="J446" t="inlineStr">
        <is>
          <t>No</t>
        </is>
      </c>
      <c r="K446" t="inlineStr">
        <is>
          <t>No</t>
        </is>
      </c>
      <c r="L446" t="inlineStr">
        <is>
          <t>0</t>
        </is>
      </c>
      <c r="N446" t="inlineStr">
        <is>
          <t>New York : Marcel Dekker, c2005.</t>
        </is>
      </c>
      <c r="O446" t="inlineStr">
        <is>
          <t>2005</t>
        </is>
      </c>
      <c r="Q446" t="inlineStr">
        <is>
          <t>eng</t>
        </is>
      </c>
      <c r="R446" t="inlineStr">
        <is>
          <t>nyu</t>
        </is>
      </c>
      <c r="S446" t="inlineStr">
        <is>
          <t>Infectious disease and therapy ; v. 33</t>
        </is>
      </c>
      <c r="T446" t="inlineStr">
        <is>
          <t xml:space="preserve">QV </t>
        </is>
      </c>
      <c r="U446" t="n">
        <v>0</v>
      </c>
      <c r="V446" t="n">
        <v>0</v>
      </c>
      <c r="W446" t="inlineStr">
        <is>
          <t>2005-10-27</t>
        </is>
      </c>
      <c r="X446" t="inlineStr">
        <is>
          <t>2005-10-27</t>
        </is>
      </c>
      <c r="Y446" t="inlineStr">
        <is>
          <t>2005-10-25</t>
        </is>
      </c>
      <c r="Z446" t="inlineStr">
        <is>
          <t>2005-10-25</t>
        </is>
      </c>
      <c r="AA446" t="n">
        <v>90</v>
      </c>
      <c r="AB446" t="n">
        <v>57</v>
      </c>
      <c r="AC446" t="n">
        <v>88</v>
      </c>
      <c r="AD446" t="n">
        <v>2</v>
      </c>
      <c r="AE446" t="n">
        <v>2</v>
      </c>
      <c r="AF446" t="n">
        <v>2</v>
      </c>
      <c r="AG446" t="n">
        <v>3</v>
      </c>
      <c r="AH446" t="n">
        <v>0</v>
      </c>
      <c r="AI446" t="n">
        <v>0</v>
      </c>
      <c r="AJ446" t="n">
        <v>1</v>
      </c>
      <c r="AK446" t="n">
        <v>2</v>
      </c>
      <c r="AL446" t="n">
        <v>0</v>
      </c>
      <c r="AM446" t="n">
        <v>0</v>
      </c>
      <c r="AN446" t="n">
        <v>1</v>
      </c>
      <c r="AO446" t="n">
        <v>1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HYPERLINK("https://creighton-primo.hosted.exlibrisgroup.com/primo-explore/search?tab=default_tab&amp;search_scope=EVERYTHING&amp;vid=01CRU&amp;lang=en_US&amp;offset=0&amp;query=any,contains,991000445949702656","Catalog Record")</f>
        <v/>
      </c>
      <c r="AV446">
        <f>HYPERLINK("http://www.worldcat.org/oclc/57414693","WorldCat Record")</f>
        <v/>
      </c>
      <c r="AW446" t="inlineStr">
        <is>
          <t>801498198:eng</t>
        </is>
      </c>
      <c r="AX446" t="inlineStr">
        <is>
          <t>57414693</t>
        </is>
      </c>
      <c r="AY446" t="inlineStr">
        <is>
          <t>991000445949702656</t>
        </is>
      </c>
      <c r="AZ446" t="inlineStr">
        <is>
          <t>991000445949702656</t>
        </is>
      </c>
      <c r="BA446" t="inlineStr">
        <is>
          <t>2270293810002656</t>
        </is>
      </c>
      <c r="BB446" t="inlineStr">
        <is>
          <t>BOOK</t>
        </is>
      </c>
      <c r="BD446" t="inlineStr">
        <is>
          <t>9780824754310</t>
        </is>
      </c>
      <c r="BE446" t="inlineStr">
        <is>
          <t>30001004913689</t>
        </is>
      </c>
      <c r="BF446" t="inlineStr">
        <is>
          <t>893547819</t>
        </is>
      </c>
    </row>
    <row r="447">
      <c r="B447" t="inlineStr">
        <is>
          <t>CUHSL</t>
        </is>
      </c>
      <c r="C447" t="inlineStr">
        <is>
          <t>SHELVES</t>
        </is>
      </c>
      <c r="D447" t="inlineStr">
        <is>
          <t>QV 350 A629 1979</t>
        </is>
      </c>
      <c r="E447" t="inlineStr">
        <is>
          <t>0                      QV 0350000A  629         1979</t>
        </is>
      </c>
      <c r="F447" t="inlineStr">
        <is>
          <t>Antibiotic interactions / editor, J. D. Williams.</t>
        </is>
      </c>
      <c r="H447" t="inlineStr">
        <is>
          <t>No</t>
        </is>
      </c>
      <c r="I447" t="inlineStr">
        <is>
          <t>1</t>
        </is>
      </c>
      <c r="J447" t="inlineStr">
        <is>
          <t>No</t>
        </is>
      </c>
      <c r="K447" t="inlineStr">
        <is>
          <t>No</t>
        </is>
      </c>
      <c r="L447" t="inlineStr">
        <is>
          <t>0</t>
        </is>
      </c>
      <c r="N447" t="inlineStr">
        <is>
          <t>London ; New York : Academic Press, 1979.</t>
        </is>
      </c>
      <c r="O447" t="inlineStr">
        <is>
          <t>1979</t>
        </is>
      </c>
      <c r="Q447" t="inlineStr">
        <is>
          <t>eng</t>
        </is>
      </c>
      <c r="R447" t="inlineStr">
        <is>
          <t>enk</t>
        </is>
      </c>
      <c r="T447" t="inlineStr">
        <is>
          <t xml:space="preserve">QV </t>
        </is>
      </c>
      <c r="U447" t="n">
        <v>5</v>
      </c>
      <c r="V447" t="n">
        <v>5</v>
      </c>
      <c r="W447" t="inlineStr">
        <is>
          <t>1997-07-26</t>
        </is>
      </c>
      <c r="X447" t="inlineStr">
        <is>
          <t>1997-07-26</t>
        </is>
      </c>
      <c r="Y447" t="inlineStr">
        <is>
          <t>1988-02-09</t>
        </is>
      </c>
      <c r="Z447" t="inlineStr">
        <is>
          <t>1988-02-09</t>
        </is>
      </c>
      <c r="AA447" t="n">
        <v>174</v>
      </c>
      <c r="AB447" t="n">
        <v>96</v>
      </c>
      <c r="AC447" t="n">
        <v>98</v>
      </c>
      <c r="AD447" t="n">
        <v>1</v>
      </c>
      <c r="AE447" t="n">
        <v>1</v>
      </c>
      <c r="AF447" t="n">
        <v>2</v>
      </c>
      <c r="AG447" t="n">
        <v>2</v>
      </c>
      <c r="AH447" t="n">
        <v>1</v>
      </c>
      <c r="AI447" t="n">
        <v>1</v>
      </c>
      <c r="AJ447" t="n">
        <v>1</v>
      </c>
      <c r="AK447" t="n">
        <v>1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inlineStr">
        <is>
          <t>No</t>
        </is>
      </c>
      <c r="AS447" t="inlineStr">
        <is>
          <t>Yes</t>
        </is>
      </c>
      <c r="AT447">
        <f>HYPERLINK("http://catalog.hathitrust.org/Record/000034696","HathiTrust Record")</f>
        <v/>
      </c>
      <c r="AU447">
        <f>HYPERLINK("https://creighton-primo.hosted.exlibrisgroup.com/primo-explore/search?tab=default_tab&amp;search_scope=EVERYTHING&amp;vid=01CRU&amp;lang=en_US&amp;offset=0&amp;query=any,contains,991000961429702656","Catalog Record")</f>
        <v/>
      </c>
      <c r="AV447">
        <f>HYPERLINK("http://www.worldcat.org/oclc/6169315","WorldCat Record")</f>
        <v/>
      </c>
      <c r="AW447" t="inlineStr">
        <is>
          <t>471393909:eng</t>
        </is>
      </c>
      <c r="AX447" t="inlineStr">
        <is>
          <t>6169315</t>
        </is>
      </c>
      <c r="AY447" t="inlineStr">
        <is>
          <t>991000961429702656</t>
        </is>
      </c>
      <c r="AZ447" t="inlineStr">
        <is>
          <t>991000961429702656</t>
        </is>
      </c>
      <c r="BA447" t="inlineStr">
        <is>
          <t>2263329050002656</t>
        </is>
      </c>
      <c r="BB447" t="inlineStr">
        <is>
          <t>BOOK</t>
        </is>
      </c>
      <c r="BD447" t="inlineStr">
        <is>
          <t>9780127563503</t>
        </is>
      </c>
      <c r="BE447" t="inlineStr">
        <is>
          <t>30001000197725</t>
        </is>
      </c>
      <c r="BF447" t="inlineStr">
        <is>
          <t>893273533</t>
        </is>
      </c>
    </row>
    <row r="448">
      <c r="B448" t="inlineStr">
        <is>
          <t>CUHSL</t>
        </is>
      </c>
      <c r="C448" t="inlineStr">
        <is>
          <t>SHELVES</t>
        </is>
      </c>
      <c r="D448" t="inlineStr">
        <is>
          <t>QV350 A629 2003</t>
        </is>
      </c>
      <c r="E448" t="inlineStr">
        <is>
          <t>0                      QV 0350000A  629         2003</t>
        </is>
      </c>
      <c r="F448" t="inlineStr">
        <is>
          <t>Antibiotic and chemotherapy : anti-infective agents and their use in therapy.</t>
        </is>
      </c>
      <c r="H448" t="inlineStr">
        <is>
          <t>No</t>
        </is>
      </c>
      <c r="I448" t="inlineStr">
        <is>
          <t>1</t>
        </is>
      </c>
      <c r="J448" t="inlineStr">
        <is>
          <t>No</t>
        </is>
      </c>
      <c r="K448" t="inlineStr">
        <is>
          <t>No</t>
        </is>
      </c>
      <c r="L448" t="inlineStr">
        <is>
          <t>1</t>
        </is>
      </c>
      <c r="N448" t="inlineStr">
        <is>
          <t>Edinburgh ; New York : Churchill Livingstone, 2003.</t>
        </is>
      </c>
      <c r="O448" t="inlineStr">
        <is>
          <t>2003</t>
        </is>
      </c>
      <c r="P448" t="inlineStr">
        <is>
          <t>8th ed / edited by Roger G. Finch ... [et al.].</t>
        </is>
      </c>
      <c r="Q448" t="inlineStr">
        <is>
          <t>eng</t>
        </is>
      </c>
      <c r="R448" t="inlineStr">
        <is>
          <t>stk</t>
        </is>
      </c>
      <c r="T448" t="inlineStr">
        <is>
          <t xml:space="preserve">QV </t>
        </is>
      </c>
      <c r="U448" t="n">
        <v>1</v>
      </c>
      <c r="V448" t="n">
        <v>1</v>
      </c>
      <c r="W448" t="inlineStr">
        <is>
          <t>2010-02-08</t>
        </is>
      </c>
      <c r="X448" t="inlineStr">
        <is>
          <t>2010-02-08</t>
        </is>
      </c>
      <c r="Y448" t="inlineStr">
        <is>
          <t>2004-04-02</t>
        </is>
      </c>
      <c r="Z448" t="inlineStr">
        <is>
          <t>2004-04-02</t>
        </is>
      </c>
      <c r="AA448" t="n">
        <v>112</v>
      </c>
      <c r="AB448" t="n">
        <v>72</v>
      </c>
      <c r="AC448" t="n">
        <v>250</v>
      </c>
      <c r="AD448" t="n">
        <v>1</v>
      </c>
      <c r="AE448" t="n">
        <v>1</v>
      </c>
      <c r="AF448" t="n">
        <v>2</v>
      </c>
      <c r="AG448" t="n">
        <v>6</v>
      </c>
      <c r="AH448" t="n">
        <v>1</v>
      </c>
      <c r="AI448" t="n">
        <v>2</v>
      </c>
      <c r="AJ448" t="n">
        <v>0</v>
      </c>
      <c r="AK448" t="n">
        <v>2</v>
      </c>
      <c r="AL448" t="n">
        <v>1</v>
      </c>
      <c r="AM448" t="n">
        <v>3</v>
      </c>
      <c r="AN448" t="n">
        <v>0</v>
      </c>
      <c r="AO448" t="n">
        <v>0</v>
      </c>
      <c r="AP448" t="n">
        <v>0</v>
      </c>
      <c r="AQ448" t="n">
        <v>0</v>
      </c>
      <c r="AR448" t="inlineStr">
        <is>
          <t>No</t>
        </is>
      </c>
      <c r="AS448" t="inlineStr">
        <is>
          <t>No</t>
        </is>
      </c>
      <c r="AU448">
        <f>HYPERLINK("https://creighton-primo.hosted.exlibrisgroup.com/primo-explore/search?tab=default_tab&amp;search_scope=EVERYTHING&amp;vid=01CRU&amp;lang=en_US&amp;offset=0&amp;query=any,contains,991000369439702656","Catalog Record")</f>
        <v/>
      </c>
      <c r="AV448">
        <f>HYPERLINK("http://www.worldcat.org/oclc/52086205","WorldCat Record")</f>
        <v/>
      </c>
      <c r="AW448" t="inlineStr">
        <is>
          <t>4915261766:eng</t>
        </is>
      </c>
      <c r="AX448" t="inlineStr">
        <is>
          <t>52086205</t>
        </is>
      </c>
      <c r="AY448" t="inlineStr">
        <is>
          <t>991000369439702656</t>
        </is>
      </c>
      <c r="AZ448" t="inlineStr">
        <is>
          <t>991000369439702656</t>
        </is>
      </c>
      <c r="BA448" t="inlineStr">
        <is>
          <t>2256772800002656</t>
        </is>
      </c>
      <c r="BB448" t="inlineStr">
        <is>
          <t>BOOK</t>
        </is>
      </c>
      <c r="BD448" t="inlineStr">
        <is>
          <t>9780443071294</t>
        </is>
      </c>
      <c r="BE448" t="inlineStr">
        <is>
          <t>30001004508794</t>
        </is>
      </c>
      <c r="BF448" t="inlineStr">
        <is>
          <t>893832779</t>
        </is>
      </c>
    </row>
    <row r="449">
      <c r="B449" t="inlineStr">
        <is>
          <t>CUHSL</t>
        </is>
      </c>
      <c r="C449" t="inlineStr">
        <is>
          <t>SHELVES</t>
        </is>
      </c>
      <c r="D449" t="inlineStr">
        <is>
          <t>QV 350 A6294 1982</t>
        </is>
      </c>
      <c r="E449" t="inlineStr">
        <is>
          <t>0                      QV 0350000A  6294        1982</t>
        </is>
      </c>
      <c r="F449" t="inlineStr">
        <is>
          <t>Antibiotics in the management of infections : outlook for the 1980's / Merck Sharp &amp; Dohme International Medical Advisory Council, Paris, France, June 14 and 15, 1982 ; editor, Alexander G. Bearn.</t>
        </is>
      </c>
      <c r="H449" t="inlineStr">
        <is>
          <t>No</t>
        </is>
      </c>
      <c r="I449" t="inlineStr">
        <is>
          <t>1</t>
        </is>
      </c>
      <c r="J449" t="inlineStr">
        <is>
          <t>No</t>
        </is>
      </c>
      <c r="K449" t="inlineStr">
        <is>
          <t>No</t>
        </is>
      </c>
      <c r="L449" t="inlineStr">
        <is>
          <t>0</t>
        </is>
      </c>
      <c r="N449" t="inlineStr">
        <is>
          <t>New York : Raven Press, c1982.</t>
        </is>
      </c>
      <c r="O449" t="inlineStr">
        <is>
          <t>1982</t>
        </is>
      </c>
      <c r="Q449" t="inlineStr">
        <is>
          <t>eng</t>
        </is>
      </c>
      <c r="R449" t="inlineStr">
        <is>
          <t>xxu</t>
        </is>
      </c>
      <c r="T449" t="inlineStr">
        <is>
          <t xml:space="preserve">QV </t>
        </is>
      </c>
      <c r="U449" t="n">
        <v>5</v>
      </c>
      <c r="V449" t="n">
        <v>5</v>
      </c>
      <c r="W449" t="inlineStr">
        <is>
          <t>1997-07-26</t>
        </is>
      </c>
      <c r="X449" t="inlineStr">
        <is>
          <t>1997-07-26</t>
        </is>
      </c>
      <c r="Y449" t="inlineStr">
        <is>
          <t>1988-02-09</t>
        </is>
      </c>
      <c r="Z449" t="inlineStr">
        <is>
          <t>1988-02-09</t>
        </is>
      </c>
      <c r="AA449" t="n">
        <v>89</v>
      </c>
      <c r="AB449" t="n">
        <v>73</v>
      </c>
      <c r="AC449" t="n">
        <v>75</v>
      </c>
      <c r="AD449" t="n">
        <v>1</v>
      </c>
      <c r="AE449" t="n">
        <v>1</v>
      </c>
      <c r="AF449" t="n">
        <v>1</v>
      </c>
      <c r="AG449" t="n">
        <v>1</v>
      </c>
      <c r="AH449" t="n">
        <v>0</v>
      </c>
      <c r="AI449" t="n">
        <v>0</v>
      </c>
      <c r="AJ449" t="n">
        <v>0</v>
      </c>
      <c r="AK449" t="n">
        <v>0</v>
      </c>
      <c r="AL449" t="n">
        <v>1</v>
      </c>
      <c r="AM449" t="n">
        <v>1</v>
      </c>
      <c r="AN449" t="n">
        <v>0</v>
      </c>
      <c r="AO449" t="n">
        <v>0</v>
      </c>
      <c r="AP449" t="n">
        <v>0</v>
      </c>
      <c r="AQ449" t="n">
        <v>0</v>
      </c>
      <c r="AR449" t="inlineStr">
        <is>
          <t>No</t>
        </is>
      </c>
      <c r="AS449" t="inlineStr">
        <is>
          <t>Yes</t>
        </is>
      </c>
      <c r="AT449">
        <f>HYPERLINK("http://catalog.hathitrust.org/Record/000112346","HathiTrust Record")</f>
        <v/>
      </c>
      <c r="AU449">
        <f>HYPERLINK("https://creighton-primo.hosted.exlibrisgroup.com/primo-explore/search?tab=default_tab&amp;search_scope=EVERYTHING&amp;vid=01CRU&amp;lang=en_US&amp;offset=0&amp;query=any,contains,991000961299702656","Catalog Record")</f>
        <v/>
      </c>
      <c r="AV449">
        <f>HYPERLINK("http://www.worldcat.org/oclc/9044575","WorldCat Record")</f>
        <v/>
      </c>
      <c r="AW449" t="inlineStr">
        <is>
          <t>42852736:eng</t>
        </is>
      </c>
      <c r="AX449" t="inlineStr">
        <is>
          <t>9044575</t>
        </is>
      </c>
      <c r="AY449" t="inlineStr">
        <is>
          <t>991000961299702656</t>
        </is>
      </c>
      <c r="AZ449" t="inlineStr">
        <is>
          <t>991000961299702656</t>
        </is>
      </c>
      <c r="BA449" t="inlineStr">
        <is>
          <t>2255906660002656</t>
        </is>
      </c>
      <c r="BB449" t="inlineStr">
        <is>
          <t>BOOK</t>
        </is>
      </c>
      <c r="BE449" t="inlineStr">
        <is>
          <t>30001000197683</t>
        </is>
      </c>
      <c r="BF449" t="inlineStr">
        <is>
          <t>893637889</t>
        </is>
      </c>
    </row>
    <row r="450">
      <c r="B450" t="inlineStr">
        <is>
          <t>CUHSL</t>
        </is>
      </c>
      <c r="C450" t="inlineStr">
        <is>
          <t>SHELVES</t>
        </is>
      </c>
      <c r="D450" t="inlineStr">
        <is>
          <t>QV350 A6337 2002</t>
        </is>
      </c>
      <c r="E450" t="inlineStr">
        <is>
          <t>0                      QV 0350000A  6337        2002</t>
        </is>
      </c>
      <c r="F450" t="inlineStr">
        <is>
          <t>Antimicrobial pharmacodynamics in theory and clinical practice / edited by Charles H. Nightingale, Takeo Murakawa, Paul G. Ambrose.</t>
        </is>
      </c>
      <c r="H450" t="inlineStr">
        <is>
          <t>No</t>
        </is>
      </c>
      <c r="I450" t="inlineStr">
        <is>
          <t>1</t>
        </is>
      </c>
      <c r="J450" t="inlineStr">
        <is>
          <t>No</t>
        </is>
      </c>
      <c r="K450" t="inlineStr">
        <is>
          <t>No</t>
        </is>
      </c>
      <c r="L450" t="inlineStr">
        <is>
          <t>0</t>
        </is>
      </c>
      <c r="N450" t="inlineStr">
        <is>
          <t>New York : M. Dekker, c2002.</t>
        </is>
      </c>
      <c r="O450" t="inlineStr">
        <is>
          <t>2002</t>
        </is>
      </c>
      <c r="Q450" t="inlineStr">
        <is>
          <t>eng</t>
        </is>
      </c>
      <c r="R450" t="inlineStr">
        <is>
          <t>nyu</t>
        </is>
      </c>
      <c r="S450" t="inlineStr">
        <is>
          <t>Infectious disease and therapy ; v. 28</t>
        </is>
      </c>
      <c r="T450" t="inlineStr">
        <is>
          <t xml:space="preserve">QV </t>
        </is>
      </c>
      <c r="U450" t="n">
        <v>0</v>
      </c>
      <c r="V450" t="n">
        <v>0</v>
      </c>
      <c r="W450" t="inlineStr">
        <is>
          <t>2002-04-25</t>
        </is>
      </c>
      <c r="X450" t="inlineStr">
        <is>
          <t>2002-04-25</t>
        </is>
      </c>
      <c r="Y450" t="inlineStr">
        <is>
          <t>2002-01-11</t>
        </is>
      </c>
      <c r="Z450" t="inlineStr">
        <is>
          <t>2002-01-11</t>
        </is>
      </c>
      <c r="AA450" t="n">
        <v>105</v>
      </c>
      <c r="AB450" t="n">
        <v>71</v>
      </c>
      <c r="AC450" t="n">
        <v>97</v>
      </c>
      <c r="AD450" t="n">
        <v>1</v>
      </c>
      <c r="AE450" t="n">
        <v>1</v>
      </c>
      <c r="AF450" t="n">
        <v>3</v>
      </c>
      <c r="AG450" t="n">
        <v>3</v>
      </c>
      <c r="AH450" t="n">
        <v>1</v>
      </c>
      <c r="AI450" t="n">
        <v>1</v>
      </c>
      <c r="AJ450" t="n">
        <v>2</v>
      </c>
      <c r="AK450" t="n">
        <v>2</v>
      </c>
      <c r="AL450" t="n">
        <v>0</v>
      </c>
      <c r="AM450" t="n">
        <v>0</v>
      </c>
      <c r="AN450" t="n">
        <v>0</v>
      </c>
      <c r="AO450" t="n">
        <v>0</v>
      </c>
      <c r="AP450" t="n">
        <v>0</v>
      </c>
      <c r="AQ450" t="n">
        <v>0</v>
      </c>
      <c r="AR450" t="inlineStr">
        <is>
          <t>No</t>
        </is>
      </c>
      <c r="AS450" t="inlineStr">
        <is>
          <t>No</t>
        </is>
      </c>
      <c r="AU450">
        <f>HYPERLINK("https://creighton-primo.hosted.exlibrisgroup.com/primo-explore/search?tab=default_tab&amp;search_scope=EVERYTHING&amp;vid=01CRU&amp;lang=en_US&amp;offset=0&amp;query=any,contains,991000302279702656","Catalog Record")</f>
        <v/>
      </c>
      <c r="AV450">
        <f>HYPERLINK("http://www.worldcat.org/oclc/48004909","WorldCat Record")</f>
        <v/>
      </c>
      <c r="AW450" t="inlineStr">
        <is>
          <t>766943375:eng</t>
        </is>
      </c>
      <c r="AX450" t="inlineStr">
        <is>
          <t>48004909</t>
        </is>
      </c>
      <c r="AY450" t="inlineStr">
        <is>
          <t>991000302279702656</t>
        </is>
      </c>
      <c r="AZ450" t="inlineStr">
        <is>
          <t>991000302279702656</t>
        </is>
      </c>
      <c r="BA450" t="inlineStr">
        <is>
          <t>2270821250002656</t>
        </is>
      </c>
      <c r="BB450" t="inlineStr">
        <is>
          <t>BOOK</t>
        </is>
      </c>
      <c r="BD450" t="inlineStr">
        <is>
          <t>9780082470519</t>
        </is>
      </c>
      <c r="BE450" t="inlineStr">
        <is>
          <t>30001004236313</t>
        </is>
      </c>
      <c r="BF450" t="inlineStr">
        <is>
          <t>893359418</t>
        </is>
      </c>
    </row>
    <row r="451">
      <c r="B451" t="inlineStr">
        <is>
          <t>CUHSL</t>
        </is>
      </c>
      <c r="C451" t="inlineStr">
        <is>
          <t>SHELVES</t>
        </is>
      </c>
      <c r="D451" t="inlineStr">
        <is>
          <t>QV 350 A636 1976a</t>
        </is>
      </c>
      <c r="E451" t="inlineStr">
        <is>
          <t>0                      QV 0350000A  636         1976a</t>
        </is>
      </c>
      <c r="F451" t="inlineStr">
        <is>
          <t>Antibiotics : a critical review / edited by W. Kuryłowicz ; contributors, W. Kuryłowicz ... [et al.].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No</t>
        </is>
      </c>
      <c r="L451" t="inlineStr">
        <is>
          <t>0</t>
        </is>
      </c>
      <c r="N451" t="inlineStr">
        <is>
          <t>Warsaw : Polish Medical Publishers ; Washington : distributed in USA and Canada by American Society for Microbiology, c1976.</t>
        </is>
      </c>
      <c r="O451" t="inlineStr">
        <is>
          <t>1976</t>
        </is>
      </c>
      <c r="P451" t="inlineStr">
        <is>
          <t>1st English ed.</t>
        </is>
      </c>
      <c r="Q451" t="inlineStr">
        <is>
          <t>eng</t>
        </is>
      </c>
      <c r="R451" t="inlineStr">
        <is>
          <t xml:space="preserve">xx </t>
        </is>
      </c>
      <c r="T451" t="inlineStr">
        <is>
          <t xml:space="preserve">QV </t>
        </is>
      </c>
      <c r="U451" t="n">
        <v>9</v>
      </c>
      <c r="V451" t="n">
        <v>9</v>
      </c>
      <c r="W451" t="inlineStr">
        <is>
          <t>1997-10-24</t>
        </is>
      </c>
      <c r="X451" t="inlineStr">
        <is>
          <t>1997-10-24</t>
        </is>
      </c>
      <c r="Y451" t="inlineStr">
        <is>
          <t>1988-02-09</t>
        </is>
      </c>
      <c r="Z451" t="inlineStr">
        <is>
          <t>1988-02-09</t>
        </is>
      </c>
      <c r="AA451" t="n">
        <v>33</v>
      </c>
      <c r="AB451" t="n">
        <v>28</v>
      </c>
      <c r="AC451" t="n">
        <v>28</v>
      </c>
      <c r="AD451" t="n">
        <v>1</v>
      </c>
      <c r="AE451" t="n">
        <v>1</v>
      </c>
      <c r="AF451" t="n">
        <v>0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0</v>
      </c>
      <c r="AN451" t="n">
        <v>0</v>
      </c>
      <c r="AO451" t="n">
        <v>0</v>
      </c>
      <c r="AP451" t="n">
        <v>0</v>
      </c>
      <c r="AQ451" t="n">
        <v>0</v>
      </c>
      <c r="AR451" t="inlineStr">
        <is>
          <t>No</t>
        </is>
      </c>
      <c r="AS451" t="inlineStr">
        <is>
          <t>No</t>
        </is>
      </c>
      <c r="AU451">
        <f>HYPERLINK("https://creighton-primo.hosted.exlibrisgroup.com/primo-explore/search?tab=default_tab&amp;search_scope=EVERYTHING&amp;vid=01CRU&amp;lang=en_US&amp;offset=0&amp;query=any,contains,991000961389702656","Catalog Record")</f>
        <v/>
      </c>
      <c r="AV451">
        <f>HYPERLINK("http://www.worldcat.org/oclc/5352541","WorldCat Record")</f>
        <v/>
      </c>
      <c r="AW451" t="inlineStr">
        <is>
          <t>3859357445:eng</t>
        </is>
      </c>
      <c r="AX451" t="inlineStr">
        <is>
          <t>5352541</t>
        </is>
      </c>
      <c r="AY451" t="inlineStr">
        <is>
          <t>991000961389702656</t>
        </is>
      </c>
      <c r="AZ451" t="inlineStr">
        <is>
          <t>991000961389702656</t>
        </is>
      </c>
      <c r="BA451" t="inlineStr">
        <is>
          <t>2258108760002656</t>
        </is>
      </c>
      <c r="BB451" t="inlineStr">
        <is>
          <t>BOOK</t>
        </is>
      </c>
      <c r="BE451" t="inlineStr">
        <is>
          <t>30001000197709</t>
        </is>
      </c>
      <c r="BF451" t="inlineStr">
        <is>
          <t>893632570</t>
        </is>
      </c>
    </row>
    <row r="452">
      <c r="B452" t="inlineStr">
        <is>
          <t>CUHSL</t>
        </is>
      </c>
      <c r="C452" t="inlineStr">
        <is>
          <t>SHELVES</t>
        </is>
      </c>
      <c r="D452" t="inlineStr">
        <is>
          <t>QV 350 B265h 1950</t>
        </is>
      </c>
      <c r="E452" t="inlineStr">
        <is>
          <t>0                      QV 0350000B  265h        1950</t>
        </is>
      </c>
      <c r="F452" t="inlineStr">
        <is>
          <t>Handbook of antibiotics.</t>
        </is>
      </c>
      <c r="H452" t="inlineStr">
        <is>
          <t>No</t>
        </is>
      </c>
      <c r="I452" t="inlineStr">
        <is>
          <t>1</t>
        </is>
      </c>
      <c r="J452" t="inlineStr">
        <is>
          <t>No</t>
        </is>
      </c>
      <c r="K452" t="inlineStr">
        <is>
          <t>No</t>
        </is>
      </c>
      <c r="L452" t="inlineStr">
        <is>
          <t>0</t>
        </is>
      </c>
      <c r="M452" t="inlineStr">
        <is>
          <t>Baron, Abraham Louis, 1907-</t>
        </is>
      </c>
      <c r="N452" t="inlineStr">
        <is>
          <t>New York : Reinhold, 1950.</t>
        </is>
      </c>
      <c r="O452" t="inlineStr">
        <is>
          <t>1950</t>
        </is>
      </c>
      <c r="Q452" t="inlineStr">
        <is>
          <t>eng</t>
        </is>
      </c>
      <c r="R452" t="inlineStr">
        <is>
          <t>nyu</t>
        </is>
      </c>
      <c r="T452" t="inlineStr">
        <is>
          <t xml:space="preserve">QV </t>
        </is>
      </c>
      <c r="U452" t="n">
        <v>1</v>
      </c>
      <c r="V452" t="n">
        <v>1</v>
      </c>
      <c r="W452" t="inlineStr">
        <is>
          <t>1995-11-25</t>
        </is>
      </c>
      <c r="X452" t="inlineStr">
        <is>
          <t>1995-11-25</t>
        </is>
      </c>
      <c r="Y452" t="inlineStr">
        <is>
          <t>1988-03-17</t>
        </is>
      </c>
      <c r="Z452" t="inlineStr">
        <is>
          <t>1988-03-17</t>
        </is>
      </c>
      <c r="AA452" t="n">
        <v>220</v>
      </c>
      <c r="AB452" t="n">
        <v>164</v>
      </c>
      <c r="AC452" t="n">
        <v>168</v>
      </c>
      <c r="AD452" t="n">
        <v>1</v>
      </c>
      <c r="AE452" t="n">
        <v>1</v>
      </c>
      <c r="AF452" t="n">
        <v>5</v>
      </c>
      <c r="AG452" t="n">
        <v>5</v>
      </c>
      <c r="AH452" t="n">
        <v>4</v>
      </c>
      <c r="AI452" t="n">
        <v>4</v>
      </c>
      <c r="AJ452" t="n">
        <v>0</v>
      </c>
      <c r="AK452" t="n">
        <v>0</v>
      </c>
      <c r="AL452" t="n">
        <v>4</v>
      </c>
      <c r="AM452" t="n">
        <v>4</v>
      </c>
      <c r="AN452" t="n">
        <v>0</v>
      </c>
      <c r="AO452" t="n">
        <v>0</v>
      </c>
      <c r="AP452" t="n">
        <v>0</v>
      </c>
      <c r="AQ452" t="n">
        <v>0</v>
      </c>
      <c r="AR452" t="inlineStr">
        <is>
          <t>No</t>
        </is>
      </c>
      <c r="AS452" t="inlineStr">
        <is>
          <t>No</t>
        </is>
      </c>
      <c r="AT452">
        <f>HYPERLINK("http://catalog.hathitrust.org/Record/001572880","HathiTrust Record")</f>
        <v/>
      </c>
      <c r="AU452">
        <f>HYPERLINK("https://creighton-primo.hosted.exlibrisgroup.com/primo-explore/search?tab=default_tab&amp;search_scope=EVERYTHING&amp;vid=01CRU&amp;lang=en_US&amp;offset=0&amp;query=any,contains,991000961349702656","Catalog Record")</f>
        <v/>
      </c>
      <c r="AV452">
        <f>HYPERLINK("http://www.worldcat.org/oclc/642967","WorldCat Record")</f>
        <v/>
      </c>
      <c r="AW452" t="inlineStr">
        <is>
          <t>1802276:eng</t>
        </is>
      </c>
      <c r="AX452" t="inlineStr">
        <is>
          <t>642967</t>
        </is>
      </c>
      <c r="AY452" t="inlineStr">
        <is>
          <t>991000961349702656</t>
        </is>
      </c>
      <c r="AZ452" t="inlineStr">
        <is>
          <t>991000961349702656</t>
        </is>
      </c>
      <c r="BA452" t="inlineStr">
        <is>
          <t>2262011420002656</t>
        </is>
      </c>
      <c r="BB452" t="inlineStr">
        <is>
          <t>BOOK</t>
        </is>
      </c>
      <c r="BE452" t="inlineStr">
        <is>
          <t>30001000197691</t>
        </is>
      </c>
      <c r="BF452" t="inlineStr">
        <is>
          <t>893540864</t>
        </is>
      </c>
    </row>
    <row r="453">
      <c r="B453" t="inlineStr">
        <is>
          <t>CUHSL</t>
        </is>
      </c>
      <c r="C453" t="inlineStr">
        <is>
          <t>SHELVES</t>
        </is>
      </c>
      <c r="D453" t="inlineStr">
        <is>
          <t>QV 350 E95 1997</t>
        </is>
      </c>
      <c r="E453" t="inlineStr">
        <is>
          <t>0                      QV 0350000E  95          1997</t>
        </is>
      </c>
      <c r="F453" t="inlineStr">
        <is>
          <t>Expanding indications for the new macrolides, azalides, and streptogramins / edited by Stephen H. Zinner ... [et al.].</t>
        </is>
      </c>
      <c r="H453" t="inlineStr">
        <is>
          <t>No</t>
        </is>
      </c>
      <c r="I453" t="inlineStr">
        <is>
          <t>1</t>
        </is>
      </c>
      <c r="J453" t="inlineStr">
        <is>
          <t>No</t>
        </is>
      </c>
      <c r="K453" t="inlineStr">
        <is>
          <t>No</t>
        </is>
      </c>
      <c r="L453" t="inlineStr">
        <is>
          <t>0</t>
        </is>
      </c>
      <c r="N453" t="inlineStr">
        <is>
          <t>New York : Dekker, c1997.</t>
        </is>
      </c>
      <c r="O453" t="inlineStr">
        <is>
          <t>1997</t>
        </is>
      </c>
      <c r="Q453" t="inlineStr">
        <is>
          <t>eng</t>
        </is>
      </c>
      <c r="R453" t="inlineStr">
        <is>
          <t>nyu</t>
        </is>
      </c>
      <c r="S453" t="inlineStr">
        <is>
          <t>Infectious disease and therapy ; v. 21</t>
        </is>
      </c>
      <c r="T453" t="inlineStr">
        <is>
          <t xml:space="preserve">QV </t>
        </is>
      </c>
      <c r="U453" t="n">
        <v>1</v>
      </c>
      <c r="V453" t="n">
        <v>1</v>
      </c>
      <c r="W453" t="inlineStr">
        <is>
          <t>2006-10-06</t>
        </is>
      </c>
      <c r="X453" t="inlineStr">
        <is>
          <t>2006-10-06</t>
        </is>
      </c>
      <c r="Y453" t="inlineStr">
        <is>
          <t>2002-07-26</t>
        </is>
      </c>
      <c r="Z453" t="inlineStr">
        <is>
          <t>2002-07-26</t>
        </is>
      </c>
      <c r="AA453" t="n">
        <v>40</v>
      </c>
      <c r="AB453" t="n">
        <v>28</v>
      </c>
      <c r="AC453" t="n">
        <v>44</v>
      </c>
      <c r="AD453" t="n">
        <v>1</v>
      </c>
      <c r="AE453" t="n">
        <v>1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inlineStr">
        <is>
          <t>No</t>
        </is>
      </c>
      <c r="AS453" t="inlineStr">
        <is>
          <t>No</t>
        </is>
      </c>
      <c r="AU453">
        <f>HYPERLINK("https://creighton-primo.hosted.exlibrisgroup.com/primo-explore/search?tab=default_tab&amp;search_scope=EVERYTHING&amp;vid=01CRU&amp;lang=en_US&amp;offset=0&amp;query=any,contains,991000325409702656","Catalog Record")</f>
        <v/>
      </c>
      <c r="AV453">
        <f>HYPERLINK("http://www.worldcat.org/oclc/36598148","WorldCat Record")</f>
        <v/>
      </c>
      <c r="AW453" t="inlineStr">
        <is>
          <t>324006528:eng</t>
        </is>
      </c>
      <c r="AX453" t="inlineStr">
        <is>
          <t>36598148</t>
        </is>
      </c>
      <c r="AY453" t="inlineStr">
        <is>
          <t>991000325409702656</t>
        </is>
      </c>
      <c r="AZ453" t="inlineStr">
        <is>
          <t>991000325409702656</t>
        </is>
      </c>
      <c r="BA453" t="inlineStr">
        <is>
          <t>2255871750002656</t>
        </is>
      </c>
      <c r="BB453" t="inlineStr">
        <is>
          <t>BOOK</t>
        </is>
      </c>
      <c r="BD453" t="inlineStr">
        <is>
          <t>9780824700560</t>
        </is>
      </c>
      <c r="BE453" t="inlineStr">
        <is>
          <t>30001004377174</t>
        </is>
      </c>
      <c r="BF453" t="inlineStr">
        <is>
          <t>893456560</t>
        </is>
      </c>
    </row>
    <row r="454">
      <c r="B454" t="inlineStr">
        <is>
          <t>CUHSL</t>
        </is>
      </c>
      <c r="C454" t="inlineStr">
        <is>
          <t>SHELVES</t>
        </is>
      </c>
      <c r="D454" t="inlineStr">
        <is>
          <t>QV 350 G151m 1972</t>
        </is>
      </c>
      <c r="E454" t="inlineStr">
        <is>
          <t>0                      QV 0350000G  151m        1972</t>
        </is>
      </c>
      <c r="F454" t="inlineStr">
        <is>
          <t>The molecular basis of antibiotic action / E. F. Gale [et al.]</t>
        </is>
      </c>
      <c r="H454" t="inlineStr">
        <is>
          <t>No</t>
        </is>
      </c>
      <c r="I454" t="inlineStr">
        <is>
          <t>1</t>
        </is>
      </c>
      <c r="J454" t="inlineStr">
        <is>
          <t>No</t>
        </is>
      </c>
      <c r="K454" t="inlineStr">
        <is>
          <t>No</t>
        </is>
      </c>
      <c r="L454" t="inlineStr">
        <is>
          <t>0</t>
        </is>
      </c>
      <c r="M454" t="inlineStr">
        <is>
          <t>Gale, E. F. (Ernest Frederick)</t>
        </is>
      </c>
      <c r="N454" t="inlineStr">
        <is>
          <t>London, New York, Wiley, 1972.</t>
        </is>
      </c>
      <c r="O454" t="inlineStr">
        <is>
          <t>1972</t>
        </is>
      </c>
      <c r="Q454" t="inlineStr">
        <is>
          <t>eng</t>
        </is>
      </c>
      <c r="R454" t="inlineStr">
        <is>
          <t>enk</t>
        </is>
      </c>
      <c r="T454" t="inlineStr">
        <is>
          <t xml:space="preserve">QV </t>
        </is>
      </c>
      <c r="U454" t="n">
        <v>5</v>
      </c>
      <c r="V454" t="n">
        <v>5</v>
      </c>
      <c r="W454" t="inlineStr">
        <is>
          <t>1998-09-16</t>
        </is>
      </c>
      <c r="X454" t="inlineStr">
        <is>
          <t>1998-09-16</t>
        </is>
      </c>
      <c r="Y454" t="inlineStr">
        <is>
          <t>1988-02-09</t>
        </is>
      </c>
      <c r="Z454" t="inlineStr">
        <is>
          <t>1988-02-09</t>
        </is>
      </c>
      <c r="AA454" t="n">
        <v>465</v>
      </c>
      <c r="AB454" t="n">
        <v>334</v>
      </c>
      <c r="AC454" t="n">
        <v>418</v>
      </c>
      <c r="AD454" t="n">
        <v>4</v>
      </c>
      <c r="AE454" t="n">
        <v>4</v>
      </c>
      <c r="AF454" t="n">
        <v>18</v>
      </c>
      <c r="AG454" t="n">
        <v>19</v>
      </c>
      <c r="AH454" t="n">
        <v>7</v>
      </c>
      <c r="AI454" t="n">
        <v>7</v>
      </c>
      <c r="AJ454" t="n">
        <v>4</v>
      </c>
      <c r="AK454" t="n">
        <v>4</v>
      </c>
      <c r="AL454" t="n">
        <v>6</v>
      </c>
      <c r="AM454" t="n">
        <v>7</v>
      </c>
      <c r="AN454" t="n">
        <v>3</v>
      </c>
      <c r="AO454" t="n">
        <v>3</v>
      </c>
      <c r="AP454" t="n">
        <v>0</v>
      </c>
      <c r="AQ454" t="n">
        <v>0</v>
      </c>
      <c r="AR454" t="inlineStr">
        <is>
          <t>No</t>
        </is>
      </c>
      <c r="AS454" t="inlineStr">
        <is>
          <t>Yes</t>
        </is>
      </c>
      <c r="AT454">
        <f>HYPERLINK("http://catalog.hathitrust.org/Record/001555728","HathiTrust Record")</f>
        <v/>
      </c>
      <c r="AU454">
        <f>HYPERLINK("https://creighton-primo.hosted.exlibrisgroup.com/primo-explore/search?tab=default_tab&amp;search_scope=EVERYTHING&amp;vid=01CRU&amp;lang=en_US&amp;offset=0&amp;query=any,contains,991000159109702656","Catalog Record")</f>
        <v/>
      </c>
      <c r="AV454">
        <f>HYPERLINK("http://www.worldcat.org/oclc/654710","WorldCat Record")</f>
        <v/>
      </c>
      <c r="AW454" t="inlineStr">
        <is>
          <t>53995370:eng</t>
        </is>
      </c>
      <c r="AX454" t="inlineStr">
        <is>
          <t>654710</t>
        </is>
      </c>
      <c r="AY454" t="inlineStr">
        <is>
          <t>991000159109702656</t>
        </is>
      </c>
      <c r="AZ454" t="inlineStr">
        <is>
          <t>991000159109702656</t>
        </is>
      </c>
      <c r="BA454" t="inlineStr">
        <is>
          <t>2262261900002656</t>
        </is>
      </c>
      <c r="BB454" t="inlineStr">
        <is>
          <t>BOOK</t>
        </is>
      </c>
      <c r="BE454" t="inlineStr">
        <is>
          <t>30001000197642</t>
        </is>
      </c>
      <c r="BF454" t="inlineStr">
        <is>
          <t>893547492</t>
        </is>
      </c>
    </row>
    <row r="455">
      <c r="B455" t="inlineStr">
        <is>
          <t>CUHSL</t>
        </is>
      </c>
      <c r="C455" t="inlineStr">
        <is>
          <t>SHELVES</t>
        </is>
      </c>
      <c r="D455" t="inlineStr">
        <is>
          <t>QV 350 G568 1994</t>
        </is>
      </c>
      <c r="E455" t="inlineStr">
        <is>
          <t>0                      QV 0350000G  568         1994</t>
        </is>
      </c>
      <c r="F455" t="inlineStr">
        <is>
          <t>Glycopeptide antibiotics / edited by Ramakrishnan Nagarajan.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No</t>
        </is>
      </c>
      <c r="L455" t="inlineStr">
        <is>
          <t>0</t>
        </is>
      </c>
      <c r="N455" t="inlineStr">
        <is>
          <t>New York : M. Dekker, c1994.</t>
        </is>
      </c>
      <c r="O455" t="inlineStr">
        <is>
          <t>1994</t>
        </is>
      </c>
      <c r="Q455" t="inlineStr">
        <is>
          <t>eng</t>
        </is>
      </c>
      <c r="R455" t="inlineStr">
        <is>
          <t>nyu</t>
        </is>
      </c>
      <c r="S455" t="inlineStr">
        <is>
          <t>Drugs and the pharmaceutical sciences ; 63</t>
        </is>
      </c>
      <c r="T455" t="inlineStr">
        <is>
          <t xml:space="preserve">QV </t>
        </is>
      </c>
      <c r="U455" t="n">
        <v>10</v>
      </c>
      <c r="V455" t="n">
        <v>10</v>
      </c>
      <c r="W455" t="inlineStr">
        <is>
          <t>2005-10-02</t>
        </is>
      </c>
      <c r="X455" t="inlineStr">
        <is>
          <t>2005-10-02</t>
        </is>
      </c>
      <c r="Y455" t="inlineStr">
        <is>
          <t>1994-06-07</t>
        </is>
      </c>
      <c r="Z455" t="inlineStr">
        <is>
          <t>1994-06-07</t>
        </is>
      </c>
      <c r="AA455" t="n">
        <v>106</v>
      </c>
      <c r="AB455" t="n">
        <v>82</v>
      </c>
      <c r="AC455" t="n">
        <v>89</v>
      </c>
      <c r="AD455" t="n">
        <v>1</v>
      </c>
      <c r="AE455" t="n">
        <v>1</v>
      </c>
      <c r="AF455" t="n">
        <v>1</v>
      </c>
      <c r="AG455" t="n">
        <v>1</v>
      </c>
      <c r="AH455" t="n">
        <v>0</v>
      </c>
      <c r="AI455" t="n">
        <v>0</v>
      </c>
      <c r="AJ455" t="n">
        <v>1</v>
      </c>
      <c r="AK455" t="n">
        <v>1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inlineStr">
        <is>
          <t>No</t>
        </is>
      </c>
      <c r="AS455" t="inlineStr">
        <is>
          <t>No</t>
        </is>
      </c>
      <c r="AU455">
        <f>HYPERLINK("https://creighton-primo.hosted.exlibrisgroup.com/primo-explore/search?tab=default_tab&amp;search_scope=EVERYTHING&amp;vid=01CRU&amp;lang=en_US&amp;offset=0&amp;query=any,contains,991001193749702656","Catalog Record")</f>
        <v/>
      </c>
      <c r="AV455">
        <f>HYPERLINK("http://www.worldcat.org/oclc/29848265","WorldCat Record")</f>
        <v/>
      </c>
      <c r="AW455" t="inlineStr">
        <is>
          <t>32492473:eng</t>
        </is>
      </c>
      <c r="AX455" t="inlineStr">
        <is>
          <t>29848265</t>
        </is>
      </c>
      <c r="AY455" t="inlineStr">
        <is>
          <t>991001193749702656</t>
        </is>
      </c>
      <c r="AZ455" t="inlineStr">
        <is>
          <t>991001193749702656</t>
        </is>
      </c>
      <c r="BA455" t="inlineStr">
        <is>
          <t>2263779320002656</t>
        </is>
      </c>
      <c r="BB455" t="inlineStr">
        <is>
          <t>BOOK</t>
        </is>
      </c>
      <c r="BD455" t="inlineStr">
        <is>
          <t>9780824791933</t>
        </is>
      </c>
      <c r="BE455" t="inlineStr">
        <is>
          <t>30001002983890</t>
        </is>
      </c>
      <c r="BF455" t="inlineStr">
        <is>
          <t>893268193</t>
        </is>
      </c>
    </row>
    <row r="456">
      <c r="B456" t="inlineStr">
        <is>
          <t>CUHSL</t>
        </is>
      </c>
      <c r="C456" t="inlineStr">
        <is>
          <t>SHELVES</t>
        </is>
      </c>
      <c r="D456" t="inlineStr">
        <is>
          <t>QV 350 G686a 1967</t>
        </is>
      </c>
      <c r="E456" t="inlineStr">
        <is>
          <t>0                      QV 0350000G  686a        1967</t>
        </is>
      </c>
      <c r="F456" t="inlineStr">
        <is>
          <t>Antibiotics / edited by David Gottlieb and Paul D. Shaw.</t>
        </is>
      </c>
      <c r="G456" t="inlineStr">
        <is>
          <t>V. 2</t>
        </is>
      </c>
      <c r="H456" t="inlineStr">
        <is>
          <t>Yes</t>
        </is>
      </c>
      <c r="I456" t="inlineStr">
        <is>
          <t>1</t>
        </is>
      </c>
      <c r="J456" t="inlineStr">
        <is>
          <t>No</t>
        </is>
      </c>
      <c r="K456" t="inlineStr">
        <is>
          <t>No</t>
        </is>
      </c>
      <c r="L456" t="inlineStr">
        <is>
          <t>0</t>
        </is>
      </c>
      <c r="M456" t="inlineStr">
        <is>
          <t>Gottlieb, David, 1911-1982.</t>
        </is>
      </c>
      <c r="N456" t="inlineStr">
        <is>
          <t>New York : Springer-Verlag, 1967</t>
        </is>
      </c>
      <c r="O456" t="inlineStr">
        <is>
          <t>1967</t>
        </is>
      </c>
      <c r="Q456" t="inlineStr">
        <is>
          <t>eng</t>
        </is>
      </c>
      <c r="R456" t="inlineStr">
        <is>
          <t>nyu</t>
        </is>
      </c>
      <c r="T456" t="inlineStr">
        <is>
          <t xml:space="preserve">QV </t>
        </is>
      </c>
      <c r="U456" t="n">
        <v>5</v>
      </c>
      <c r="V456" t="n">
        <v>12</v>
      </c>
      <c r="W456" t="inlineStr">
        <is>
          <t>2000-02-09</t>
        </is>
      </c>
      <c r="X456" t="inlineStr">
        <is>
          <t>2000-02-09</t>
        </is>
      </c>
      <c r="Y456" t="inlineStr">
        <is>
          <t>1988-03-03</t>
        </is>
      </c>
      <c r="Z456" t="inlineStr">
        <is>
          <t>1988-03-03</t>
        </is>
      </c>
      <c r="AA456" t="n">
        <v>12</v>
      </c>
      <c r="AB456" t="n">
        <v>7</v>
      </c>
      <c r="AC456" t="n">
        <v>230</v>
      </c>
      <c r="AD456" t="n">
        <v>1</v>
      </c>
      <c r="AE456" t="n">
        <v>2</v>
      </c>
      <c r="AF456" t="n">
        <v>0</v>
      </c>
      <c r="AG456" t="n">
        <v>7</v>
      </c>
      <c r="AH456" t="n">
        <v>0</v>
      </c>
      <c r="AI456" t="n">
        <v>2</v>
      </c>
      <c r="AJ456" t="n">
        <v>0</v>
      </c>
      <c r="AK456" t="n">
        <v>1</v>
      </c>
      <c r="AL456" t="n">
        <v>0</v>
      </c>
      <c r="AM456" t="n">
        <v>4</v>
      </c>
      <c r="AN456" t="n">
        <v>0</v>
      </c>
      <c r="AO456" t="n">
        <v>1</v>
      </c>
      <c r="AP456" t="n">
        <v>0</v>
      </c>
      <c r="AQ456" t="n">
        <v>0</v>
      </c>
      <c r="AR456" t="inlineStr">
        <is>
          <t>No</t>
        </is>
      </c>
      <c r="AS456" t="inlineStr">
        <is>
          <t>No</t>
        </is>
      </c>
      <c r="AU456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V456">
        <f>HYPERLINK("http://www.worldcat.org/oclc/14245971","WorldCat Record")</f>
        <v/>
      </c>
      <c r="AW456" t="inlineStr">
        <is>
          <t>5619093490:eng</t>
        </is>
      </c>
      <c r="AX456" t="inlineStr">
        <is>
          <t>14245971</t>
        </is>
      </c>
      <c r="AY456" t="inlineStr">
        <is>
          <t>991000962019702656</t>
        </is>
      </c>
      <c r="AZ456" t="inlineStr">
        <is>
          <t>991000962019702656</t>
        </is>
      </c>
      <c r="BA456" t="inlineStr">
        <is>
          <t>2270675300002656</t>
        </is>
      </c>
      <c r="BB456" t="inlineStr">
        <is>
          <t>BOOK</t>
        </is>
      </c>
      <c r="BE456" t="inlineStr">
        <is>
          <t>30001000198053</t>
        </is>
      </c>
      <c r="BF456" t="inlineStr">
        <is>
          <t>893731564</t>
        </is>
      </c>
    </row>
    <row r="457">
      <c r="B457" t="inlineStr">
        <is>
          <t>CUHSL</t>
        </is>
      </c>
      <c r="C457" t="inlineStr">
        <is>
          <t>SHELVES</t>
        </is>
      </c>
      <c r="D457" t="inlineStr">
        <is>
          <t>QV 350 G686a 1967</t>
        </is>
      </c>
      <c r="E457" t="inlineStr">
        <is>
          <t>0                      QV 0350000G  686a        1967</t>
        </is>
      </c>
      <c r="F457" t="inlineStr">
        <is>
          <t>Antibiotics / edited by David Gottlieb and Paul D. Shaw.</t>
        </is>
      </c>
      <c r="G457" t="inlineStr">
        <is>
          <t>V. 1</t>
        </is>
      </c>
      <c r="H457" t="inlineStr">
        <is>
          <t>Yes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Gottlieb, David, 1911-1982.</t>
        </is>
      </c>
      <c r="N457" t="inlineStr">
        <is>
          <t>New York : Springer-Verlag, 1967</t>
        </is>
      </c>
      <c r="O457" t="inlineStr">
        <is>
          <t>1967</t>
        </is>
      </c>
      <c r="Q457" t="inlineStr">
        <is>
          <t>eng</t>
        </is>
      </c>
      <c r="R457" t="inlineStr">
        <is>
          <t>nyu</t>
        </is>
      </c>
      <c r="T457" t="inlineStr">
        <is>
          <t xml:space="preserve">QV </t>
        </is>
      </c>
      <c r="U457" t="n">
        <v>7</v>
      </c>
      <c r="V457" t="n">
        <v>12</v>
      </c>
      <c r="W457" t="inlineStr">
        <is>
          <t>2000-02-09</t>
        </is>
      </c>
      <c r="X457" t="inlineStr">
        <is>
          <t>2000-02-09</t>
        </is>
      </c>
      <c r="Y457" t="inlineStr">
        <is>
          <t>1988-03-03</t>
        </is>
      </c>
      <c r="Z457" t="inlineStr">
        <is>
          <t>1988-03-03</t>
        </is>
      </c>
      <c r="AA457" t="n">
        <v>12</v>
      </c>
      <c r="AB457" t="n">
        <v>7</v>
      </c>
      <c r="AC457" t="n">
        <v>230</v>
      </c>
      <c r="AD457" t="n">
        <v>1</v>
      </c>
      <c r="AE457" t="n">
        <v>2</v>
      </c>
      <c r="AF457" t="n">
        <v>0</v>
      </c>
      <c r="AG457" t="n">
        <v>7</v>
      </c>
      <c r="AH457" t="n">
        <v>0</v>
      </c>
      <c r="AI457" t="n">
        <v>2</v>
      </c>
      <c r="AJ457" t="n">
        <v>0</v>
      </c>
      <c r="AK457" t="n">
        <v>1</v>
      </c>
      <c r="AL457" t="n">
        <v>0</v>
      </c>
      <c r="AM457" t="n">
        <v>4</v>
      </c>
      <c r="AN457" t="n">
        <v>0</v>
      </c>
      <c r="AO457" t="n">
        <v>1</v>
      </c>
      <c r="AP457" t="n">
        <v>0</v>
      </c>
      <c r="AQ457" t="n">
        <v>0</v>
      </c>
      <c r="AR457" t="inlineStr">
        <is>
          <t>No</t>
        </is>
      </c>
      <c r="AS457" t="inlineStr">
        <is>
          <t>No</t>
        </is>
      </c>
      <c r="AU457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V457">
        <f>HYPERLINK("http://www.worldcat.org/oclc/14245971","WorldCat Record")</f>
        <v/>
      </c>
      <c r="AW457" t="inlineStr">
        <is>
          <t>5619093490:eng</t>
        </is>
      </c>
      <c r="AX457" t="inlineStr">
        <is>
          <t>14245971</t>
        </is>
      </c>
      <c r="AY457" t="inlineStr">
        <is>
          <t>991000962019702656</t>
        </is>
      </c>
      <c r="AZ457" t="inlineStr">
        <is>
          <t>991000962019702656</t>
        </is>
      </c>
      <c r="BA457" t="inlineStr">
        <is>
          <t>2270675300002656</t>
        </is>
      </c>
      <c r="BB457" t="inlineStr">
        <is>
          <t>BOOK</t>
        </is>
      </c>
      <c r="BE457" t="inlineStr">
        <is>
          <t>30001000198061</t>
        </is>
      </c>
      <c r="BF457" t="inlineStr">
        <is>
          <t>893727122</t>
        </is>
      </c>
    </row>
    <row r="458">
      <c r="B458" t="inlineStr">
        <is>
          <t>CUHSL</t>
        </is>
      </c>
      <c r="C458" t="inlineStr">
        <is>
          <t>SHELVES</t>
        </is>
      </c>
      <c r="D458" t="inlineStr">
        <is>
          <t>QV 350 H673 1980</t>
        </is>
      </c>
      <c r="E458" t="inlineStr">
        <is>
          <t>0                      QV 0350000H  673         1980</t>
        </is>
      </c>
      <c r="F458" t="inlineStr">
        <is>
          <t>The History of antibiotics : a symposium / sponsored by the Divisions of History of Chemistry and Medicinal Chemistry, American Chemical Society Meeting, Honolulu, Hawaii, April 5, 1979 ; edited by John Parascandola.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N458" t="inlineStr">
        <is>
          <t>Madison, Wis. : American Institute of the History of Pharmacy, 1980.</t>
        </is>
      </c>
      <c r="O458" t="inlineStr">
        <is>
          <t>1980</t>
        </is>
      </c>
      <c r="Q458" t="inlineStr">
        <is>
          <t>eng</t>
        </is>
      </c>
      <c r="R458" t="inlineStr">
        <is>
          <t>wiu</t>
        </is>
      </c>
      <c r="S458" t="inlineStr">
        <is>
          <t>American Institute of the History of Pharmacy ; no. 5 [New series]</t>
        </is>
      </c>
      <c r="T458" t="inlineStr">
        <is>
          <t xml:space="preserve">QV </t>
        </is>
      </c>
      <c r="U458" t="n">
        <v>8</v>
      </c>
      <c r="V458" t="n">
        <v>8</v>
      </c>
      <c r="W458" t="inlineStr">
        <is>
          <t>2001-11-30</t>
        </is>
      </c>
      <c r="X458" t="inlineStr">
        <is>
          <t>2001-11-30</t>
        </is>
      </c>
      <c r="Y458" t="inlineStr">
        <is>
          <t>1988-02-09</t>
        </is>
      </c>
      <c r="Z458" t="inlineStr">
        <is>
          <t>1988-02-09</t>
        </is>
      </c>
      <c r="AA458" t="n">
        <v>156</v>
      </c>
      <c r="AB458" t="n">
        <v>121</v>
      </c>
      <c r="AC458" t="n">
        <v>133</v>
      </c>
      <c r="AD458" t="n">
        <v>1</v>
      </c>
      <c r="AE458" t="n">
        <v>2</v>
      </c>
      <c r="AF458" t="n">
        <v>5</v>
      </c>
      <c r="AG458" t="n">
        <v>7</v>
      </c>
      <c r="AH458" t="n">
        <v>4</v>
      </c>
      <c r="AI458" t="n">
        <v>4</v>
      </c>
      <c r="AJ458" t="n">
        <v>2</v>
      </c>
      <c r="AK458" t="n">
        <v>3</v>
      </c>
      <c r="AL458" t="n">
        <v>0</v>
      </c>
      <c r="AM458" t="n">
        <v>0</v>
      </c>
      <c r="AN458" t="n">
        <v>0</v>
      </c>
      <c r="AO458" t="n">
        <v>1</v>
      </c>
      <c r="AP458" t="n">
        <v>0</v>
      </c>
      <c r="AQ458" t="n">
        <v>0</v>
      </c>
      <c r="AR458" t="inlineStr">
        <is>
          <t>Yes</t>
        </is>
      </c>
      <c r="AS458" t="inlineStr">
        <is>
          <t>No</t>
        </is>
      </c>
      <c r="AT458">
        <f>HYPERLINK("http://catalog.hathitrust.org/Record/000279638","HathiTrust Record")</f>
        <v/>
      </c>
      <c r="AU458">
        <f>HYPERLINK("https://creighton-primo.hosted.exlibrisgroup.com/primo-explore/search?tab=default_tab&amp;search_scope=EVERYTHING&amp;vid=01CRU&amp;lang=en_US&amp;offset=0&amp;query=any,contains,991000961929702656","Catalog Record")</f>
        <v/>
      </c>
      <c r="AV458">
        <f>HYPERLINK("http://www.worldcat.org/oclc/7029546","WorldCat Record")</f>
        <v/>
      </c>
      <c r="AW458" t="inlineStr">
        <is>
          <t>865284166:eng</t>
        </is>
      </c>
      <c r="AX458" t="inlineStr">
        <is>
          <t>7029546</t>
        </is>
      </c>
      <c r="AY458" t="inlineStr">
        <is>
          <t>991000961929702656</t>
        </is>
      </c>
      <c r="AZ458" t="inlineStr">
        <is>
          <t>991000961929702656</t>
        </is>
      </c>
      <c r="BA458" t="inlineStr">
        <is>
          <t>2260582560002656</t>
        </is>
      </c>
      <c r="BB458" t="inlineStr">
        <is>
          <t>BOOK</t>
        </is>
      </c>
      <c r="BD458" t="inlineStr">
        <is>
          <t>9780931292088</t>
        </is>
      </c>
      <c r="BE458" t="inlineStr">
        <is>
          <t>30001000198012</t>
        </is>
      </c>
      <c r="BF458" t="inlineStr">
        <is>
          <t>893358049</t>
        </is>
      </c>
    </row>
    <row r="459">
      <c r="B459" t="inlineStr">
        <is>
          <t>CUHSL</t>
        </is>
      </c>
      <c r="C459" t="inlineStr">
        <is>
          <t>SHELVES</t>
        </is>
      </c>
      <c r="D459" t="inlineStr">
        <is>
          <t>QV 350 H972a 1954</t>
        </is>
      </c>
      <c r="E459" t="inlineStr">
        <is>
          <t>0                      QV 0350000H  972a        1954</t>
        </is>
      </c>
      <c r="F459" t="inlineStr">
        <is>
          <t>Antibiotics and antibiotic therapy : a clinical manual / Allen E. Hussar [and] Howard L. Holley.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No</t>
        </is>
      </c>
      <c r="L459" t="inlineStr">
        <is>
          <t>0</t>
        </is>
      </c>
      <c r="M459" t="inlineStr">
        <is>
          <t>Hussar, Allen E. (Allen Elmer), 1900-</t>
        </is>
      </c>
      <c r="N459" t="inlineStr">
        <is>
          <t>New York : Macmillan, 1954.</t>
        </is>
      </c>
      <c r="O459" t="inlineStr">
        <is>
          <t>1954</t>
        </is>
      </c>
      <c r="Q459" t="inlineStr">
        <is>
          <t>eng</t>
        </is>
      </c>
      <c r="R459" t="inlineStr">
        <is>
          <t>nyu</t>
        </is>
      </c>
      <c r="T459" t="inlineStr">
        <is>
          <t xml:space="preserve">QV </t>
        </is>
      </c>
      <c r="U459" t="n">
        <v>3</v>
      </c>
      <c r="V459" t="n">
        <v>3</v>
      </c>
      <c r="W459" t="inlineStr">
        <is>
          <t>1992-11-30</t>
        </is>
      </c>
      <c r="X459" t="inlineStr">
        <is>
          <t>1992-11-30</t>
        </is>
      </c>
      <c r="Y459" t="inlineStr">
        <is>
          <t>1988-03-21</t>
        </is>
      </c>
      <c r="Z459" t="inlineStr">
        <is>
          <t>1988-03-21</t>
        </is>
      </c>
      <c r="AA459" t="n">
        <v>80</v>
      </c>
      <c r="AB459" t="n">
        <v>61</v>
      </c>
      <c r="AC459" t="n">
        <v>70</v>
      </c>
      <c r="AD459" t="n">
        <v>1</v>
      </c>
      <c r="AE459" t="n">
        <v>1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inlineStr">
        <is>
          <t>Yes</t>
        </is>
      </c>
      <c r="AS459" t="inlineStr">
        <is>
          <t>No</t>
        </is>
      </c>
      <c r="AT459">
        <f>HYPERLINK("http://catalog.hathitrust.org/Record/002074948","HathiTrust Record")</f>
        <v/>
      </c>
      <c r="AU459">
        <f>HYPERLINK("https://creighton-primo.hosted.exlibrisgroup.com/primo-explore/search?tab=default_tab&amp;search_scope=EVERYTHING&amp;vid=01CRU&amp;lang=en_US&amp;offset=0&amp;query=any,contains,991000961969702656","Catalog Record")</f>
        <v/>
      </c>
      <c r="AV459">
        <f>HYPERLINK("http://www.worldcat.org/oclc/3668648","WorldCat Record")</f>
        <v/>
      </c>
      <c r="AW459" t="inlineStr">
        <is>
          <t>8416654:eng</t>
        </is>
      </c>
      <c r="AX459" t="inlineStr">
        <is>
          <t>3668648</t>
        </is>
      </c>
      <c r="AY459" t="inlineStr">
        <is>
          <t>991000961969702656</t>
        </is>
      </c>
      <c r="AZ459" t="inlineStr">
        <is>
          <t>991000961969702656</t>
        </is>
      </c>
      <c r="BA459" t="inlineStr">
        <is>
          <t>2261875350002656</t>
        </is>
      </c>
      <c r="BB459" t="inlineStr">
        <is>
          <t>BOOK</t>
        </is>
      </c>
      <c r="BE459" t="inlineStr">
        <is>
          <t>30001000198004</t>
        </is>
      </c>
      <c r="BF459" t="inlineStr">
        <is>
          <t>893377011</t>
        </is>
      </c>
    </row>
    <row r="460">
      <c r="B460" t="inlineStr">
        <is>
          <t>CUHSL</t>
        </is>
      </c>
      <c r="C460" t="inlineStr">
        <is>
          <t>SHELVES</t>
        </is>
      </c>
      <c r="D460" t="inlineStr">
        <is>
          <t>QV 350 I61 1982</t>
        </is>
      </c>
      <c r="E460" t="inlineStr">
        <is>
          <t>0                      QV 0350000I  61          1982</t>
        </is>
      </c>
      <c r="F460" t="inlineStr">
        <is>
          <t>Proceedings, an International Conference on Trends in Antibiotic Research : genetics, biosyntheses, actions &amp; new substances / held in Tokyo, June 14-15, 1982 ; edited by Hamao Umezawa ... [et al.]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0</t>
        </is>
      </c>
      <c r="M460" t="inlineStr">
        <is>
          <t>International Conference on Trends in Antibiotic Research (1982 : Tokyo, Japan)</t>
        </is>
      </c>
      <c r="N460" t="inlineStr">
        <is>
          <t>Tokyo : Japan Antibiotics Research Association, c1982.</t>
        </is>
      </c>
      <c r="O460" t="inlineStr">
        <is>
          <t>1982</t>
        </is>
      </c>
      <c r="Q460" t="inlineStr">
        <is>
          <t>eng</t>
        </is>
      </c>
      <c r="R460" t="inlineStr">
        <is>
          <t xml:space="preserve">ja </t>
        </is>
      </c>
      <c r="T460" t="inlineStr">
        <is>
          <t xml:space="preserve">QV </t>
        </is>
      </c>
      <c r="U460" t="n">
        <v>8</v>
      </c>
      <c r="V460" t="n">
        <v>8</v>
      </c>
      <c r="W460" t="inlineStr">
        <is>
          <t>2002-04-04</t>
        </is>
      </c>
      <c r="X460" t="inlineStr">
        <is>
          <t>2002-04-04</t>
        </is>
      </c>
      <c r="Y460" t="inlineStr">
        <is>
          <t>1988-02-09</t>
        </is>
      </c>
      <c r="Z460" t="inlineStr">
        <is>
          <t>1988-02-09</t>
        </is>
      </c>
      <c r="AA460" t="n">
        <v>34</v>
      </c>
      <c r="AB460" t="n">
        <v>27</v>
      </c>
      <c r="AC460" t="n">
        <v>29</v>
      </c>
      <c r="AD460" t="n">
        <v>1</v>
      </c>
      <c r="AE460" t="n">
        <v>1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inlineStr">
        <is>
          <t>No</t>
        </is>
      </c>
      <c r="AS460" t="inlineStr">
        <is>
          <t>Yes</t>
        </is>
      </c>
      <c r="AT460">
        <f>HYPERLINK("http://catalog.hathitrust.org/Record/001536856","HathiTrust Record")</f>
        <v/>
      </c>
      <c r="AU460">
        <f>HYPERLINK("https://creighton-primo.hosted.exlibrisgroup.com/primo-explore/search?tab=default_tab&amp;search_scope=EVERYTHING&amp;vid=01CRU&amp;lang=en_US&amp;offset=0&amp;query=any,contains,991000961889702656","Catalog Record")</f>
        <v/>
      </c>
      <c r="AV460">
        <f>HYPERLINK("http://www.worldcat.org/oclc/9517423","WorldCat Record")</f>
        <v/>
      </c>
      <c r="AW460" t="inlineStr">
        <is>
          <t>43316383:eng</t>
        </is>
      </c>
      <c r="AX460" t="inlineStr">
        <is>
          <t>9517423</t>
        </is>
      </c>
      <c r="AY460" t="inlineStr">
        <is>
          <t>991000961889702656</t>
        </is>
      </c>
      <c r="AZ460" t="inlineStr">
        <is>
          <t>991000961889702656</t>
        </is>
      </c>
      <c r="BA460" t="inlineStr">
        <is>
          <t>2267227400002656</t>
        </is>
      </c>
      <c r="BB460" t="inlineStr">
        <is>
          <t>BOOK</t>
        </is>
      </c>
      <c r="BE460" t="inlineStr">
        <is>
          <t>30001000197998</t>
        </is>
      </c>
      <c r="BF460" t="inlineStr">
        <is>
          <t>893831783</t>
        </is>
      </c>
    </row>
    <row r="461">
      <c r="B461" t="inlineStr">
        <is>
          <t>CUHSL</t>
        </is>
      </c>
      <c r="C461" t="inlineStr">
        <is>
          <t>SHELVES</t>
        </is>
      </c>
      <c r="D461" t="inlineStr">
        <is>
          <t>QV 350 M378m 1958</t>
        </is>
      </c>
      <c r="E461" t="inlineStr">
        <is>
          <t>0                      QV 0350000M  378m        1958</t>
        </is>
      </c>
      <c r="F461" t="inlineStr">
        <is>
          <t>Men, molds, and history.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Martí-Ibáñez, Félix, 1915-1972.</t>
        </is>
      </c>
      <c r="N461" t="inlineStr">
        <is>
          <t>New York : MD Publications, inc., [1958]</t>
        </is>
      </c>
      <c r="O461" t="inlineStr">
        <is>
          <t>1958</t>
        </is>
      </c>
      <c r="Q461" t="inlineStr">
        <is>
          <t>eng</t>
        </is>
      </c>
      <c r="R461" t="inlineStr">
        <is>
          <t>nyu</t>
        </is>
      </c>
      <c r="T461" t="inlineStr">
        <is>
          <t xml:space="preserve">QV </t>
        </is>
      </c>
      <c r="U461" t="n">
        <v>1</v>
      </c>
      <c r="V461" t="n">
        <v>1</v>
      </c>
      <c r="W461" t="inlineStr">
        <is>
          <t>1996-02-19</t>
        </is>
      </c>
      <c r="X461" t="inlineStr">
        <is>
          <t>1996-02-19</t>
        </is>
      </c>
      <c r="Y461" t="inlineStr">
        <is>
          <t>1988-03-21</t>
        </is>
      </c>
      <c r="Z461" t="inlineStr">
        <is>
          <t>1988-03-21</t>
        </is>
      </c>
      <c r="AA461" t="n">
        <v>256</v>
      </c>
      <c r="AB461" t="n">
        <v>217</v>
      </c>
      <c r="AC461" t="n">
        <v>224</v>
      </c>
      <c r="AD461" t="n">
        <v>1</v>
      </c>
      <c r="AE461" t="n">
        <v>1</v>
      </c>
      <c r="AF461" t="n">
        <v>6</v>
      </c>
      <c r="AG461" t="n">
        <v>6</v>
      </c>
      <c r="AH461" t="n">
        <v>5</v>
      </c>
      <c r="AI461" t="n">
        <v>5</v>
      </c>
      <c r="AJ461" t="n">
        <v>0</v>
      </c>
      <c r="AK461" t="n">
        <v>0</v>
      </c>
      <c r="AL461" t="n">
        <v>3</v>
      </c>
      <c r="AM461" t="n">
        <v>3</v>
      </c>
      <c r="AN461" t="n">
        <v>0</v>
      </c>
      <c r="AO461" t="n">
        <v>0</v>
      </c>
      <c r="AP461" t="n">
        <v>0</v>
      </c>
      <c r="AQ461" t="n">
        <v>0</v>
      </c>
      <c r="AR461" t="inlineStr">
        <is>
          <t>Yes</t>
        </is>
      </c>
      <c r="AS461" t="inlineStr">
        <is>
          <t>No</t>
        </is>
      </c>
      <c r="AT461">
        <f>HYPERLINK("http://catalog.hathitrust.org/Record/001572900","HathiTrust Record")</f>
        <v/>
      </c>
      <c r="AU461">
        <f>HYPERLINK("https://creighton-primo.hosted.exlibrisgroup.com/primo-explore/search?tab=default_tab&amp;search_scope=EVERYTHING&amp;vid=01CRU&amp;lang=en_US&amp;offset=0&amp;query=any,contains,991000961839702656","Catalog Record")</f>
        <v/>
      </c>
      <c r="AV461">
        <f>HYPERLINK("http://www.worldcat.org/oclc/654951","WorldCat Record")</f>
        <v/>
      </c>
      <c r="AW461" t="inlineStr">
        <is>
          <t>1615472:eng</t>
        </is>
      </c>
      <c r="AX461" t="inlineStr">
        <is>
          <t>654951</t>
        </is>
      </c>
      <c r="AY461" t="inlineStr">
        <is>
          <t>991000961839702656</t>
        </is>
      </c>
      <c r="AZ461" t="inlineStr">
        <is>
          <t>991000961839702656</t>
        </is>
      </c>
      <c r="BA461" t="inlineStr">
        <is>
          <t>2262108940002656</t>
        </is>
      </c>
      <c r="BB461" t="inlineStr">
        <is>
          <t>BOOK</t>
        </is>
      </c>
      <c r="BE461" t="inlineStr">
        <is>
          <t>30001000197949</t>
        </is>
      </c>
      <c r="BF461" t="inlineStr">
        <is>
          <t>893368934</t>
        </is>
      </c>
    </row>
    <row r="462">
      <c r="B462" t="inlineStr">
        <is>
          <t>CUHSL</t>
        </is>
      </c>
      <c r="C462" t="inlineStr">
        <is>
          <t>SHELVES</t>
        </is>
      </c>
      <c r="D462" t="inlineStr">
        <is>
          <t>QV 350 M478o 1982</t>
        </is>
      </c>
      <c r="E462" t="inlineStr">
        <is>
          <t>0                      QV 0350000M  478o        1982</t>
        </is>
      </c>
      <c r="F462" t="inlineStr">
        <is>
          <t>Outline guide to antimicrobial therapy / John E. McGowan, Jr.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M462" t="inlineStr">
        <is>
          <t>McGowan, John E., 1942-</t>
        </is>
      </c>
      <c r="N462" t="inlineStr">
        <is>
          <t>Oradell, N.J. : Medical Economics Co., c1982.</t>
        </is>
      </c>
      <c r="O462" t="inlineStr">
        <is>
          <t>1982</t>
        </is>
      </c>
      <c r="Q462" t="inlineStr">
        <is>
          <t>eng</t>
        </is>
      </c>
      <c r="R462" t="inlineStr">
        <is>
          <t>xxu</t>
        </is>
      </c>
      <c r="T462" t="inlineStr">
        <is>
          <t xml:space="preserve">QV </t>
        </is>
      </c>
      <c r="U462" t="n">
        <v>8</v>
      </c>
      <c r="V462" t="n">
        <v>8</v>
      </c>
      <c r="W462" t="inlineStr">
        <is>
          <t>1997-12-12</t>
        </is>
      </c>
      <c r="X462" t="inlineStr">
        <is>
          <t>1997-12-12</t>
        </is>
      </c>
      <c r="Y462" t="inlineStr">
        <is>
          <t>1988-02-09</t>
        </is>
      </c>
      <c r="Z462" t="inlineStr">
        <is>
          <t>1988-02-09</t>
        </is>
      </c>
      <c r="AA462" t="n">
        <v>52</v>
      </c>
      <c r="AB462" t="n">
        <v>40</v>
      </c>
      <c r="AC462" t="n">
        <v>40</v>
      </c>
      <c r="AD462" t="n">
        <v>1</v>
      </c>
      <c r="AE462" t="n">
        <v>1</v>
      </c>
      <c r="AF462" t="n">
        <v>1</v>
      </c>
      <c r="AG462" t="n">
        <v>1</v>
      </c>
      <c r="AH462" t="n">
        <v>1</v>
      </c>
      <c r="AI462" t="n">
        <v>1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inlineStr">
        <is>
          <t>No</t>
        </is>
      </c>
      <c r="AS462" t="inlineStr">
        <is>
          <t>No</t>
        </is>
      </c>
      <c r="AU462">
        <f>HYPERLINK("https://creighton-primo.hosted.exlibrisgroup.com/primo-explore/search?tab=default_tab&amp;search_scope=EVERYTHING&amp;vid=01CRU&amp;lang=en_US&amp;offset=0&amp;query=any,contains,991000961789702656","Catalog Record")</f>
        <v/>
      </c>
      <c r="AV462">
        <f>HYPERLINK("http://www.worldcat.org/oclc/7671677","WorldCat Record")</f>
        <v/>
      </c>
      <c r="AW462" t="inlineStr">
        <is>
          <t>1151153909:eng</t>
        </is>
      </c>
      <c r="AX462" t="inlineStr">
        <is>
          <t>7671677</t>
        </is>
      </c>
      <c r="AY462" t="inlineStr">
        <is>
          <t>991000961789702656</t>
        </is>
      </c>
      <c r="AZ462" t="inlineStr">
        <is>
          <t>991000961789702656</t>
        </is>
      </c>
      <c r="BA462" t="inlineStr">
        <is>
          <t>2270023120002656</t>
        </is>
      </c>
      <c r="BB462" t="inlineStr">
        <is>
          <t>BOOK</t>
        </is>
      </c>
      <c r="BD462" t="inlineStr">
        <is>
          <t>9780874892499</t>
        </is>
      </c>
      <c r="BE462" t="inlineStr">
        <is>
          <t>30001000197915</t>
        </is>
      </c>
      <c r="BF462" t="inlineStr">
        <is>
          <t>893450651</t>
        </is>
      </c>
    </row>
    <row r="463">
      <c r="B463" t="inlineStr">
        <is>
          <t>CUHSL</t>
        </is>
      </c>
      <c r="C463" t="inlineStr">
        <is>
          <t>SHELVES</t>
        </is>
      </c>
      <c r="D463" t="inlineStr">
        <is>
          <t>QV 350 M613a 1991</t>
        </is>
      </c>
      <c r="E463" t="inlineStr">
        <is>
          <t>0                      QV 0350000M  613a        1991</t>
        </is>
      </c>
      <c r="F463" t="inlineStr">
        <is>
          <t>Antimicrobial therapy guide / by Burt R. Meyers.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Meyers, Burt R.</t>
        </is>
      </c>
      <c r="N463" t="inlineStr">
        <is>
          <t>Newtown, Pa. : Antimicrobial Prescribing, Inc., c1991.</t>
        </is>
      </c>
      <c r="O463" t="inlineStr">
        <is>
          <t>1991</t>
        </is>
      </c>
      <c r="P463" t="inlineStr">
        <is>
          <t>6th ed. 1991.</t>
        </is>
      </c>
      <c r="Q463" t="inlineStr">
        <is>
          <t>eng</t>
        </is>
      </c>
      <c r="R463" t="inlineStr">
        <is>
          <t>pau</t>
        </is>
      </c>
      <c r="T463" t="inlineStr">
        <is>
          <t xml:space="preserve">QV </t>
        </is>
      </c>
      <c r="U463" t="n">
        <v>7</v>
      </c>
      <c r="V463" t="n">
        <v>7</v>
      </c>
      <c r="W463" t="inlineStr">
        <is>
          <t>1999-09-28</t>
        </is>
      </c>
      <c r="X463" t="inlineStr">
        <is>
          <t>1999-09-28</t>
        </is>
      </c>
      <c r="Y463" t="inlineStr">
        <is>
          <t>1991-07-23</t>
        </is>
      </c>
      <c r="Z463" t="inlineStr">
        <is>
          <t>1991-07-23</t>
        </is>
      </c>
      <c r="AA463" t="n">
        <v>12</v>
      </c>
      <c r="AB463" t="n">
        <v>11</v>
      </c>
      <c r="AC463" t="n">
        <v>593</v>
      </c>
      <c r="AD463" t="n">
        <v>1</v>
      </c>
      <c r="AE463" t="n">
        <v>5</v>
      </c>
      <c r="AF463" t="n">
        <v>0</v>
      </c>
      <c r="AG463" t="n">
        <v>11</v>
      </c>
      <c r="AH463" t="n">
        <v>0</v>
      </c>
      <c r="AI463" t="n">
        <v>3</v>
      </c>
      <c r="AJ463" t="n">
        <v>0</v>
      </c>
      <c r="AK463" t="n">
        <v>3</v>
      </c>
      <c r="AL463" t="n">
        <v>0</v>
      </c>
      <c r="AM463" t="n">
        <v>3</v>
      </c>
      <c r="AN463" t="n">
        <v>0</v>
      </c>
      <c r="AO463" t="n">
        <v>4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U463">
        <f>HYPERLINK("https://creighton-primo.hosted.exlibrisgroup.com/primo-explore/search?tab=default_tab&amp;search_scope=EVERYTHING&amp;vid=01CRU&amp;lang=en_US&amp;offset=0&amp;query=any,contains,991000943469702656","Catalog Record")</f>
        <v/>
      </c>
      <c r="AV463">
        <f>HYPERLINK("http://www.worldcat.org/oclc/23942893","WorldCat Record")</f>
        <v/>
      </c>
      <c r="AW463" t="inlineStr">
        <is>
          <t>1151207764:eng</t>
        </is>
      </c>
      <c r="AX463" t="inlineStr">
        <is>
          <t>23942893</t>
        </is>
      </c>
      <c r="AY463" t="inlineStr">
        <is>
          <t>991000943469702656</t>
        </is>
      </c>
      <c r="AZ463" t="inlineStr">
        <is>
          <t>991000943469702656</t>
        </is>
      </c>
      <c r="BA463" t="inlineStr">
        <is>
          <t>2268915460002656</t>
        </is>
      </c>
      <c r="BB463" t="inlineStr">
        <is>
          <t>BOOK</t>
        </is>
      </c>
      <c r="BE463" t="inlineStr">
        <is>
          <t>30001002193177</t>
        </is>
      </c>
      <c r="BF463" t="inlineStr">
        <is>
          <t>893820741</t>
        </is>
      </c>
    </row>
    <row r="464">
      <c r="B464" t="inlineStr">
        <is>
          <t>CUHSL</t>
        </is>
      </c>
      <c r="C464" t="inlineStr">
        <is>
          <t>SHELVES</t>
        </is>
      </c>
      <c r="D464" t="inlineStr">
        <is>
          <t>QV350 M626 1989</t>
        </is>
      </c>
      <c r="E464" t="inlineStr">
        <is>
          <t>0                      QV 0350000M  626         1989</t>
        </is>
      </c>
      <c r="F464" t="inlineStr">
        <is>
          <t>Microbial resistance to drugs / contributors, A. Böck ... [et al.] ; editor, L.E. Bryan.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N464" t="inlineStr">
        <is>
          <t>Berlin ; New York : Springer-Verlag, c1989.</t>
        </is>
      </c>
      <c r="O464" t="inlineStr">
        <is>
          <t>1989</t>
        </is>
      </c>
      <c r="Q464" t="inlineStr">
        <is>
          <t>eng</t>
        </is>
      </c>
      <c r="R464" t="inlineStr">
        <is>
          <t xml:space="preserve">gw </t>
        </is>
      </c>
      <c r="S464" t="inlineStr">
        <is>
          <t>Handbook of experimental pharmacology ; v. 91</t>
        </is>
      </c>
      <c r="T464" t="inlineStr">
        <is>
          <t xml:space="preserve">QV </t>
        </is>
      </c>
      <c r="U464" t="n">
        <v>22</v>
      </c>
      <c r="V464" t="n">
        <v>22</v>
      </c>
      <c r="W464" t="inlineStr">
        <is>
          <t>1999-01-25</t>
        </is>
      </c>
      <c r="X464" t="inlineStr">
        <is>
          <t>1999-01-25</t>
        </is>
      </c>
      <c r="Y464" t="inlineStr">
        <is>
          <t>1989-10-13</t>
        </is>
      </c>
      <c r="Z464" t="inlineStr">
        <is>
          <t>1989-10-13</t>
        </is>
      </c>
      <c r="AA464" t="n">
        <v>180</v>
      </c>
      <c r="AB464" t="n">
        <v>103</v>
      </c>
      <c r="AC464" t="n">
        <v>129</v>
      </c>
      <c r="AD464" t="n">
        <v>1</v>
      </c>
      <c r="AE464" t="n">
        <v>1</v>
      </c>
      <c r="AF464" t="n">
        <v>2</v>
      </c>
      <c r="AG464" t="n">
        <v>3</v>
      </c>
      <c r="AH464" t="n">
        <v>0</v>
      </c>
      <c r="AI464" t="n">
        <v>1</v>
      </c>
      <c r="AJ464" t="n">
        <v>2</v>
      </c>
      <c r="AK464" t="n">
        <v>2</v>
      </c>
      <c r="AL464" t="n">
        <v>0</v>
      </c>
      <c r="AM464" t="n">
        <v>1</v>
      </c>
      <c r="AN464" t="n">
        <v>0</v>
      </c>
      <c r="AO464" t="n">
        <v>0</v>
      </c>
      <c r="AP464" t="n">
        <v>0</v>
      </c>
      <c r="AQ464" t="n">
        <v>0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HYPERLINK("http://catalog.hathitrust.org/Record/001295147","HathiTrust Record")</f>
        <v/>
      </c>
      <c r="AU464">
        <f>HYPERLINK("https://creighton-primo.hosted.exlibrisgroup.com/primo-explore/search?tab=default_tab&amp;search_scope=EVERYTHING&amp;vid=01CRU&amp;lang=en_US&amp;offset=0&amp;query=any,contains,991001354739702656","Catalog Record")</f>
        <v/>
      </c>
      <c r="AV464">
        <f>HYPERLINK("http://www.worldcat.org/oclc/19130217","WorldCat Record")</f>
        <v/>
      </c>
      <c r="AW464" t="inlineStr">
        <is>
          <t>365124049:eng</t>
        </is>
      </c>
      <c r="AX464" t="inlineStr">
        <is>
          <t>19130217</t>
        </is>
      </c>
      <c r="AY464" t="inlineStr">
        <is>
          <t>991001354739702656</t>
        </is>
      </c>
      <c r="AZ464" t="inlineStr">
        <is>
          <t>991001354739702656</t>
        </is>
      </c>
      <c r="BA464" t="inlineStr">
        <is>
          <t>2261580830002656</t>
        </is>
      </c>
      <c r="BB464" t="inlineStr">
        <is>
          <t>BOOK</t>
        </is>
      </c>
      <c r="BD464" t="inlineStr">
        <is>
          <t>9780387503189</t>
        </is>
      </c>
      <c r="BE464" t="inlineStr">
        <is>
          <t>30001001795584</t>
        </is>
      </c>
      <c r="BF464" t="inlineStr">
        <is>
          <t>893651990</t>
        </is>
      </c>
    </row>
    <row r="465">
      <c r="B465" t="inlineStr">
        <is>
          <t>CUHSL</t>
        </is>
      </c>
      <c r="C465" t="inlineStr">
        <is>
          <t>SHELVES</t>
        </is>
      </c>
      <c r="D465" t="inlineStr">
        <is>
          <t>QV 350 P376a 1981</t>
        </is>
      </c>
      <c r="E465" t="inlineStr">
        <is>
          <t>0                      QV 0350000P  376a        1981</t>
        </is>
      </c>
      <c r="F465" t="inlineStr">
        <is>
          <t>Antibiotics in clinical medicine : case studies : 50 case histories related to the antibiotic treatment and prophylaxis of infectious diseases / by P. Samuel Pegram, and Joseph E. Johnson, III.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No</t>
        </is>
      </c>
      <c r="L465" t="inlineStr">
        <is>
          <t>0</t>
        </is>
      </c>
      <c r="M465" t="inlineStr">
        <is>
          <t>Pegram, P. Samuel.</t>
        </is>
      </c>
      <c r="N465" t="inlineStr">
        <is>
          <t>Garden City, N.Y. : Medical Examination Pub. Co., c1981.</t>
        </is>
      </c>
      <c r="O465" t="inlineStr">
        <is>
          <t>1981</t>
        </is>
      </c>
      <c r="Q465" t="inlineStr">
        <is>
          <t>eng</t>
        </is>
      </c>
      <c r="R465" t="inlineStr">
        <is>
          <t>xxu</t>
        </is>
      </c>
      <c r="T465" t="inlineStr">
        <is>
          <t xml:space="preserve">QV </t>
        </is>
      </c>
      <c r="U465" t="n">
        <v>4</v>
      </c>
      <c r="V465" t="n">
        <v>4</v>
      </c>
      <c r="W465" t="inlineStr">
        <is>
          <t>1995-11-25</t>
        </is>
      </c>
      <c r="X465" t="inlineStr">
        <is>
          <t>1995-11-25</t>
        </is>
      </c>
      <c r="Y465" t="inlineStr">
        <is>
          <t>1988-02-09</t>
        </is>
      </c>
      <c r="Z465" t="inlineStr">
        <is>
          <t>1988-02-09</t>
        </is>
      </c>
      <c r="AA465" t="n">
        <v>47</v>
      </c>
      <c r="AB465" t="n">
        <v>40</v>
      </c>
      <c r="AC465" t="n">
        <v>40</v>
      </c>
      <c r="AD465" t="n">
        <v>1</v>
      </c>
      <c r="AE465" t="n">
        <v>1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inlineStr">
        <is>
          <t>No</t>
        </is>
      </c>
      <c r="AS465" t="inlineStr">
        <is>
          <t>No</t>
        </is>
      </c>
      <c r="AU465">
        <f>HYPERLINK("https://creighton-primo.hosted.exlibrisgroup.com/primo-explore/search?tab=default_tab&amp;search_scope=EVERYTHING&amp;vid=01CRU&amp;lang=en_US&amp;offset=0&amp;query=any,contains,991000961749702656","Catalog Record")</f>
        <v/>
      </c>
      <c r="AV465">
        <f>HYPERLINK("http://www.worldcat.org/oclc/7463205","WorldCat Record")</f>
        <v/>
      </c>
      <c r="AW465" t="inlineStr">
        <is>
          <t>27355199:eng</t>
        </is>
      </c>
      <c r="AX465" t="inlineStr">
        <is>
          <t>7463205</t>
        </is>
      </c>
      <c r="AY465" t="inlineStr">
        <is>
          <t>991000961749702656</t>
        </is>
      </c>
      <c r="AZ465" t="inlineStr">
        <is>
          <t>991000961749702656</t>
        </is>
      </c>
      <c r="BA465" t="inlineStr">
        <is>
          <t>2259596250002656</t>
        </is>
      </c>
      <c r="BB465" t="inlineStr">
        <is>
          <t>BOOK</t>
        </is>
      </c>
      <c r="BD465" t="inlineStr">
        <is>
          <t>9780087488199</t>
        </is>
      </c>
      <c r="BE465" t="inlineStr">
        <is>
          <t>30001000197899</t>
        </is>
      </c>
      <c r="BF465" t="inlineStr">
        <is>
          <t>893727121</t>
        </is>
      </c>
    </row>
    <row r="466">
      <c r="B466" t="inlineStr">
        <is>
          <t>CUHSL</t>
        </is>
      </c>
      <c r="C466" t="inlineStr">
        <is>
          <t>SHELVES</t>
        </is>
      </c>
      <c r="D466" t="inlineStr">
        <is>
          <t>QV 350 P916a 1953</t>
        </is>
      </c>
      <c r="E466" t="inlineStr">
        <is>
          <t>0                      QV 0350000P  916a        1953</t>
        </is>
      </c>
      <c r="F466" t="inlineStr">
        <is>
          <t>Antibiotics / by Robertson Pratt and Jean Dufrenoy.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No</t>
        </is>
      </c>
      <c r="L466" t="inlineStr">
        <is>
          <t>0</t>
        </is>
      </c>
      <c r="M466" t="inlineStr">
        <is>
          <t>Pratt, Robertson, 1909-1976.</t>
        </is>
      </c>
      <c r="N466" t="inlineStr">
        <is>
          <t>Philadelphia : Lippincott, 1953.</t>
        </is>
      </c>
      <c r="O466" t="inlineStr">
        <is>
          <t>1953</t>
        </is>
      </c>
      <c r="P466" t="inlineStr">
        <is>
          <t>2d ed.</t>
        </is>
      </c>
      <c r="Q466" t="inlineStr">
        <is>
          <t>eng</t>
        </is>
      </c>
      <c r="R466" t="inlineStr">
        <is>
          <t>pau</t>
        </is>
      </c>
      <c r="T466" t="inlineStr">
        <is>
          <t xml:space="preserve">QV </t>
        </is>
      </c>
      <c r="U466" t="n">
        <v>7</v>
      </c>
      <c r="V466" t="n">
        <v>7</v>
      </c>
      <c r="W466" t="inlineStr">
        <is>
          <t>1997-10-24</t>
        </is>
      </c>
      <c r="X466" t="inlineStr">
        <is>
          <t>1997-10-24</t>
        </is>
      </c>
      <c r="Y466" t="inlineStr">
        <is>
          <t>1988-02-09</t>
        </is>
      </c>
      <c r="Z466" t="inlineStr">
        <is>
          <t>1988-02-09</t>
        </is>
      </c>
      <c r="AA466" t="n">
        <v>103</v>
      </c>
      <c r="AB466" t="n">
        <v>84</v>
      </c>
      <c r="AC466" t="n">
        <v>142</v>
      </c>
      <c r="AD466" t="n">
        <v>1</v>
      </c>
      <c r="AE466" t="n">
        <v>2</v>
      </c>
      <c r="AF466" t="n">
        <v>3</v>
      </c>
      <c r="AG466" t="n">
        <v>5</v>
      </c>
      <c r="AH466" t="n">
        <v>1</v>
      </c>
      <c r="AI466" t="n">
        <v>1</v>
      </c>
      <c r="AJ466" t="n">
        <v>1</v>
      </c>
      <c r="AK466" t="n">
        <v>1</v>
      </c>
      <c r="AL466" t="n">
        <v>1</v>
      </c>
      <c r="AM466" t="n">
        <v>2</v>
      </c>
      <c r="AN466" t="n">
        <v>0</v>
      </c>
      <c r="AO466" t="n">
        <v>1</v>
      </c>
      <c r="AP466" t="n">
        <v>0</v>
      </c>
      <c r="AQ466" t="n">
        <v>0</v>
      </c>
      <c r="AR466" t="inlineStr">
        <is>
          <t>No</t>
        </is>
      </c>
      <c r="AS466" t="inlineStr">
        <is>
          <t>Yes</t>
        </is>
      </c>
      <c r="AT466">
        <f>HYPERLINK("http://catalog.hathitrust.org/Record/001572903","HathiTrust Record")</f>
        <v/>
      </c>
      <c r="AU466">
        <f>HYPERLINK("https://creighton-primo.hosted.exlibrisgroup.com/primo-explore/search?tab=default_tab&amp;search_scope=EVERYTHING&amp;vid=01CRU&amp;lang=en_US&amp;offset=0&amp;query=any,contains,991000961709702656","Catalog Record")</f>
        <v/>
      </c>
      <c r="AV466">
        <f>HYPERLINK("http://www.worldcat.org/oclc/1558942","WorldCat Record")</f>
        <v/>
      </c>
      <c r="AW466" t="inlineStr">
        <is>
          <t>196102326:eng</t>
        </is>
      </c>
      <c r="AX466" t="inlineStr">
        <is>
          <t>1558942</t>
        </is>
      </c>
      <c r="AY466" t="inlineStr">
        <is>
          <t>991000961709702656</t>
        </is>
      </c>
      <c r="AZ466" t="inlineStr">
        <is>
          <t>991000961709702656</t>
        </is>
      </c>
      <c r="BA466" t="inlineStr">
        <is>
          <t>2266883450002656</t>
        </is>
      </c>
      <c r="BB466" t="inlineStr">
        <is>
          <t>BOOK</t>
        </is>
      </c>
      <c r="BE466" t="inlineStr">
        <is>
          <t>30001000197881</t>
        </is>
      </c>
      <c r="BF466" t="inlineStr">
        <is>
          <t>893557435</t>
        </is>
      </c>
    </row>
    <row r="467">
      <c r="B467" t="inlineStr">
        <is>
          <t>CUHSL</t>
        </is>
      </c>
      <c r="C467" t="inlineStr">
        <is>
          <t>SHELVES</t>
        </is>
      </c>
      <c r="D467" t="inlineStr">
        <is>
          <t>QV 350 P957 1998</t>
        </is>
      </c>
      <c r="E467" t="inlineStr">
        <is>
          <t>0                      QV 0350000P  957         1998</t>
        </is>
      </c>
      <c r="F467" t="inlineStr">
        <is>
          <t>Principles of judicious use of antimicrobial agents : a compendium for the health care professional / American Academy of Pediatrics.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No</t>
        </is>
      </c>
      <c r="L467" t="inlineStr">
        <is>
          <t>0</t>
        </is>
      </c>
      <c r="N467" t="inlineStr">
        <is>
          <t>Elk Grove Village, IL : American Academy of Pediatrics, 1998.</t>
        </is>
      </c>
      <c r="O467" t="inlineStr">
        <is>
          <t>1998</t>
        </is>
      </c>
      <c r="Q467" t="inlineStr">
        <is>
          <t>eng</t>
        </is>
      </c>
      <c r="R467" t="inlineStr">
        <is>
          <t>ilu</t>
        </is>
      </c>
      <c r="T467" t="inlineStr">
        <is>
          <t xml:space="preserve">QV </t>
        </is>
      </c>
      <c r="U467" t="n">
        <v>2</v>
      </c>
      <c r="V467" t="n">
        <v>2</v>
      </c>
      <c r="W467" t="inlineStr">
        <is>
          <t>1999-06-23</t>
        </is>
      </c>
      <c r="X467" t="inlineStr">
        <is>
          <t>1999-06-23</t>
        </is>
      </c>
      <c r="Y467" t="inlineStr">
        <is>
          <t>1999-06-23</t>
        </is>
      </c>
      <c r="Z467" t="inlineStr">
        <is>
          <t>1999-06-23</t>
        </is>
      </c>
      <c r="AA467" t="n">
        <v>65</v>
      </c>
      <c r="AB467" t="n">
        <v>53</v>
      </c>
      <c r="AC467" t="n">
        <v>55</v>
      </c>
      <c r="AD467" t="n">
        <v>1</v>
      </c>
      <c r="AE467" t="n">
        <v>1</v>
      </c>
      <c r="AF467" t="n">
        <v>1</v>
      </c>
      <c r="AG467" t="n">
        <v>1</v>
      </c>
      <c r="AH467" t="n">
        <v>0</v>
      </c>
      <c r="AI467" t="n">
        <v>0</v>
      </c>
      <c r="AJ467" t="n">
        <v>1</v>
      </c>
      <c r="AK467" t="n">
        <v>1</v>
      </c>
      <c r="AL467" t="n">
        <v>1</v>
      </c>
      <c r="AM467" t="n">
        <v>1</v>
      </c>
      <c r="AN467" t="n">
        <v>0</v>
      </c>
      <c r="AO467" t="n">
        <v>0</v>
      </c>
      <c r="AP467" t="n">
        <v>0</v>
      </c>
      <c r="AQ467" t="n">
        <v>0</v>
      </c>
      <c r="AR467" t="inlineStr">
        <is>
          <t>No</t>
        </is>
      </c>
      <c r="AS467" t="inlineStr">
        <is>
          <t>Yes</t>
        </is>
      </c>
      <c r="AT467">
        <f>HYPERLINK("http://catalog.hathitrust.org/Record/004029988","HathiTrust Record")</f>
        <v/>
      </c>
      <c r="AU467">
        <f>HYPERLINK("https://creighton-primo.hosted.exlibrisgroup.com/primo-explore/search?tab=default_tab&amp;search_scope=EVERYTHING&amp;vid=01CRU&amp;lang=en_US&amp;offset=0&amp;query=any,contains,991001550029702656","Catalog Record")</f>
        <v/>
      </c>
      <c r="AV467">
        <f>HYPERLINK("http://www.worldcat.org/oclc/44267945","WorldCat Record")</f>
        <v/>
      </c>
      <c r="AW467" t="inlineStr">
        <is>
          <t>33209524:eng</t>
        </is>
      </c>
      <c r="AX467" t="inlineStr">
        <is>
          <t>44267945</t>
        </is>
      </c>
      <c r="AY467" t="inlineStr">
        <is>
          <t>991001550029702656</t>
        </is>
      </c>
      <c r="AZ467" t="inlineStr">
        <is>
          <t>991001550029702656</t>
        </is>
      </c>
      <c r="BA467" t="inlineStr">
        <is>
          <t>2270361670002656</t>
        </is>
      </c>
      <c r="BB467" t="inlineStr">
        <is>
          <t>BOOK</t>
        </is>
      </c>
      <c r="BD467" t="inlineStr">
        <is>
          <t>9781581100211</t>
        </is>
      </c>
      <c r="BE467" t="inlineStr">
        <is>
          <t>30001004071652</t>
        </is>
      </c>
      <c r="BF467" t="inlineStr">
        <is>
          <t>893149330</t>
        </is>
      </c>
    </row>
    <row r="468">
      <c r="B468" t="inlineStr">
        <is>
          <t>CUHSL</t>
        </is>
      </c>
      <c r="C468" t="inlineStr">
        <is>
          <t>SHELVES</t>
        </is>
      </c>
      <c r="D468" t="inlineStr">
        <is>
          <t>QV350 S215r 1983</t>
        </is>
      </c>
      <c r="E468" t="inlineStr">
        <is>
          <t>0                      QV 0350000S  215r        1983</t>
        </is>
      </c>
      <c r="F468" t="inlineStr">
        <is>
          <t>Resistance to beta-lactam antibiotics : new challenges from old enzymes / Christine C. Sanders.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M468" t="inlineStr">
        <is>
          <t>Sanders, Christine C.</t>
        </is>
      </c>
      <c r="N468" t="inlineStr">
        <is>
          <t>Kalamazoo, MI : Upjohn Co., c1983.</t>
        </is>
      </c>
      <c r="O468" t="inlineStr">
        <is>
          <t>1983</t>
        </is>
      </c>
      <c r="Q468" t="inlineStr">
        <is>
          <t>eng</t>
        </is>
      </c>
      <c r="R468" t="inlineStr">
        <is>
          <t>miu</t>
        </is>
      </c>
      <c r="T468" t="inlineStr">
        <is>
          <t xml:space="preserve">QV </t>
        </is>
      </c>
      <c r="U468" t="n">
        <v>4</v>
      </c>
      <c r="V468" t="n">
        <v>4</v>
      </c>
      <c r="W468" t="inlineStr">
        <is>
          <t>1999-10-12</t>
        </is>
      </c>
      <c r="X468" t="inlineStr">
        <is>
          <t>1999-10-12</t>
        </is>
      </c>
      <c r="Y468" t="inlineStr">
        <is>
          <t>1988-02-09</t>
        </is>
      </c>
      <c r="Z468" t="inlineStr">
        <is>
          <t>1988-02-09</t>
        </is>
      </c>
      <c r="AA468" t="n">
        <v>1</v>
      </c>
      <c r="AB468" t="n">
        <v>1</v>
      </c>
      <c r="AC468" t="n">
        <v>1</v>
      </c>
      <c r="AD468" t="n">
        <v>1</v>
      </c>
      <c r="AE468" t="n">
        <v>1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inlineStr">
        <is>
          <t>No</t>
        </is>
      </c>
      <c r="AS468" t="inlineStr">
        <is>
          <t>No</t>
        </is>
      </c>
      <c r="AU468">
        <f>HYPERLINK("https://creighton-primo.hosted.exlibrisgroup.com/primo-explore/search?tab=default_tab&amp;search_scope=EVERYTHING&amp;vid=01CRU&amp;lang=en_US&amp;offset=0&amp;query=any,contains,991001276909702656","Catalog Record")</f>
        <v/>
      </c>
      <c r="AV468">
        <f>HYPERLINK("http://www.worldcat.org/oclc/16416478","WorldCat Record")</f>
        <v/>
      </c>
      <c r="AW468" t="inlineStr">
        <is>
          <t>12215258:eng</t>
        </is>
      </c>
      <c r="AX468" t="inlineStr">
        <is>
          <t>16416478</t>
        </is>
      </c>
      <c r="AY468" t="inlineStr">
        <is>
          <t>991001276909702656</t>
        </is>
      </c>
      <c r="AZ468" t="inlineStr">
        <is>
          <t>991001276909702656</t>
        </is>
      </c>
      <c r="BA468" t="inlineStr">
        <is>
          <t>2260874320002656</t>
        </is>
      </c>
      <c r="BB468" t="inlineStr">
        <is>
          <t>BOOK</t>
        </is>
      </c>
      <c r="BE468" t="inlineStr">
        <is>
          <t>30001000359697</t>
        </is>
      </c>
      <c r="BF468" t="inlineStr">
        <is>
          <t>893278923</t>
        </is>
      </c>
    </row>
    <row r="469">
      <c r="B469" t="inlineStr">
        <is>
          <t>CUHSL</t>
        </is>
      </c>
      <c r="C469" t="inlineStr">
        <is>
          <t>SHELVES</t>
        </is>
      </c>
      <c r="D469" t="inlineStr">
        <is>
          <t>QV 350 W111a 1983</t>
        </is>
      </c>
      <c r="E469" t="inlineStr">
        <is>
          <t>0                      QV 0350000W  111a        1983</t>
        </is>
      </c>
      <c r="F469" t="inlineStr">
        <is>
          <t>Antibiotic choice : the importance of colonisation resistance / Dirk van der Waaij.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Waaij, Dirk van der, 1931-</t>
        </is>
      </c>
      <c r="N469" t="inlineStr">
        <is>
          <t>Chichester ; New York : Research Studies Press, c1983.</t>
        </is>
      </c>
      <c r="O469" t="inlineStr">
        <is>
          <t>1983</t>
        </is>
      </c>
      <c r="Q469" t="inlineStr">
        <is>
          <t>eng</t>
        </is>
      </c>
      <c r="R469" t="inlineStr">
        <is>
          <t>enk</t>
        </is>
      </c>
      <c r="S469" t="inlineStr">
        <is>
          <t>Antimicrobial chemotherapy series ; 5</t>
        </is>
      </c>
      <c r="T469" t="inlineStr">
        <is>
          <t xml:space="preserve">QV </t>
        </is>
      </c>
      <c r="U469" t="n">
        <v>5</v>
      </c>
      <c r="V469" t="n">
        <v>5</v>
      </c>
      <c r="W469" t="inlineStr">
        <is>
          <t>1998-10-11</t>
        </is>
      </c>
      <c r="X469" t="inlineStr">
        <is>
          <t>1998-10-11</t>
        </is>
      </c>
      <c r="Y469" t="inlineStr">
        <is>
          <t>1988-02-09</t>
        </is>
      </c>
      <c r="Z469" t="inlineStr">
        <is>
          <t>1988-02-09</t>
        </is>
      </c>
      <c r="AA469" t="n">
        <v>87</v>
      </c>
      <c r="AB469" t="n">
        <v>58</v>
      </c>
      <c r="AC469" t="n">
        <v>60</v>
      </c>
      <c r="AD469" t="n">
        <v>1</v>
      </c>
      <c r="AE469" t="n">
        <v>1</v>
      </c>
      <c r="AF469" t="n">
        <v>2</v>
      </c>
      <c r="AG469" t="n">
        <v>2</v>
      </c>
      <c r="AH469" t="n">
        <v>1</v>
      </c>
      <c r="AI469" t="n">
        <v>1</v>
      </c>
      <c r="AJ469" t="n">
        <v>1</v>
      </c>
      <c r="AK469" t="n">
        <v>1</v>
      </c>
      <c r="AL469" t="n">
        <v>1</v>
      </c>
      <c r="AM469" t="n">
        <v>1</v>
      </c>
      <c r="AN469" t="n">
        <v>0</v>
      </c>
      <c r="AO469" t="n">
        <v>0</v>
      </c>
      <c r="AP469" t="n">
        <v>0</v>
      </c>
      <c r="AQ469" t="n">
        <v>0</v>
      </c>
      <c r="AR469" t="inlineStr">
        <is>
          <t>No</t>
        </is>
      </c>
      <c r="AS469" t="inlineStr">
        <is>
          <t>Yes</t>
        </is>
      </c>
      <c r="AT469">
        <f>HYPERLINK("http://catalog.hathitrust.org/Record/000461913","HathiTrust Record")</f>
        <v/>
      </c>
      <c r="AU469">
        <f>HYPERLINK("https://creighton-primo.hosted.exlibrisgroup.com/primo-explore/search?tab=default_tab&amp;search_scope=EVERYTHING&amp;vid=01CRU&amp;lang=en_US&amp;offset=0&amp;query=any,contains,991000962509702656","Catalog Record")</f>
        <v/>
      </c>
      <c r="AV469">
        <f>HYPERLINK("http://www.worldcat.org/oclc/10174746","WorldCat Record")</f>
        <v/>
      </c>
      <c r="AW469" t="inlineStr">
        <is>
          <t>3237212:eng</t>
        </is>
      </c>
      <c r="AX469" t="inlineStr">
        <is>
          <t>10174746</t>
        </is>
      </c>
      <c r="AY469" t="inlineStr">
        <is>
          <t>991000962509702656</t>
        </is>
      </c>
      <c r="AZ469" t="inlineStr">
        <is>
          <t>991000962509702656</t>
        </is>
      </c>
      <c r="BA469" t="inlineStr">
        <is>
          <t>2268295030002656</t>
        </is>
      </c>
      <c r="BB469" t="inlineStr">
        <is>
          <t>BOOK</t>
        </is>
      </c>
      <c r="BD469" t="inlineStr">
        <is>
          <t>9780471901655</t>
        </is>
      </c>
      <c r="BE469" t="inlineStr">
        <is>
          <t>30001000198285</t>
        </is>
      </c>
      <c r="BF469" t="inlineStr">
        <is>
          <t>893560790</t>
        </is>
      </c>
    </row>
    <row r="470">
      <c r="B470" t="inlineStr">
        <is>
          <t>CUHSL</t>
        </is>
      </c>
      <c r="C470" t="inlineStr">
        <is>
          <t>SHELVES</t>
        </is>
      </c>
      <c r="D470" t="inlineStr">
        <is>
          <t>QV 350 W439a 1951</t>
        </is>
      </c>
      <c r="E470" t="inlineStr">
        <is>
          <t>0                      QV 0350000W  439a        1951</t>
        </is>
      </c>
      <c r="F470" t="inlineStr">
        <is>
          <t>Antibiotic therapy / by Henry Welch and Charles N. Lewis ; Foreword by Chester S. Keefer.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Welch, Henry, 1902-</t>
        </is>
      </c>
      <c r="N470" t="inlineStr">
        <is>
          <t>Washington : Arundel Press, 1951</t>
        </is>
      </c>
      <c r="O470" t="inlineStr">
        <is>
          <t>1951</t>
        </is>
      </c>
      <c r="Q470" t="inlineStr">
        <is>
          <t>eng</t>
        </is>
      </c>
      <c r="R470" t="inlineStr">
        <is>
          <t>dcu</t>
        </is>
      </c>
      <c r="T470" t="inlineStr">
        <is>
          <t xml:space="preserve">QV </t>
        </is>
      </c>
      <c r="U470" t="n">
        <v>1</v>
      </c>
      <c r="V470" t="n">
        <v>1</v>
      </c>
      <c r="W470" t="inlineStr">
        <is>
          <t>1997-09-28</t>
        </is>
      </c>
      <c r="X470" t="inlineStr">
        <is>
          <t>1997-09-28</t>
        </is>
      </c>
      <c r="Y470" t="inlineStr">
        <is>
          <t>1988-03-24</t>
        </is>
      </c>
      <c r="Z470" t="inlineStr">
        <is>
          <t>1988-03-24</t>
        </is>
      </c>
      <c r="AA470" t="n">
        <v>78</v>
      </c>
      <c r="AB470" t="n">
        <v>71</v>
      </c>
      <c r="AC470" t="n">
        <v>105</v>
      </c>
      <c r="AD470" t="n">
        <v>2</v>
      </c>
      <c r="AE470" t="n">
        <v>2</v>
      </c>
      <c r="AF470" t="n">
        <v>1</v>
      </c>
      <c r="AG470" t="n">
        <v>3</v>
      </c>
      <c r="AH470" t="n">
        <v>0</v>
      </c>
      <c r="AI470" t="n">
        <v>0</v>
      </c>
      <c r="AJ470" t="n">
        <v>0</v>
      </c>
      <c r="AK470" t="n">
        <v>1</v>
      </c>
      <c r="AL470" t="n">
        <v>0</v>
      </c>
      <c r="AM470" t="n">
        <v>1</v>
      </c>
      <c r="AN470" t="n">
        <v>1</v>
      </c>
      <c r="AO470" t="n">
        <v>1</v>
      </c>
      <c r="AP470" t="n">
        <v>0</v>
      </c>
      <c r="AQ470" t="n">
        <v>0</v>
      </c>
      <c r="AR470" t="inlineStr">
        <is>
          <t>Yes</t>
        </is>
      </c>
      <c r="AS470" t="inlineStr">
        <is>
          <t>No</t>
        </is>
      </c>
      <c r="AT470">
        <f>HYPERLINK("http://catalog.hathitrust.org/Record/001572908","HathiTrust Record")</f>
        <v/>
      </c>
      <c r="AU470">
        <f>HYPERLINK("https://creighton-primo.hosted.exlibrisgroup.com/primo-explore/search?tab=default_tab&amp;search_scope=EVERYTHING&amp;vid=01CRU&amp;lang=en_US&amp;offset=0&amp;query=any,contains,991000962449702656","Catalog Record")</f>
        <v/>
      </c>
      <c r="AV470">
        <f>HYPERLINK("http://www.worldcat.org/oclc/3199443","WorldCat Record")</f>
        <v/>
      </c>
      <c r="AW470" t="inlineStr">
        <is>
          <t>288197784:eng</t>
        </is>
      </c>
      <c r="AX470" t="inlineStr">
        <is>
          <t>3199443</t>
        </is>
      </c>
      <c r="AY470" t="inlineStr">
        <is>
          <t>991000962449702656</t>
        </is>
      </c>
      <c r="AZ470" t="inlineStr">
        <is>
          <t>991000962449702656</t>
        </is>
      </c>
      <c r="BA470" t="inlineStr">
        <is>
          <t>2262174300002656</t>
        </is>
      </c>
      <c r="BB470" t="inlineStr">
        <is>
          <t>BOOK</t>
        </is>
      </c>
      <c r="BE470" t="inlineStr">
        <is>
          <t>30001000198251</t>
        </is>
      </c>
      <c r="BF470" t="inlineStr">
        <is>
          <t>893831786</t>
        </is>
      </c>
    </row>
    <row r="471">
      <c r="B471" t="inlineStr">
        <is>
          <t>CUHSL</t>
        </is>
      </c>
      <c r="C471" t="inlineStr">
        <is>
          <t>SHELVES</t>
        </is>
      </c>
      <c r="D471" t="inlineStr">
        <is>
          <t>QV 350 WH38p 1954</t>
        </is>
      </c>
      <c r="E471" t="inlineStr">
        <is>
          <t>0                      QV 0350000WH 38p         1954</t>
        </is>
      </c>
      <c r="F471" t="inlineStr">
        <is>
          <t>Principles and practice of antibiotic therapy / by Henry Welch in collaboration with [Alson E.] Braley [and others] Specially edited by Félix Martí-Ibáñex.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M471" t="inlineStr">
        <is>
          <t>Welch, Henry, 1902-</t>
        </is>
      </c>
      <c r="N471" t="inlineStr">
        <is>
          <t>New York : Medical Encyclopedia, Inc.; distributed by Blakiston Co., 1954.</t>
        </is>
      </c>
      <c r="O471" t="inlineStr">
        <is>
          <t>1954</t>
        </is>
      </c>
      <c r="Q471" t="inlineStr">
        <is>
          <t>eng</t>
        </is>
      </c>
      <c r="R471" t="inlineStr">
        <is>
          <t>nyu</t>
        </is>
      </c>
      <c r="T471" t="inlineStr">
        <is>
          <t xml:space="preserve">QV </t>
        </is>
      </c>
      <c r="U471" t="n">
        <v>5</v>
      </c>
      <c r="V471" t="n">
        <v>5</v>
      </c>
      <c r="W471" t="inlineStr">
        <is>
          <t>1992-11-30</t>
        </is>
      </c>
      <c r="X471" t="inlineStr">
        <is>
          <t>1992-11-30</t>
        </is>
      </c>
      <c r="Y471" t="inlineStr">
        <is>
          <t>1988-03-24</t>
        </is>
      </c>
      <c r="Z471" t="inlineStr">
        <is>
          <t>1988-03-24</t>
        </is>
      </c>
      <c r="AA471" t="n">
        <v>148</v>
      </c>
      <c r="AB471" t="n">
        <v>113</v>
      </c>
      <c r="AC471" t="n">
        <v>115</v>
      </c>
      <c r="AD471" t="n">
        <v>2</v>
      </c>
      <c r="AE471" t="n">
        <v>2</v>
      </c>
      <c r="AF471" t="n">
        <v>6</v>
      </c>
      <c r="AG471" t="n">
        <v>6</v>
      </c>
      <c r="AH471" t="n">
        <v>3</v>
      </c>
      <c r="AI471" t="n">
        <v>3</v>
      </c>
      <c r="AJ471" t="n">
        <v>1</v>
      </c>
      <c r="AK471" t="n">
        <v>1</v>
      </c>
      <c r="AL471" t="n">
        <v>3</v>
      </c>
      <c r="AM471" t="n">
        <v>3</v>
      </c>
      <c r="AN471" t="n">
        <v>1</v>
      </c>
      <c r="AO471" t="n">
        <v>1</v>
      </c>
      <c r="AP471" t="n">
        <v>0</v>
      </c>
      <c r="AQ471" t="n">
        <v>0</v>
      </c>
      <c r="AR471" t="inlineStr">
        <is>
          <t>No</t>
        </is>
      </c>
      <c r="AS471" t="inlineStr">
        <is>
          <t>No</t>
        </is>
      </c>
      <c r="AT471">
        <f>HYPERLINK("http://catalog.hathitrust.org/Record/001572909","HathiTrust Record")</f>
        <v/>
      </c>
      <c r="AU471">
        <f>HYPERLINK("https://creighton-primo.hosted.exlibrisgroup.com/primo-explore/search?tab=default_tab&amp;search_scope=EVERYTHING&amp;vid=01CRU&amp;lang=en_US&amp;offset=0&amp;query=any,contains,991000962419702656","Catalog Record")</f>
        <v/>
      </c>
      <c r="AV471">
        <f>HYPERLINK("http://www.worldcat.org/oclc/2392199","WorldCat Record")</f>
        <v/>
      </c>
      <c r="AW471" t="inlineStr">
        <is>
          <t>229700322:eng</t>
        </is>
      </c>
      <c r="AX471" t="inlineStr">
        <is>
          <t>2392199</t>
        </is>
      </c>
      <c r="AY471" t="inlineStr">
        <is>
          <t>991000962419702656</t>
        </is>
      </c>
      <c r="AZ471" t="inlineStr">
        <is>
          <t>991000962419702656</t>
        </is>
      </c>
      <c r="BA471" t="inlineStr">
        <is>
          <t>2268825840002656</t>
        </is>
      </c>
      <c r="BB471" t="inlineStr">
        <is>
          <t>BOOK</t>
        </is>
      </c>
      <c r="BE471" t="inlineStr">
        <is>
          <t>30001000198244</t>
        </is>
      </c>
      <c r="BF471" t="inlineStr">
        <is>
          <t>893831785</t>
        </is>
      </c>
    </row>
    <row r="472">
      <c r="B472" t="inlineStr">
        <is>
          <t>CUHSL</t>
        </is>
      </c>
      <c r="C472" t="inlineStr">
        <is>
          <t>SHELVES</t>
        </is>
      </c>
      <c r="D472" t="inlineStr">
        <is>
          <t>QV 354 A127r 1945</t>
        </is>
      </c>
      <c r="E472" t="inlineStr">
        <is>
          <t>0                      QV 0354000A  127r        1945</t>
        </is>
      </c>
      <c r="F472" t="inlineStr">
        <is>
          <t>A review of the present information concerning penicillin / Abbott Laboratories.</t>
        </is>
      </c>
      <c r="H472" t="inlineStr">
        <is>
          <t>No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M472" t="inlineStr">
        <is>
          <t>Abbott Laboratories.</t>
        </is>
      </c>
      <c r="N472" t="inlineStr">
        <is>
          <t>North Chicago, IL. : Abbott Laboratories, c1945.</t>
        </is>
      </c>
      <c r="O472" t="inlineStr">
        <is>
          <t>1945</t>
        </is>
      </c>
      <c r="P472" t="inlineStr">
        <is>
          <t>Completely rev. ed.</t>
        </is>
      </c>
      <c r="Q472" t="inlineStr">
        <is>
          <t>eng</t>
        </is>
      </c>
      <c r="R472" t="inlineStr">
        <is>
          <t>ilu</t>
        </is>
      </c>
      <c r="T472" t="inlineStr">
        <is>
          <t xml:space="preserve">QV </t>
        </is>
      </c>
      <c r="U472" t="n">
        <v>5</v>
      </c>
      <c r="V472" t="n">
        <v>5</v>
      </c>
      <c r="W472" t="inlineStr">
        <is>
          <t>2000-01-22</t>
        </is>
      </c>
      <c r="X472" t="inlineStr">
        <is>
          <t>2000-01-22</t>
        </is>
      </c>
      <c r="Y472" t="inlineStr">
        <is>
          <t>1988-02-09</t>
        </is>
      </c>
      <c r="Z472" t="inlineStr">
        <is>
          <t>1988-02-09</t>
        </is>
      </c>
      <c r="AA472" t="n">
        <v>24</v>
      </c>
      <c r="AB472" t="n">
        <v>22</v>
      </c>
      <c r="AC472" t="n">
        <v>65</v>
      </c>
      <c r="AD472" t="n">
        <v>1</v>
      </c>
      <c r="AE472" t="n">
        <v>1</v>
      </c>
      <c r="AF472" t="n">
        <v>0</v>
      </c>
      <c r="AG472" t="n">
        <v>2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2</v>
      </c>
      <c r="AN472" t="n">
        <v>0</v>
      </c>
      <c r="AO472" t="n">
        <v>0</v>
      </c>
      <c r="AP472" t="n">
        <v>0</v>
      </c>
      <c r="AQ472" t="n">
        <v>0</v>
      </c>
      <c r="AR472" t="inlineStr">
        <is>
          <t>No</t>
        </is>
      </c>
      <c r="AS472" t="inlineStr">
        <is>
          <t>No</t>
        </is>
      </c>
      <c r="AU472">
        <f>HYPERLINK("https://creighton-primo.hosted.exlibrisgroup.com/primo-explore/search?tab=default_tab&amp;search_scope=EVERYTHING&amp;vid=01CRU&amp;lang=en_US&amp;offset=0&amp;query=any,contains,991000962379702656","Catalog Record")</f>
        <v/>
      </c>
      <c r="AV472">
        <f>HYPERLINK("http://www.worldcat.org/oclc/2108511","WorldCat Record")</f>
        <v/>
      </c>
      <c r="AW472" t="inlineStr">
        <is>
          <t>2931532:eng</t>
        </is>
      </c>
      <c r="AX472" t="inlineStr">
        <is>
          <t>2108511</t>
        </is>
      </c>
      <c r="AY472" t="inlineStr">
        <is>
          <t>991000962379702656</t>
        </is>
      </c>
      <c r="AZ472" t="inlineStr">
        <is>
          <t>991000962379702656</t>
        </is>
      </c>
      <c r="BA472" t="inlineStr">
        <is>
          <t>2257419160002656</t>
        </is>
      </c>
      <c r="BB472" t="inlineStr">
        <is>
          <t>BOOK</t>
        </is>
      </c>
      <c r="BE472" t="inlineStr">
        <is>
          <t>30001000198236</t>
        </is>
      </c>
      <c r="BF472" t="inlineStr">
        <is>
          <t>893465050</t>
        </is>
      </c>
    </row>
    <row r="473">
      <c r="B473" t="inlineStr">
        <is>
          <t>CUHSL</t>
        </is>
      </c>
      <c r="C473" t="inlineStr">
        <is>
          <t>SHELVES</t>
        </is>
      </c>
      <c r="D473" t="inlineStr">
        <is>
          <t>QV 354 F598p 1946</t>
        </is>
      </c>
      <c r="E473" t="inlineStr">
        <is>
          <t>0                      QV 0354000F  598p        1946</t>
        </is>
      </c>
      <c r="F473" t="inlineStr">
        <is>
          <t>Penicillin : its practical application / under the general editorship of Professor Sir Alexander Fleming.</t>
        </is>
      </c>
      <c r="H473" t="inlineStr">
        <is>
          <t>No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M473" t="inlineStr">
        <is>
          <t>Fleming, Alexander, Sir, 1881-1955 editor.</t>
        </is>
      </c>
      <c r="N473" t="inlineStr">
        <is>
          <t>Philadelphia : Blakiston, 1946.</t>
        </is>
      </c>
      <c r="O473" t="inlineStr">
        <is>
          <t>1946</t>
        </is>
      </c>
      <c r="Q473" t="inlineStr">
        <is>
          <t>eng</t>
        </is>
      </c>
      <c r="R473" t="inlineStr">
        <is>
          <t xml:space="preserve">xx </t>
        </is>
      </c>
      <c r="T473" t="inlineStr">
        <is>
          <t xml:space="preserve">QV </t>
        </is>
      </c>
      <c r="U473" t="n">
        <v>3</v>
      </c>
      <c r="V473" t="n">
        <v>3</v>
      </c>
      <c r="W473" t="inlineStr">
        <is>
          <t>2000-01-22</t>
        </is>
      </c>
      <c r="X473" t="inlineStr">
        <is>
          <t>2000-01-22</t>
        </is>
      </c>
      <c r="Y473" t="inlineStr">
        <is>
          <t>1988-02-09</t>
        </is>
      </c>
      <c r="Z473" t="inlineStr">
        <is>
          <t>1988-02-09</t>
        </is>
      </c>
      <c r="AA473" t="n">
        <v>144</v>
      </c>
      <c r="AB473" t="n">
        <v>128</v>
      </c>
      <c r="AC473" t="n">
        <v>230</v>
      </c>
      <c r="AD473" t="n">
        <v>2</v>
      </c>
      <c r="AE473" t="n">
        <v>2</v>
      </c>
      <c r="AF473" t="n">
        <v>7</v>
      </c>
      <c r="AG473" t="n">
        <v>9</v>
      </c>
      <c r="AH473" t="n">
        <v>2</v>
      </c>
      <c r="AI473" t="n">
        <v>3</v>
      </c>
      <c r="AJ473" t="n">
        <v>2</v>
      </c>
      <c r="AK473" t="n">
        <v>2</v>
      </c>
      <c r="AL473" t="n">
        <v>3</v>
      </c>
      <c r="AM473" t="n">
        <v>4</v>
      </c>
      <c r="AN473" t="n">
        <v>1</v>
      </c>
      <c r="AO473" t="n">
        <v>1</v>
      </c>
      <c r="AP473" t="n">
        <v>0</v>
      </c>
      <c r="AQ473" t="n">
        <v>0</v>
      </c>
      <c r="AR473" t="inlineStr">
        <is>
          <t>No</t>
        </is>
      </c>
      <c r="AS473" t="inlineStr">
        <is>
          <t>No</t>
        </is>
      </c>
      <c r="AU473">
        <f>HYPERLINK("https://creighton-primo.hosted.exlibrisgroup.com/primo-explore/search?tab=default_tab&amp;search_scope=EVERYTHING&amp;vid=01CRU&amp;lang=en_US&amp;offset=0&amp;query=any,contains,991000962299702656","Catalog Record")</f>
        <v/>
      </c>
      <c r="AV473">
        <f>HYPERLINK("http://www.worldcat.org/oclc/3251217","WorldCat Record")</f>
        <v/>
      </c>
      <c r="AW473" t="inlineStr">
        <is>
          <t>356202898:eng</t>
        </is>
      </c>
      <c r="AX473" t="inlineStr">
        <is>
          <t>3251217</t>
        </is>
      </c>
      <c r="AY473" t="inlineStr">
        <is>
          <t>991000962299702656</t>
        </is>
      </c>
      <c r="AZ473" t="inlineStr">
        <is>
          <t>991000962299702656</t>
        </is>
      </c>
      <c r="BA473" t="inlineStr">
        <is>
          <t>2256886950002656</t>
        </is>
      </c>
      <c r="BB473" t="inlineStr">
        <is>
          <t>BOOK</t>
        </is>
      </c>
      <c r="BE473" t="inlineStr">
        <is>
          <t>30001000198210</t>
        </is>
      </c>
      <c r="BF473" t="inlineStr">
        <is>
          <t>893643081</t>
        </is>
      </c>
    </row>
    <row r="474">
      <c r="B474" t="inlineStr">
        <is>
          <t>CUHSL</t>
        </is>
      </c>
      <c r="C474" t="inlineStr">
        <is>
          <t>SHELVES</t>
        </is>
      </c>
      <c r="D474" t="inlineStr">
        <is>
          <t>QV 354 H564p 1945</t>
        </is>
      </c>
      <c r="E474" t="inlineStr">
        <is>
          <t>0                      QV 0354000H  564p        1945</t>
        </is>
      </c>
      <c r="F474" t="inlineStr">
        <is>
          <t>Penicillin and other antibiotic agents / by Wallace E. Herrell.</t>
        </is>
      </c>
      <c r="H474" t="inlineStr">
        <is>
          <t>No</t>
        </is>
      </c>
      <c r="I474" t="inlineStr">
        <is>
          <t>1</t>
        </is>
      </c>
      <c r="J474" t="inlineStr">
        <is>
          <t>No</t>
        </is>
      </c>
      <c r="K474" t="inlineStr">
        <is>
          <t>No</t>
        </is>
      </c>
      <c r="L474" t="inlineStr">
        <is>
          <t>0</t>
        </is>
      </c>
      <c r="M474" t="inlineStr">
        <is>
          <t>Herrell, Wallace Edgar.</t>
        </is>
      </c>
      <c r="N474" t="inlineStr">
        <is>
          <t>Philadelphia : Saunders, c1945.</t>
        </is>
      </c>
      <c r="O474" t="inlineStr">
        <is>
          <t>1945</t>
        </is>
      </c>
      <c r="Q474" t="inlineStr">
        <is>
          <t>eng</t>
        </is>
      </c>
      <c r="R474" t="inlineStr">
        <is>
          <t>pau</t>
        </is>
      </c>
      <c r="T474" t="inlineStr">
        <is>
          <t xml:space="preserve">QV </t>
        </is>
      </c>
      <c r="U474" t="n">
        <v>6</v>
      </c>
      <c r="V474" t="n">
        <v>6</v>
      </c>
      <c r="W474" t="inlineStr">
        <is>
          <t>2000-01-22</t>
        </is>
      </c>
      <c r="X474" t="inlineStr">
        <is>
          <t>2000-01-22</t>
        </is>
      </c>
      <c r="Y474" t="inlineStr">
        <is>
          <t>1988-02-09</t>
        </is>
      </c>
      <c r="Z474" t="inlineStr">
        <is>
          <t>1988-02-09</t>
        </is>
      </c>
      <c r="AA474" t="n">
        <v>198</v>
      </c>
      <c r="AB474" t="n">
        <v>155</v>
      </c>
      <c r="AC474" t="n">
        <v>195</v>
      </c>
      <c r="AD474" t="n">
        <v>3</v>
      </c>
      <c r="AE474" t="n">
        <v>3</v>
      </c>
      <c r="AF474" t="n">
        <v>6</v>
      </c>
      <c r="AG474" t="n">
        <v>6</v>
      </c>
      <c r="AH474" t="n">
        <v>2</v>
      </c>
      <c r="AI474" t="n">
        <v>2</v>
      </c>
      <c r="AJ474" t="n">
        <v>1</v>
      </c>
      <c r="AK474" t="n">
        <v>1</v>
      </c>
      <c r="AL474" t="n">
        <v>1</v>
      </c>
      <c r="AM474" t="n">
        <v>1</v>
      </c>
      <c r="AN474" t="n">
        <v>2</v>
      </c>
      <c r="AO474" t="n">
        <v>2</v>
      </c>
      <c r="AP474" t="n">
        <v>0</v>
      </c>
      <c r="AQ474" t="n">
        <v>0</v>
      </c>
      <c r="AR474" t="inlineStr">
        <is>
          <t>Yes</t>
        </is>
      </c>
      <c r="AS474" t="inlineStr">
        <is>
          <t>No</t>
        </is>
      </c>
      <c r="AT474">
        <f>HYPERLINK("http://catalog.hathitrust.org/Record/001582133","HathiTrust Record")</f>
        <v/>
      </c>
      <c r="AU474">
        <f>HYPERLINK("https://creighton-primo.hosted.exlibrisgroup.com/primo-explore/search?tab=default_tab&amp;search_scope=EVERYTHING&amp;vid=01CRU&amp;lang=en_US&amp;offset=0&amp;query=any,contains,991000962339702656","Catalog Record")</f>
        <v/>
      </c>
      <c r="AV474">
        <f>HYPERLINK("http://www.worldcat.org/oclc/3641644","WorldCat Record")</f>
        <v/>
      </c>
      <c r="AW474" t="inlineStr">
        <is>
          <t>158682936:eng</t>
        </is>
      </c>
      <c r="AX474" t="inlineStr">
        <is>
          <t>3641644</t>
        </is>
      </c>
      <c r="AY474" t="inlineStr">
        <is>
          <t>991000962339702656</t>
        </is>
      </c>
      <c r="AZ474" t="inlineStr">
        <is>
          <t>991000962339702656</t>
        </is>
      </c>
      <c r="BA474" t="inlineStr">
        <is>
          <t>2260351260002656</t>
        </is>
      </c>
      <c r="BB474" t="inlineStr">
        <is>
          <t>BOOK</t>
        </is>
      </c>
      <c r="BE474" t="inlineStr">
        <is>
          <t>30001000198202</t>
        </is>
      </c>
      <c r="BF474" t="inlineStr">
        <is>
          <t>893557436</t>
        </is>
      </c>
    </row>
    <row r="475">
      <c r="B475" t="inlineStr">
        <is>
          <t>CUHSL</t>
        </is>
      </c>
      <c r="C475" t="inlineStr">
        <is>
          <t>SHELVES</t>
        </is>
      </c>
      <c r="D475" t="inlineStr">
        <is>
          <t>QV 354 N277c 1949</t>
        </is>
      </c>
      <c r="E475" t="inlineStr">
        <is>
          <t>0                      QV 0354000N  277c        1949</t>
        </is>
      </c>
      <c r="F475" t="inlineStr">
        <is>
          <t>The chemistry of penicillin : report on a collaborative investigation by American and British chemists under the joint sponsorship of the Office of Scientific Research and Development, Washington, D.C., and the Medical Research Council, London / Comp. under the auspices of the National Academy of Sciences, Washington, D.C., pursuant to a contract with the Office of Scientific Research and Development. Editorial Board: Hans T. Clarke, John R. Johnson, Sir Robert Robinson.</t>
        </is>
      </c>
      <c r="H475" t="inlineStr">
        <is>
          <t>No</t>
        </is>
      </c>
      <c r="I475" t="inlineStr">
        <is>
          <t>1</t>
        </is>
      </c>
      <c r="J475" t="inlineStr">
        <is>
          <t>No</t>
        </is>
      </c>
      <c r="K475" t="inlineStr">
        <is>
          <t>No</t>
        </is>
      </c>
      <c r="L475" t="inlineStr">
        <is>
          <t>1</t>
        </is>
      </c>
      <c r="M475" t="inlineStr">
        <is>
          <t>National Academy of Sciences (U.S.).</t>
        </is>
      </c>
      <c r="N475" t="inlineStr">
        <is>
          <t>Princeton : Princeton Univ. Press, c1949.</t>
        </is>
      </c>
      <c r="O475" t="inlineStr">
        <is>
          <t>1949</t>
        </is>
      </c>
      <c r="Q475" t="inlineStr">
        <is>
          <t>eng</t>
        </is>
      </c>
      <c r="R475" t="inlineStr">
        <is>
          <t>nju</t>
        </is>
      </c>
      <c r="T475" t="inlineStr">
        <is>
          <t xml:space="preserve">QV </t>
        </is>
      </c>
      <c r="U475" t="n">
        <v>4</v>
      </c>
      <c r="V475" t="n">
        <v>4</v>
      </c>
      <c r="W475" t="inlineStr">
        <is>
          <t>2000-01-20</t>
        </is>
      </c>
      <c r="X475" t="inlineStr">
        <is>
          <t>2000-01-20</t>
        </is>
      </c>
      <c r="Y475" t="inlineStr">
        <is>
          <t>1988-02-09</t>
        </is>
      </c>
      <c r="Z475" t="inlineStr">
        <is>
          <t>1988-02-09</t>
        </is>
      </c>
      <c r="AA475" t="n">
        <v>344</v>
      </c>
      <c r="AB475" t="n">
        <v>297</v>
      </c>
      <c r="AC475" t="n">
        <v>306</v>
      </c>
      <c r="AD475" t="n">
        <v>2</v>
      </c>
      <c r="AE475" t="n">
        <v>2</v>
      </c>
      <c r="AF475" t="n">
        <v>12</v>
      </c>
      <c r="AG475" t="n">
        <v>12</v>
      </c>
      <c r="AH475" t="n">
        <v>3</v>
      </c>
      <c r="AI475" t="n">
        <v>3</v>
      </c>
      <c r="AJ475" t="n">
        <v>3</v>
      </c>
      <c r="AK475" t="n">
        <v>3</v>
      </c>
      <c r="AL475" t="n">
        <v>7</v>
      </c>
      <c r="AM475" t="n">
        <v>7</v>
      </c>
      <c r="AN475" t="n">
        <v>1</v>
      </c>
      <c r="AO475" t="n">
        <v>1</v>
      </c>
      <c r="AP475" t="n">
        <v>0</v>
      </c>
      <c r="AQ475" t="n">
        <v>0</v>
      </c>
      <c r="AR475" t="inlineStr">
        <is>
          <t>No</t>
        </is>
      </c>
      <c r="AS475" t="inlineStr">
        <is>
          <t>No</t>
        </is>
      </c>
      <c r="AT475">
        <f>HYPERLINK("http://catalog.hathitrust.org/Record/002089704","HathiTrust Record")</f>
        <v/>
      </c>
      <c r="AU475">
        <f>HYPERLINK("https://creighton-primo.hosted.exlibrisgroup.com/primo-explore/search?tab=default_tab&amp;search_scope=EVERYTHING&amp;vid=01CRU&amp;lang=en_US&amp;offset=0&amp;query=any,contains,991000962239702656","Catalog Record")</f>
        <v/>
      </c>
      <c r="AV475">
        <f>HYPERLINK("http://www.worldcat.org/oclc/14646149","WorldCat Record")</f>
        <v/>
      </c>
      <c r="AW475" t="inlineStr">
        <is>
          <t>4916486565:eng</t>
        </is>
      </c>
      <c r="AX475" t="inlineStr">
        <is>
          <t>14646149</t>
        </is>
      </c>
      <c r="AY475" t="inlineStr">
        <is>
          <t>991000962239702656</t>
        </is>
      </c>
      <c r="AZ475" t="inlineStr">
        <is>
          <t>991000962239702656</t>
        </is>
      </c>
      <c r="BA475" t="inlineStr">
        <is>
          <t>2262203690002656</t>
        </is>
      </c>
      <c r="BB475" t="inlineStr">
        <is>
          <t>BOOK</t>
        </is>
      </c>
      <c r="BE475" t="inlineStr">
        <is>
          <t>30001000198194</t>
        </is>
      </c>
      <c r="BF475" t="inlineStr">
        <is>
          <t>893278528</t>
        </is>
      </c>
    </row>
    <row r="476">
      <c r="B476" t="inlineStr">
        <is>
          <t>CUHSL</t>
        </is>
      </c>
      <c r="C476" t="inlineStr">
        <is>
          <t>SHELVES</t>
        </is>
      </c>
      <c r="D476" t="inlineStr">
        <is>
          <t>QV 354 S541e 1982</t>
        </is>
      </c>
      <c r="E476" t="inlineStr">
        <is>
          <t>0                      QV 0354000S  541e        1982</t>
        </is>
      </c>
      <c r="F476" t="inlineStr">
        <is>
          <t>The enchanted ring : the untold story of penicillin / John C. Sheehan.</t>
        </is>
      </c>
      <c r="H476" t="inlineStr">
        <is>
          <t>No</t>
        </is>
      </c>
      <c r="I476" t="inlineStr">
        <is>
          <t>1</t>
        </is>
      </c>
      <c r="J476" t="inlineStr">
        <is>
          <t>No</t>
        </is>
      </c>
      <c r="K476" t="inlineStr">
        <is>
          <t>No</t>
        </is>
      </c>
      <c r="L476" t="inlineStr">
        <is>
          <t>0</t>
        </is>
      </c>
      <c r="M476" t="inlineStr">
        <is>
          <t>Sheehan, John C.</t>
        </is>
      </c>
      <c r="N476" t="inlineStr">
        <is>
          <t>Cambridge, Mass. : MIT Press, c1982.</t>
        </is>
      </c>
      <c r="O476" t="inlineStr">
        <is>
          <t>1982</t>
        </is>
      </c>
      <c r="Q476" t="inlineStr">
        <is>
          <t>eng</t>
        </is>
      </c>
      <c r="R476" t="inlineStr">
        <is>
          <t>xxu</t>
        </is>
      </c>
      <c r="T476" t="inlineStr">
        <is>
          <t xml:space="preserve">QV </t>
        </is>
      </c>
      <c r="U476" t="n">
        <v>5</v>
      </c>
      <c r="V476" t="n">
        <v>5</v>
      </c>
      <c r="W476" t="inlineStr">
        <is>
          <t>2004-02-07</t>
        </is>
      </c>
      <c r="X476" t="inlineStr">
        <is>
          <t>2004-02-07</t>
        </is>
      </c>
      <c r="Y476" t="inlineStr">
        <is>
          <t>1988-02-09</t>
        </is>
      </c>
      <c r="Z476" t="inlineStr">
        <is>
          <t>1988-02-09</t>
        </is>
      </c>
      <c r="AA476" t="n">
        <v>691</v>
      </c>
      <c r="AB476" t="n">
        <v>584</v>
      </c>
      <c r="AC476" t="n">
        <v>595</v>
      </c>
      <c r="AD476" t="n">
        <v>5</v>
      </c>
      <c r="AE476" t="n">
        <v>5</v>
      </c>
      <c r="AF476" t="n">
        <v>28</v>
      </c>
      <c r="AG476" t="n">
        <v>29</v>
      </c>
      <c r="AH476" t="n">
        <v>16</v>
      </c>
      <c r="AI476" t="n">
        <v>16</v>
      </c>
      <c r="AJ476" t="n">
        <v>5</v>
      </c>
      <c r="AK476" t="n">
        <v>5</v>
      </c>
      <c r="AL476" t="n">
        <v>10</v>
      </c>
      <c r="AM476" t="n">
        <v>11</v>
      </c>
      <c r="AN476" t="n">
        <v>4</v>
      </c>
      <c r="AO476" t="n">
        <v>4</v>
      </c>
      <c r="AP476" t="n">
        <v>0</v>
      </c>
      <c r="AQ476" t="n">
        <v>0</v>
      </c>
      <c r="AR476" t="inlineStr">
        <is>
          <t>No</t>
        </is>
      </c>
      <c r="AS476" t="inlineStr">
        <is>
          <t>No</t>
        </is>
      </c>
      <c r="AU476">
        <f>HYPERLINK("https://creighton-primo.hosted.exlibrisgroup.com/primo-explore/search?tab=default_tab&amp;search_scope=EVERYTHING&amp;vid=01CRU&amp;lang=en_US&amp;offset=0&amp;query=any,contains,991000962119702656","Catalog Record")</f>
        <v/>
      </c>
      <c r="AV476">
        <f>HYPERLINK("http://www.worldcat.org/oclc/8170304","WorldCat Record")</f>
        <v/>
      </c>
      <c r="AW476" t="inlineStr">
        <is>
          <t>21539601:eng</t>
        </is>
      </c>
      <c r="AX476" t="inlineStr">
        <is>
          <t>8170304</t>
        </is>
      </c>
      <c r="AY476" t="inlineStr">
        <is>
          <t>991000962119702656</t>
        </is>
      </c>
      <c r="AZ476" t="inlineStr">
        <is>
          <t>991000962119702656</t>
        </is>
      </c>
      <c r="BA476" t="inlineStr">
        <is>
          <t>2264829690002656</t>
        </is>
      </c>
      <c r="BB476" t="inlineStr">
        <is>
          <t>BOOK</t>
        </is>
      </c>
      <c r="BD476" t="inlineStr">
        <is>
          <t>9780262192040</t>
        </is>
      </c>
      <c r="BE476" t="inlineStr">
        <is>
          <t>30001000198160</t>
        </is>
      </c>
      <c r="BF476" t="inlineStr">
        <is>
          <t>893727123</t>
        </is>
      </c>
    </row>
    <row r="477">
      <c r="B477" t="inlineStr">
        <is>
          <t>CUHSL</t>
        </is>
      </c>
      <c r="C477" t="inlineStr">
        <is>
          <t>SHELVES</t>
        </is>
      </c>
      <c r="D477" t="inlineStr">
        <is>
          <t>QV 354 S654p 1951</t>
        </is>
      </c>
      <c r="E477" t="inlineStr">
        <is>
          <t>0                      QV 0354000S  654p        1951</t>
        </is>
      </c>
      <c r="F477" t="inlineStr">
        <is>
          <t>Penicillin decade, 1941-1951 : sensitizations and toxicities / by Lawrence Weld Smith and Ann Dolan Walker.</t>
        </is>
      </c>
      <c r="H477" t="inlineStr">
        <is>
          <t>No</t>
        </is>
      </c>
      <c r="I477" t="inlineStr">
        <is>
          <t>1</t>
        </is>
      </c>
      <c r="J477" t="inlineStr">
        <is>
          <t>No</t>
        </is>
      </c>
      <c r="K477" t="inlineStr">
        <is>
          <t>No</t>
        </is>
      </c>
      <c r="L477" t="inlineStr">
        <is>
          <t>0</t>
        </is>
      </c>
      <c r="M477" t="inlineStr">
        <is>
          <t>Smith, Lawrence Weld.</t>
        </is>
      </c>
      <c r="N477" t="inlineStr">
        <is>
          <t>Washington : Arundel Press, c1951.</t>
        </is>
      </c>
      <c r="O477" t="inlineStr">
        <is>
          <t>1951</t>
        </is>
      </c>
      <c r="Q477" t="inlineStr">
        <is>
          <t>eng</t>
        </is>
      </c>
      <c r="R477" t="inlineStr">
        <is>
          <t>dcu</t>
        </is>
      </c>
      <c r="T477" t="inlineStr">
        <is>
          <t xml:space="preserve">QV </t>
        </is>
      </c>
      <c r="U477" t="n">
        <v>4</v>
      </c>
      <c r="V477" t="n">
        <v>4</v>
      </c>
      <c r="W477" t="inlineStr">
        <is>
          <t>2000-01-22</t>
        </is>
      </c>
      <c r="X477" t="inlineStr">
        <is>
          <t>2000-01-22</t>
        </is>
      </c>
      <c r="Y477" t="inlineStr">
        <is>
          <t>1988-02-09</t>
        </is>
      </c>
      <c r="Z477" t="inlineStr">
        <is>
          <t>1988-02-09</t>
        </is>
      </c>
      <c r="AA477" t="n">
        <v>78</v>
      </c>
      <c r="AB477" t="n">
        <v>70</v>
      </c>
      <c r="AC477" t="n">
        <v>76</v>
      </c>
      <c r="AD477" t="n">
        <v>1</v>
      </c>
      <c r="AE477" t="n">
        <v>1</v>
      </c>
      <c r="AF477" t="n">
        <v>1</v>
      </c>
      <c r="AG477" t="n">
        <v>1</v>
      </c>
      <c r="AH477" t="n">
        <v>0</v>
      </c>
      <c r="AI477" t="n">
        <v>0</v>
      </c>
      <c r="AJ477" t="n">
        <v>0</v>
      </c>
      <c r="AK477" t="n">
        <v>0</v>
      </c>
      <c r="AL477" t="n">
        <v>1</v>
      </c>
      <c r="AM477" t="n">
        <v>1</v>
      </c>
      <c r="AN477" t="n">
        <v>0</v>
      </c>
      <c r="AO477" t="n">
        <v>0</v>
      </c>
      <c r="AP477" t="n">
        <v>0</v>
      </c>
      <c r="AQ477" t="n">
        <v>0</v>
      </c>
      <c r="AR477" t="inlineStr">
        <is>
          <t>Yes</t>
        </is>
      </c>
      <c r="AS477" t="inlineStr">
        <is>
          <t>No</t>
        </is>
      </c>
      <c r="AT477">
        <f>HYPERLINK("http://catalog.hathitrust.org/Record/001582155","HathiTrust Record")</f>
        <v/>
      </c>
      <c r="AU477">
        <f>HYPERLINK("https://creighton-primo.hosted.exlibrisgroup.com/primo-explore/search?tab=default_tab&amp;search_scope=EVERYTHING&amp;vid=01CRU&amp;lang=en_US&amp;offset=0&amp;query=any,contains,991000962199702656","Catalog Record")</f>
        <v/>
      </c>
      <c r="AV477">
        <f>HYPERLINK("http://www.worldcat.org/oclc/374418","WorldCat Record")</f>
        <v/>
      </c>
      <c r="AW477" t="inlineStr">
        <is>
          <t>1460057:eng</t>
        </is>
      </c>
      <c r="AX477" t="inlineStr">
        <is>
          <t>374418</t>
        </is>
      </c>
      <c r="AY477" t="inlineStr">
        <is>
          <t>991000962199702656</t>
        </is>
      </c>
      <c r="AZ477" t="inlineStr">
        <is>
          <t>991000962199702656</t>
        </is>
      </c>
      <c r="BA477" t="inlineStr">
        <is>
          <t>2262411940002656</t>
        </is>
      </c>
      <c r="BB477" t="inlineStr">
        <is>
          <t>BOOK</t>
        </is>
      </c>
      <c r="BE477" t="inlineStr">
        <is>
          <t>30001000198186</t>
        </is>
      </c>
      <c r="BF477" t="inlineStr">
        <is>
          <t>893740612</t>
        </is>
      </c>
    </row>
    <row r="478">
      <c r="B478" t="inlineStr">
        <is>
          <t>CUHSL</t>
        </is>
      </c>
      <c r="C478" t="inlineStr">
        <is>
          <t>SHELVES</t>
        </is>
      </c>
      <c r="D478" t="inlineStr">
        <is>
          <t>QV 600 A681p 1979</t>
        </is>
      </c>
      <c r="E478" t="inlineStr">
        <is>
          <t>0                      QV 0600000A  681p        1979</t>
        </is>
      </c>
      <c r="F478" t="inlineStr">
        <is>
          <t>Poisoning : toxicology, symptoms, treatments / by Jay M. Arena.</t>
        </is>
      </c>
      <c r="H478" t="inlineStr">
        <is>
          <t>No</t>
        </is>
      </c>
      <c r="I478" t="inlineStr">
        <is>
          <t>1</t>
        </is>
      </c>
      <c r="J478" t="inlineStr">
        <is>
          <t>No</t>
        </is>
      </c>
      <c r="K478" t="inlineStr">
        <is>
          <t>Yes</t>
        </is>
      </c>
      <c r="L478" t="inlineStr">
        <is>
          <t>0</t>
        </is>
      </c>
      <c r="M478" t="inlineStr">
        <is>
          <t>Arena, Jay M.</t>
        </is>
      </c>
      <c r="N478" t="inlineStr">
        <is>
          <t>Springfield, Ill. : Thomas, c1979.</t>
        </is>
      </c>
      <c r="O478" t="inlineStr">
        <is>
          <t>1979</t>
        </is>
      </c>
      <c r="P478" t="inlineStr">
        <is>
          <t>4th ed.</t>
        </is>
      </c>
      <c r="Q478" t="inlineStr">
        <is>
          <t>eng</t>
        </is>
      </c>
      <c r="R478" t="inlineStr">
        <is>
          <t xml:space="preserve">xx </t>
        </is>
      </c>
      <c r="S478" t="inlineStr">
        <is>
          <t>American lecture series ; no. 1019 : American lectures in living chemistry</t>
        </is>
      </c>
      <c r="T478" t="inlineStr">
        <is>
          <t xml:space="preserve">QV </t>
        </is>
      </c>
      <c r="U478" t="n">
        <v>12</v>
      </c>
      <c r="V478" t="n">
        <v>12</v>
      </c>
      <c r="W478" t="inlineStr">
        <is>
          <t>1991-11-12</t>
        </is>
      </c>
      <c r="X478" t="inlineStr">
        <is>
          <t>1991-11-12</t>
        </is>
      </c>
      <c r="Y478" t="inlineStr">
        <is>
          <t>1988-12-30</t>
        </is>
      </c>
      <c r="Z478" t="inlineStr">
        <is>
          <t>1988-12-30</t>
        </is>
      </c>
      <c r="AA478" t="n">
        <v>304</v>
      </c>
      <c r="AB478" t="n">
        <v>260</v>
      </c>
      <c r="AC478" t="n">
        <v>575</v>
      </c>
      <c r="AD478" t="n">
        <v>2</v>
      </c>
      <c r="AE478" t="n">
        <v>3</v>
      </c>
      <c r="AF478" t="n">
        <v>4</v>
      </c>
      <c r="AG478" t="n">
        <v>12</v>
      </c>
      <c r="AH478" t="n">
        <v>1</v>
      </c>
      <c r="AI478" t="n">
        <v>4</v>
      </c>
      <c r="AJ478" t="n">
        <v>1</v>
      </c>
      <c r="AK478" t="n">
        <v>3</v>
      </c>
      <c r="AL478" t="n">
        <v>1</v>
      </c>
      <c r="AM478" t="n">
        <v>2</v>
      </c>
      <c r="AN478" t="n">
        <v>1</v>
      </c>
      <c r="AO478" t="n">
        <v>2</v>
      </c>
      <c r="AP478" t="n">
        <v>1</v>
      </c>
      <c r="AQ478" t="n">
        <v>2</v>
      </c>
      <c r="AR478" t="inlineStr">
        <is>
          <t>No</t>
        </is>
      </c>
      <c r="AS478" t="inlineStr">
        <is>
          <t>Yes</t>
        </is>
      </c>
      <c r="AT478">
        <f>HYPERLINK("http://catalog.hathitrust.org/Record/000707118","HathiTrust Record")</f>
        <v/>
      </c>
      <c r="AU478">
        <f>HYPERLINK("https://creighton-primo.hosted.exlibrisgroup.com/primo-explore/search?tab=default_tab&amp;search_scope=EVERYTHING&amp;vid=01CRU&amp;lang=en_US&amp;offset=0&amp;query=any,contains,991000499149702656","Catalog Record")</f>
        <v/>
      </c>
      <c r="AV478">
        <f>HYPERLINK("http://www.worldcat.org/oclc/3845104","WorldCat Record")</f>
        <v/>
      </c>
      <c r="AW478" t="inlineStr">
        <is>
          <t>1293907:eng</t>
        </is>
      </c>
      <c r="AX478" t="inlineStr">
        <is>
          <t>3845104</t>
        </is>
      </c>
      <c r="AY478" t="inlineStr">
        <is>
          <t>991000499149702656</t>
        </is>
      </c>
      <c r="AZ478" t="inlineStr">
        <is>
          <t>991000499149702656</t>
        </is>
      </c>
      <c r="BA478" t="inlineStr">
        <is>
          <t>2260605090002656</t>
        </is>
      </c>
      <c r="BB478" t="inlineStr">
        <is>
          <t>BOOK</t>
        </is>
      </c>
      <c r="BD478" t="inlineStr">
        <is>
          <t>9780398037673</t>
        </is>
      </c>
      <c r="BE478" t="inlineStr">
        <is>
          <t>30001000198103</t>
        </is>
      </c>
      <c r="BF478" t="inlineStr">
        <is>
          <t>893811785</t>
        </is>
      </c>
    </row>
    <row r="479">
      <c r="B479" t="inlineStr">
        <is>
          <t>CUHSL</t>
        </is>
      </c>
      <c r="C479" t="inlineStr">
        <is>
          <t>SHELVES</t>
        </is>
      </c>
      <c r="D479" t="inlineStr">
        <is>
          <t>QV600 C335 2001</t>
        </is>
      </c>
      <c r="E479" t="inlineStr">
        <is>
          <t>0                      QV 0600000C  335         2001</t>
        </is>
      </c>
      <c r="F479" t="inlineStr">
        <is>
          <t>Casarett and Doull's toxicology : the basic science of poisons / editor, Curtis D. Klaassen.</t>
        </is>
      </c>
      <c r="H479" t="inlineStr">
        <is>
          <t>No</t>
        </is>
      </c>
      <c r="I479" t="inlineStr">
        <is>
          <t>1</t>
        </is>
      </c>
      <c r="J479" t="inlineStr">
        <is>
          <t>No</t>
        </is>
      </c>
      <c r="K479" t="inlineStr">
        <is>
          <t>Yes</t>
        </is>
      </c>
      <c r="L479" t="inlineStr">
        <is>
          <t>3</t>
        </is>
      </c>
      <c r="N479" t="inlineStr">
        <is>
          <t>New York : McGraw-Hill Medical Pub. Division, c2001.</t>
        </is>
      </c>
      <c r="O479" t="inlineStr">
        <is>
          <t>2001</t>
        </is>
      </c>
      <c r="P479" t="inlineStr">
        <is>
          <t>6th ed.</t>
        </is>
      </c>
      <c r="Q479" t="inlineStr">
        <is>
          <t>eng</t>
        </is>
      </c>
      <c r="R479" t="inlineStr">
        <is>
          <t>nyu</t>
        </is>
      </c>
      <c r="T479" t="inlineStr">
        <is>
          <t xml:space="preserve">QV </t>
        </is>
      </c>
      <c r="U479" t="n">
        <v>3</v>
      </c>
      <c r="V479" t="n">
        <v>3</v>
      </c>
      <c r="W479" t="inlineStr">
        <is>
          <t>2006-11-08</t>
        </is>
      </c>
      <c r="X479" t="inlineStr">
        <is>
          <t>2006-11-08</t>
        </is>
      </c>
      <c r="Y479" t="inlineStr">
        <is>
          <t>2001-12-19</t>
        </is>
      </c>
      <c r="Z479" t="inlineStr">
        <is>
          <t>2001-12-19</t>
        </is>
      </c>
      <c r="AA479" t="n">
        <v>635</v>
      </c>
      <c r="AB479" t="n">
        <v>484</v>
      </c>
      <c r="AC479" t="n">
        <v>1737</v>
      </c>
      <c r="AD479" t="n">
        <v>2</v>
      </c>
      <c r="AE479" t="n">
        <v>18</v>
      </c>
      <c r="AF479" t="n">
        <v>14</v>
      </c>
      <c r="AG479" t="n">
        <v>46</v>
      </c>
      <c r="AH479" t="n">
        <v>6</v>
      </c>
      <c r="AI479" t="n">
        <v>19</v>
      </c>
      <c r="AJ479" t="n">
        <v>3</v>
      </c>
      <c r="AK479" t="n">
        <v>8</v>
      </c>
      <c r="AL479" t="n">
        <v>6</v>
      </c>
      <c r="AM479" t="n">
        <v>18</v>
      </c>
      <c r="AN479" t="n">
        <v>1</v>
      </c>
      <c r="AO479" t="n">
        <v>11</v>
      </c>
      <c r="AP479" t="n">
        <v>0</v>
      </c>
      <c r="AQ479" t="n">
        <v>0</v>
      </c>
      <c r="AR479" t="inlineStr">
        <is>
          <t>No</t>
        </is>
      </c>
      <c r="AS479" t="inlineStr">
        <is>
          <t>Yes</t>
        </is>
      </c>
      <c r="AT479">
        <f>HYPERLINK("http://catalog.hathitrust.org/Record/004179502","HathiTrust Record")</f>
        <v/>
      </c>
      <c r="AU479">
        <f>HYPERLINK("https://creighton-primo.hosted.exlibrisgroup.com/primo-explore/search?tab=default_tab&amp;search_scope=EVERYTHING&amp;vid=01CRU&amp;lang=en_US&amp;offset=0&amp;query=any,contains,991000298519702656","Catalog Record")</f>
        <v/>
      </c>
      <c r="AV479">
        <f>HYPERLINK("http://www.worldcat.org/oclc/47965382","WorldCat Record")</f>
        <v/>
      </c>
      <c r="AW479" t="inlineStr">
        <is>
          <t>1077431058:eng</t>
        </is>
      </c>
      <c r="AX479" t="inlineStr">
        <is>
          <t>47965382</t>
        </is>
      </c>
      <c r="AY479" t="inlineStr">
        <is>
          <t>991000298519702656</t>
        </is>
      </c>
      <c r="AZ479" t="inlineStr">
        <is>
          <t>991000298519702656</t>
        </is>
      </c>
      <c r="BA479" t="inlineStr">
        <is>
          <t>2268932670002656</t>
        </is>
      </c>
      <c r="BB479" t="inlineStr">
        <is>
          <t>BOOK</t>
        </is>
      </c>
      <c r="BD479" t="inlineStr">
        <is>
          <t>9780071124539</t>
        </is>
      </c>
      <c r="BE479" t="inlineStr">
        <is>
          <t>30001004560340</t>
        </is>
      </c>
      <c r="BF479" t="inlineStr">
        <is>
          <t>893553374</t>
        </is>
      </c>
    </row>
    <row r="480">
      <c r="B480" t="inlineStr">
        <is>
          <t>CUHSL</t>
        </is>
      </c>
      <c r="C480" t="inlineStr">
        <is>
          <t>SHELVES</t>
        </is>
      </c>
      <c r="D480" t="inlineStr">
        <is>
          <t>QV 600 C639 1983</t>
        </is>
      </c>
      <c r="E480" t="inlineStr">
        <is>
          <t>0                      QV 0600000C  639         1983</t>
        </is>
      </c>
      <c r="F480" t="inlineStr">
        <is>
          <t>Clinical management of poisoning and drug overdose / [editors] Lester M. Haddad, James Winchester.</t>
        </is>
      </c>
      <c r="H480" t="inlineStr">
        <is>
          <t>No</t>
        </is>
      </c>
      <c r="I480" t="inlineStr">
        <is>
          <t>1</t>
        </is>
      </c>
      <c r="J480" t="inlineStr">
        <is>
          <t>No</t>
        </is>
      </c>
      <c r="K480" t="inlineStr">
        <is>
          <t>No</t>
        </is>
      </c>
      <c r="L480" t="inlineStr">
        <is>
          <t>0</t>
        </is>
      </c>
      <c r="N480" t="inlineStr">
        <is>
          <t>Philadelphia : Saunders, c1983.</t>
        </is>
      </c>
      <c r="O480" t="inlineStr">
        <is>
          <t>1983</t>
        </is>
      </c>
      <c r="Q480" t="inlineStr">
        <is>
          <t>eng</t>
        </is>
      </c>
      <c r="R480" t="inlineStr">
        <is>
          <t>xxu</t>
        </is>
      </c>
      <c r="T480" t="inlineStr">
        <is>
          <t xml:space="preserve">QV </t>
        </is>
      </c>
      <c r="U480" t="n">
        <v>36</v>
      </c>
      <c r="V480" t="n">
        <v>36</v>
      </c>
      <c r="W480" t="inlineStr">
        <is>
          <t>1996-10-09</t>
        </is>
      </c>
      <c r="X480" t="inlineStr">
        <is>
          <t>1996-10-09</t>
        </is>
      </c>
      <c r="Y480" t="inlineStr">
        <is>
          <t>1988-03-30</t>
        </is>
      </c>
      <c r="Z480" t="inlineStr">
        <is>
          <t>1988-03-30</t>
        </is>
      </c>
      <c r="AA480" t="n">
        <v>237</v>
      </c>
      <c r="AB480" t="n">
        <v>195</v>
      </c>
      <c r="AC480" t="n">
        <v>582</v>
      </c>
      <c r="AD480" t="n">
        <v>2</v>
      </c>
      <c r="AE480" t="n">
        <v>4</v>
      </c>
      <c r="AF480" t="n">
        <v>2</v>
      </c>
      <c r="AG480" t="n">
        <v>16</v>
      </c>
      <c r="AH480" t="n">
        <v>0</v>
      </c>
      <c r="AI480" t="n">
        <v>6</v>
      </c>
      <c r="AJ480" t="n">
        <v>0</v>
      </c>
      <c r="AK480" t="n">
        <v>4</v>
      </c>
      <c r="AL480" t="n">
        <v>0</v>
      </c>
      <c r="AM480" t="n">
        <v>6</v>
      </c>
      <c r="AN480" t="n">
        <v>1</v>
      </c>
      <c r="AO480" t="n">
        <v>2</v>
      </c>
      <c r="AP480" t="n">
        <v>1</v>
      </c>
      <c r="AQ480" t="n">
        <v>1</v>
      </c>
      <c r="AR480" t="inlineStr">
        <is>
          <t>No</t>
        </is>
      </c>
      <c r="AS480" t="inlineStr">
        <is>
          <t>Yes</t>
        </is>
      </c>
      <c r="AT480">
        <f>HYPERLINK("http://catalog.hathitrust.org/Record/000279432","HathiTrust Record")</f>
        <v/>
      </c>
      <c r="AU480">
        <f>HYPERLINK("https://creighton-primo.hosted.exlibrisgroup.com/primo-explore/search?tab=default_tab&amp;search_scope=EVERYTHING&amp;vid=01CRU&amp;lang=en_US&amp;offset=0&amp;query=any,contains,991000962929702656","Catalog Record")</f>
        <v/>
      </c>
      <c r="AV480">
        <f>HYPERLINK("http://www.worldcat.org/oclc/8284278","WorldCat Record")</f>
        <v/>
      </c>
      <c r="AW480" t="inlineStr">
        <is>
          <t>364727154:eng</t>
        </is>
      </c>
      <c r="AX480" t="inlineStr">
        <is>
          <t>8284278</t>
        </is>
      </c>
      <c r="AY480" t="inlineStr">
        <is>
          <t>991000962929702656</t>
        </is>
      </c>
      <c r="AZ480" t="inlineStr">
        <is>
          <t>991000962929702656</t>
        </is>
      </c>
      <c r="BA480" t="inlineStr">
        <is>
          <t>2268045800002656</t>
        </is>
      </c>
      <c r="BB480" t="inlineStr">
        <is>
          <t>BOOK</t>
        </is>
      </c>
      <c r="BD480" t="inlineStr">
        <is>
          <t>9780721644479</t>
        </is>
      </c>
      <c r="BE480" t="inlineStr">
        <is>
          <t>30001000198475</t>
        </is>
      </c>
      <c r="BF480" t="inlineStr">
        <is>
          <t>893731565</t>
        </is>
      </c>
    </row>
    <row r="481">
      <c r="B481" t="inlineStr">
        <is>
          <t>CUHSL</t>
        </is>
      </c>
      <c r="C481" t="inlineStr">
        <is>
          <t>SHELVES</t>
        </is>
      </c>
      <c r="D481" t="inlineStr">
        <is>
          <t>QV 600 C641 1976</t>
        </is>
      </c>
      <c r="E481" t="inlineStr">
        <is>
          <t>0                      QV 0600000C  641         1976</t>
        </is>
      </c>
      <c r="F481" t="inlineStr">
        <is>
          <t>Clinical toxicology of commercial products : acute poisoning / Robert E. Gosselin ... [et al.].</t>
        </is>
      </c>
      <c r="H481" t="inlineStr">
        <is>
          <t>No</t>
        </is>
      </c>
      <c r="I481" t="inlineStr">
        <is>
          <t>1</t>
        </is>
      </c>
      <c r="J481" t="inlineStr">
        <is>
          <t>No</t>
        </is>
      </c>
      <c r="K481" t="inlineStr">
        <is>
          <t>Yes</t>
        </is>
      </c>
      <c r="L481" t="inlineStr">
        <is>
          <t>0</t>
        </is>
      </c>
      <c r="N481" t="inlineStr">
        <is>
          <t>Baltimore : Williams &amp; Wilkins, 1976.</t>
        </is>
      </c>
      <c r="O481" t="inlineStr">
        <is>
          <t>1976</t>
        </is>
      </c>
      <c r="P481" t="inlineStr">
        <is>
          <t>4th ed.</t>
        </is>
      </c>
      <c r="Q481" t="inlineStr">
        <is>
          <t>eng</t>
        </is>
      </c>
      <c r="R481" t="inlineStr">
        <is>
          <t>mdu</t>
        </is>
      </c>
      <c r="T481" t="inlineStr">
        <is>
          <t xml:space="preserve">QV </t>
        </is>
      </c>
      <c r="U481" t="n">
        <v>6</v>
      </c>
      <c r="V481" t="n">
        <v>6</v>
      </c>
      <c r="W481" t="inlineStr">
        <is>
          <t>2000-01-20</t>
        </is>
      </c>
      <c r="X481" t="inlineStr">
        <is>
          <t>2000-01-20</t>
        </is>
      </c>
      <c r="Y481" t="inlineStr">
        <is>
          <t>1987-12-04</t>
        </is>
      </c>
      <c r="Z481" t="inlineStr">
        <is>
          <t>1987-12-04</t>
        </is>
      </c>
      <c r="AA481" t="n">
        <v>395</v>
      </c>
      <c r="AB481" t="n">
        <v>319</v>
      </c>
      <c r="AC481" t="n">
        <v>805</v>
      </c>
      <c r="AD481" t="n">
        <v>1</v>
      </c>
      <c r="AE481" t="n">
        <v>4</v>
      </c>
      <c r="AF481" t="n">
        <v>4</v>
      </c>
      <c r="AG481" t="n">
        <v>10</v>
      </c>
      <c r="AH481" t="n">
        <v>1</v>
      </c>
      <c r="AI481" t="n">
        <v>2</v>
      </c>
      <c r="AJ481" t="n">
        <v>3</v>
      </c>
      <c r="AK481" t="n">
        <v>5</v>
      </c>
      <c r="AL481" t="n">
        <v>3</v>
      </c>
      <c r="AM481" t="n">
        <v>4</v>
      </c>
      <c r="AN481" t="n">
        <v>0</v>
      </c>
      <c r="AO481" t="n">
        <v>2</v>
      </c>
      <c r="AP481" t="n">
        <v>0</v>
      </c>
      <c r="AQ481" t="n">
        <v>1</v>
      </c>
      <c r="AR481" t="inlineStr">
        <is>
          <t>No</t>
        </is>
      </c>
      <c r="AS481" t="inlineStr">
        <is>
          <t>Yes</t>
        </is>
      </c>
      <c r="AT481">
        <f>HYPERLINK("http://catalog.hathitrust.org/Record/000039960","HathiTrust Record")</f>
        <v/>
      </c>
      <c r="AU481">
        <f>HYPERLINK("https://creighton-primo.hosted.exlibrisgroup.com/primo-explore/search?tab=default_tab&amp;search_scope=EVERYTHING&amp;vid=01CRU&amp;lang=en_US&amp;offset=0&amp;query=any,contains,991001281629702656","Catalog Record")</f>
        <v/>
      </c>
      <c r="AV481">
        <f>HYPERLINK("http://www.worldcat.org/oclc/1341470","WorldCat Record")</f>
        <v/>
      </c>
      <c r="AW481" t="inlineStr">
        <is>
          <t>4928217824:eng</t>
        </is>
      </c>
      <c r="AX481" t="inlineStr">
        <is>
          <t>1341470</t>
        </is>
      </c>
      <c r="AY481" t="inlineStr">
        <is>
          <t>991001281629702656</t>
        </is>
      </c>
      <c r="AZ481" t="inlineStr">
        <is>
          <t>991001281629702656</t>
        </is>
      </c>
      <c r="BA481" t="inlineStr">
        <is>
          <t>2262392820002656</t>
        </is>
      </c>
      <c r="BB481" t="inlineStr">
        <is>
          <t>BOOK</t>
        </is>
      </c>
      <c r="BD481" t="inlineStr">
        <is>
          <t>9780683036312</t>
        </is>
      </c>
      <c r="BE481" t="inlineStr">
        <is>
          <t>30001000368888</t>
        </is>
      </c>
      <c r="BF481" t="inlineStr">
        <is>
          <t>893740932</t>
        </is>
      </c>
    </row>
    <row r="482">
      <c r="B482" t="inlineStr">
        <is>
          <t>CUHSL</t>
        </is>
      </c>
      <c r="C482" t="inlineStr">
        <is>
          <t>SHELVES</t>
        </is>
      </c>
      <c r="D482" t="inlineStr">
        <is>
          <t>QV 600 C6415 1982</t>
        </is>
      </c>
      <c r="E482" t="inlineStr">
        <is>
          <t>0                      QV 0600000C  6415        1982</t>
        </is>
      </c>
      <c r="F482" t="inlineStr">
        <is>
          <t>Clinical toxicology of drugs : principles and practice / [edited by] Vasilios A. Skoutakis.</t>
        </is>
      </c>
      <c r="H482" t="inlineStr">
        <is>
          <t>No</t>
        </is>
      </c>
      <c r="I482" t="inlineStr">
        <is>
          <t>1</t>
        </is>
      </c>
      <c r="J482" t="inlineStr">
        <is>
          <t>No</t>
        </is>
      </c>
      <c r="K482" t="inlineStr">
        <is>
          <t>No</t>
        </is>
      </c>
      <c r="L482" t="inlineStr">
        <is>
          <t>0</t>
        </is>
      </c>
      <c r="N482" t="inlineStr">
        <is>
          <t>Philadelphia : Lea &amp; Febiger, c1982.</t>
        </is>
      </c>
      <c r="O482" t="inlineStr">
        <is>
          <t>1982</t>
        </is>
      </c>
      <c r="Q482" t="inlineStr">
        <is>
          <t>eng</t>
        </is>
      </c>
      <c r="R482" t="inlineStr">
        <is>
          <t>xxu</t>
        </is>
      </c>
      <c r="T482" t="inlineStr">
        <is>
          <t xml:space="preserve">QV </t>
        </is>
      </c>
      <c r="U482" t="n">
        <v>13</v>
      </c>
      <c r="V482" t="n">
        <v>13</v>
      </c>
      <c r="W482" t="inlineStr">
        <is>
          <t>2001-10-18</t>
        </is>
      </c>
      <c r="X482" t="inlineStr">
        <is>
          <t>2001-10-18</t>
        </is>
      </c>
      <c r="Y482" t="inlineStr">
        <is>
          <t>1988-02-09</t>
        </is>
      </c>
      <c r="Z482" t="inlineStr">
        <is>
          <t>1988-02-09</t>
        </is>
      </c>
      <c r="AA482" t="n">
        <v>209</v>
      </c>
      <c r="AB482" t="n">
        <v>163</v>
      </c>
      <c r="AC482" t="n">
        <v>166</v>
      </c>
      <c r="AD482" t="n">
        <v>2</v>
      </c>
      <c r="AE482" t="n">
        <v>2</v>
      </c>
      <c r="AF482" t="n">
        <v>4</v>
      </c>
      <c r="AG482" t="n">
        <v>4</v>
      </c>
      <c r="AH482" t="n">
        <v>2</v>
      </c>
      <c r="AI482" t="n">
        <v>2</v>
      </c>
      <c r="AJ482" t="n">
        <v>1</v>
      </c>
      <c r="AK482" t="n">
        <v>1</v>
      </c>
      <c r="AL482" t="n">
        <v>1</v>
      </c>
      <c r="AM482" t="n">
        <v>1</v>
      </c>
      <c r="AN482" t="n">
        <v>1</v>
      </c>
      <c r="AO482" t="n">
        <v>1</v>
      </c>
      <c r="AP482" t="n">
        <v>0</v>
      </c>
      <c r="AQ482" t="n">
        <v>0</v>
      </c>
      <c r="AR482" t="inlineStr">
        <is>
          <t>No</t>
        </is>
      </c>
      <c r="AS482" t="inlineStr">
        <is>
          <t>Yes</t>
        </is>
      </c>
      <c r="AT482">
        <f>HYPERLINK("http://catalog.hathitrust.org/Record/000148178","HathiTrust Record")</f>
        <v/>
      </c>
      <c r="AU482">
        <f>HYPERLINK("https://creighton-primo.hosted.exlibrisgroup.com/primo-explore/search?tab=default_tab&amp;search_scope=EVERYTHING&amp;vid=01CRU&amp;lang=en_US&amp;offset=0&amp;query=any,contains,991001006529702656","Catalog Record")</f>
        <v/>
      </c>
      <c r="AV482">
        <f>HYPERLINK("http://www.worldcat.org/oclc/8111248","WorldCat Record")</f>
        <v/>
      </c>
      <c r="AW482" t="inlineStr">
        <is>
          <t>472249:eng</t>
        </is>
      </c>
      <c r="AX482" t="inlineStr">
        <is>
          <t>8111248</t>
        </is>
      </c>
      <c r="AY482" t="inlineStr">
        <is>
          <t>991001006529702656</t>
        </is>
      </c>
      <c r="AZ482" t="inlineStr">
        <is>
          <t>991001006529702656</t>
        </is>
      </c>
      <c r="BA482" t="inlineStr">
        <is>
          <t>2268955150002656</t>
        </is>
      </c>
      <c r="BB482" t="inlineStr">
        <is>
          <t>BOOK</t>
        </is>
      </c>
      <c r="BD482" t="inlineStr">
        <is>
          <t>9780812108071</t>
        </is>
      </c>
      <c r="BE482" t="inlineStr">
        <is>
          <t>30001000902017</t>
        </is>
      </c>
      <c r="BF482" t="inlineStr">
        <is>
          <t>893284309</t>
        </is>
      </c>
    </row>
    <row r="483">
      <c r="B483" t="inlineStr">
        <is>
          <t>CUHSL</t>
        </is>
      </c>
      <c r="C483" t="inlineStr">
        <is>
          <t>SHELVES</t>
        </is>
      </c>
      <c r="D483" t="inlineStr">
        <is>
          <t>QV 600 D771h 1983 c.2</t>
        </is>
      </c>
      <c r="E483" t="inlineStr">
        <is>
          <t>0                      QV 0600000D  771h        1983                                        c.2</t>
        </is>
      </c>
      <c r="F483" t="inlineStr">
        <is>
          <t>Handbook of poisoning : prevention, diagnosis, &amp; treatment / Robert H. Dreisbach.</t>
        </is>
      </c>
      <c r="G483" t="inlineStr">
        <is>
          <t>c.2*</t>
        </is>
      </c>
      <c r="H483" t="inlineStr">
        <is>
          <t>No</t>
        </is>
      </c>
      <c r="I483" t="inlineStr">
        <is>
          <t>1</t>
        </is>
      </c>
      <c r="J483" t="inlineStr">
        <is>
          <t>No</t>
        </is>
      </c>
      <c r="K483" t="inlineStr">
        <is>
          <t>Yes</t>
        </is>
      </c>
      <c r="L483" t="inlineStr">
        <is>
          <t>0</t>
        </is>
      </c>
      <c r="M483" t="inlineStr">
        <is>
          <t>Dreisbach, Robert H. (Robert Hastings), 1916-</t>
        </is>
      </c>
      <c r="N483" t="inlineStr">
        <is>
          <t>Los Altos, Calif. : Lange Medical Publications, c1983.</t>
        </is>
      </c>
      <c r="O483" t="inlineStr">
        <is>
          <t>1983</t>
        </is>
      </c>
      <c r="P483" t="inlineStr">
        <is>
          <t>11th ed.</t>
        </is>
      </c>
      <c r="Q483" t="inlineStr">
        <is>
          <t>eng</t>
        </is>
      </c>
      <c r="R483" t="inlineStr">
        <is>
          <t>xxu</t>
        </is>
      </c>
      <c r="S483" t="inlineStr">
        <is>
          <t>Concise medical library for practitioner and student</t>
        </is>
      </c>
      <c r="T483" t="inlineStr">
        <is>
          <t xml:space="preserve">QV </t>
        </is>
      </c>
      <c r="U483" t="n">
        <v>30</v>
      </c>
      <c r="V483" t="n">
        <v>30</v>
      </c>
      <c r="W483" t="inlineStr">
        <is>
          <t>1997-08-30</t>
        </is>
      </c>
      <c r="X483" t="inlineStr">
        <is>
          <t>1997-08-30</t>
        </is>
      </c>
      <c r="Y483" t="inlineStr">
        <is>
          <t>1988-02-09</t>
        </is>
      </c>
      <c r="Z483" t="inlineStr">
        <is>
          <t>1988-02-09</t>
        </is>
      </c>
      <c r="AA483" t="n">
        <v>412</v>
      </c>
      <c r="AB483" t="n">
        <v>339</v>
      </c>
      <c r="AC483" t="n">
        <v>1136</v>
      </c>
      <c r="AD483" t="n">
        <v>2</v>
      </c>
      <c r="AE483" t="n">
        <v>7</v>
      </c>
      <c r="AF483" t="n">
        <v>4</v>
      </c>
      <c r="AG483" t="n">
        <v>15</v>
      </c>
      <c r="AH483" t="n">
        <v>1</v>
      </c>
      <c r="AI483" t="n">
        <v>5</v>
      </c>
      <c r="AJ483" t="n">
        <v>1</v>
      </c>
      <c r="AK483" t="n">
        <v>4</v>
      </c>
      <c r="AL483" t="n">
        <v>2</v>
      </c>
      <c r="AM483" t="n">
        <v>7</v>
      </c>
      <c r="AN483" t="n">
        <v>1</v>
      </c>
      <c r="AO483" t="n">
        <v>3</v>
      </c>
      <c r="AP483" t="n">
        <v>0</v>
      </c>
      <c r="AQ483" t="n">
        <v>0</v>
      </c>
      <c r="AR483" t="inlineStr">
        <is>
          <t>No</t>
        </is>
      </c>
      <c r="AS483" t="inlineStr">
        <is>
          <t>Yes</t>
        </is>
      </c>
      <c r="AT483">
        <f>HYPERLINK("http://catalog.hathitrust.org/Record/000152223","HathiTrust Record")</f>
        <v/>
      </c>
      <c r="AU483">
        <f>HYPERLINK("https://creighton-primo.hosted.exlibrisgroup.com/primo-explore/search?tab=default_tab&amp;search_scope=EVERYTHING&amp;vid=01CRU&amp;lang=en_US&amp;offset=0&amp;query=any,contains,991000748129702656","Catalog Record")</f>
        <v/>
      </c>
      <c r="AV483">
        <f>HYPERLINK("http://www.worldcat.org/oclc/9683943","WorldCat Record")</f>
        <v/>
      </c>
      <c r="AW483" t="inlineStr">
        <is>
          <t>515285:eng</t>
        </is>
      </c>
      <c r="AX483" t="inlineStr">
        <is>
          <t>9683943</t>
        </is>
      </c>
      <c r="AY483" t="inlineStr">
        <is>
          <t>991000748129702656</t>
        </is>
      </c>
      <c r="AZ483" t="inlineStr">
        <is>
          <t>991000748129702656</t>
        </is>
      </c>
      <c r="BA483" t="inlineStr">
        <is>
          <t>2262092770002656</t>
        </is>
      </c>
      <c r="BB483" t="inlineStr">
        <is>
          <t>BOOK</t>
        </is>
      </c>
      <c r="BD483" t="inlineStr">
        <is>
          <t>9780870410758</t>
        </is>
      </c>
      <c r="BE483" t="inlineStr">
        <is>
          <t>30001000046534</t>
        </is>
      </c>
      <c r="BF483" t="inlineStr">
        <is>
          <t>893267309</t>
        </is>
      </c>
    </row>
    <row r="484">
      <c r="B484" t="inlineStr">
        <is>
          <t>CUHSL</t>
        </is>
      </c>
      <c r="C484" t="inlineStr">
        <is>
          <t>SHELVES</t>
        </is>
      </c>
      <c r="D484" t="inlineStr">
        <is>
          <t>QV600 G618 2002</t>
        </is>
      </c>
      <c r="E484" t="inlineStr">
        <is>
          <t>0                      QV 0600000G  618         2002</t>
        </is>
      </c>
      <c r="F484" t="inlineStr">
        <is>
          <t>Goldfrank's toxicologic emergencies / [edited by] Lewis R. Goldfrank ... [et al.] ; with 116 contributors.</t>
        </is>
      </c>
      <c r="H484" t="inlineStr">
        <is>
          <t>No</t>
        </is>
      </c>
      <c r="I484" t="inlineStr">
        <is>
          <t>1</t>
        </is>
      </c>
      <c r="J484" t="inlineStr">
        <is>
          <t>No</t>
        </is>
      </c>
      <c r="K484" t="inlineStr">
        <is>
          <t>Yes</t>
        </is>
      </c>
      <c r="L484" t="inlineStr">
        <is>
          <t>1</t>
        </is>
      </c>
      <c r="N484" t="inlineStr">
        <is>
          <t>New York : McGraw-Hill Medical Pub. Division, c2002.</t>
        </is>
      </c>
      <c r="O484" t="inlineStr">
        <is>
          <t>2002</t>
        </is>
      </c>
      <c r="P484" t="inlineStr">
        <is>
          <t>7th ed.</t>
        </is>
      </c>
      <c r="Q484" t="inlineStr">
        <is>
          <t>eng</t>
        </is>
      </c>
      <c r="R484" t="inlineStr">
        <is>
          <t>nyu</t>
        </is>
      </c>
      <c r="T484" t="inlineStr">
        <is>
          <t xml:space="preserve">QV </t>
        </is>
      </c>
      <c r="U484" t="n">
        <v>5</v>
      </c>
      <c r="V484" t="n">
        <v>5</v>
      </c>
      <c r="W484" t="inlineStr">
        <is>
          <t>2005-07-28</t>
        </is>
      </c>
      <c r="X484" t="inlineStr">
        <is>
          <t>2005-07-28</t>
        </is>
      </c>
      <c r="Y484" t="inlineStr">
        <is>
          <t>2002-12-19</t>
        </is>
      </c>
      <c r="Z484" t="inlineStr">
        <is>
          <t>2002-12-19</t>
        </is>
      </c>
      <c r="AA484" t="n">
        <v>290</v>
      </c>
      <c r="AB484" t="n">
        <v>235</v>
      </c>
      <c r="AC484" t="n">
        <v>809</v>
      </c>
      <c r="AD484" t="n">
        <v>1</v>
      </c>
      <c r="AE484" t="n">
        <v>4</v>
      </c>
      <c r="AF484" t="n">
        <v>7</v>
      </c>
      <c r="AG484" t="n">
        <v>19</v>
      </c>
      <c r="AH484" t="n">
        <v>3</v>
      </c>
      <c r="AI484" t="n">
        <v>8</v>
      </c>
      <c r="AJ484" t="n">
        <v>2</v>
      </c>
      <c r="AK484" t="n">
        <v>4</v>
      </c>
      <c r="AL484" t="n">
        <v>2</v>
      </c>
      <c r="AM484" t="n">
        <v>7</v>
      </c>
      <c r="AN484" t="n">
        <v>0</v>
      </c>
      <c r="AO484" t="n">
        <v>2</v>
      </c>
      <c r="AP484" t="n">
        <v>0</v>
      </c>
      <c r="AQ484" t="n">
        <v>1</v>
      </c>
      <c r="AR484" t="inlineStr">
        <is>
          <t>No</t>
        </is>
      </c>
      <c r="AS484" t="inlineStr">
        <is>
          <t>Yes</t>
        </is>
      </c>
      <c r="AT484">
        <f>HYPERLINK("http://catalog.hathitrust.org/Record/004250759","HathiTrust Record")</f>
        <v/>
      </c>
      <c r="AU484">
        <f>HYPERLINK("https://creighton-primo.hosted.exlibrisgroup.com/primo-explore/search?tab=default_tab&amp;search_scope=EVERYTHING&amp;vid=01CRU&amp;lang=en_US&amp;offset=0&amp;query=any,contains,991000333899702656","Catalog Record")</f>
        <v/>
      </c>
      <c r="AV484">
        <f>HYPERLINK("http://www.worldcat.org/oclc/48177200","WorldCat Record")</f>
        <v/>
      </c>
      <c r="AW484" t="inlineStr">
        <is>
          <t>1077195727:eng</t>
        </is>
      </c>
      <c r="AX484" t="inlineStr">
        <is>
          <t>48177200</t>
        </is>
      </c>
      <c r="AY484" t="inlineStr">
        <is>
          <t>991000333899702656</t>
        </is>
      </c>
      <c r="AZ484" t="inlineStr">
        <is>
          <t>991000333899702656</t>
        </is>
      </c>
      <c r="BA484" t="inlineStr">
        <is>
          <t>2255886790002656</t>
        </is>
      </c>
      <c r="BB484" t="inlineStr">
        <is>
          <t>BOOK</t>
        </is>
      </c>
      <c r="BD484" t="inlineStr">
        <is>
          <t>9780071360012</t>
        </is>
      </c>
      <c r="BE484" t="inlineStr">
        <is>
          <t>30001004500841</t>
        </is>
      </c>
      <c r="BF484" t="inlineStr">
        <is>
          <t>893728300</t>
        </is>
      </c>
    </row>
    <row r="485">
      <c r="B485" t="inlineStr">
        <is>
          <t>CUHSL</t>
        </is>
      </c>
      <c r="C485" t="inlineStr">
        <is>
          <t>SHELVES</t>
        </is>
      </c>
      <c r="D485" t="inlineStr">
        <is>
          <t>QV600 G6785p 1994</t>
        </is>
      </c>
      <c r="E485" t="inlineStr">
        <is>
          <t>0                      QV 0600000G  6785p       1994</t>
        </is>
      </c>
      <c r="F485" t="inlineStr">
        <is>
          <t>Principles of clinical toxicology / Thomas A. Gossel, J. Douglas Bricker.</t>
        </is>
      </c>
      <c r="H485" t="inlineStr">
        <is>
          <t>No</t>
        </is>
      </c>
      <c r="I485" t="inlineStr">
        <is>
          <t>1</t>
        </is>
      </c>
      <c r="J485" t="inlineStr">
        <is>
          <t>No</t>
        </is>
      </c>
      <c r="K485" t="inlineStr">
        <is>
          <t>No</t>
        </is>
      </c>
      <c r="L485" t="inlineStr">
        <is>
          <t>0</t>
        </is>
      </c>
      <c r="M485" t="inlineStr">
        <is>
          <t>Gossel, Thomas A.</t>
        </is>
      </c>
      <c r="N485" t="inlineStr">
        <is>
          <t>New York : Raven Press, c1994.</t>
        </is>
      </c>
      <c r="O485" t="inlineStr">
        <is>
          <t>1994</t>
        </is>
      </c>
      <c r="P485" t="inlineStr">
        <is>
          <t>3rd ed.</t>
        </is>
      </c>
      <c r="Q485" t="inlineStr">
        <is>
          <t>eng</t>
        </is>
      </c>
      <c r="R485" t="inlineStr">
        <is>
          <t>nyu</t>
        </is>
      </c>
      <c r="T485" t="inlineStr">
        <is>
          <t xml:space="preserve">QV </t>
        </is>
      </c>
      <c r="U485" t="n">
        <v>1</v>
      </c>
      <c r="V485" t="n">
        <v>1</v>
      </c>
      <c r="W485" t="inlineStr">
        <is>
          <t>2010-10-06</t>
        </is>
      </c>
      <c r="X485" t="inlineStr">
        <is>
          <t>2010-10-06</t>
        </is>
      </c>
      <c r="Y485" t="inlineStr">
        <is>
          <t>2002-07-02</t>
        </is>
      </c>
      <c r="Z485" t="inlineStr">
        <is>
          <t>2002-07-02</t>
        </is>
      </c>
      <c r="AA485" t="n">
        <v>192</v>
      </c>
      <c r="AB485" t="n">
        <v>128</v>
      </c>
      <c r="AC485" t="n">
        <v>257</v>
      </c>
      <c r="AD485" t="n">
        <v>1</v>
      </c>
      <c r="AE485" t="n">
        <v>1</v>
      </c>
      <c r="AF485" t="n">
        <v>3</v>
      </c>
      <c r="AG485" t="n">
        <v>7</v>
      </c>
      <c r="AH485" t="n">
        <v>2</v>
      </c>
      <c r="AI485" t="n">
        <v>4</v>
      </c>
      <c r="AJ485" t="n">
        <v>1</v>
      </c>
      <c r="AK485" t="n">
        <v>3</v>
      </c>
      <c r="AL485" t="n">
        <v>0</v>
      </c>
      <c r="AM485" t="n">
        <v>1</v>
      </c>
      <c r="AN485" t="n">
        <v>0</v>
      </c>
      <c r="AO485" t="n">
        <v>0</v>
      </c>
      <c r="AP485" t="n">
        <v>0</v>
      </c>
      <c r="AQ485" t="n">
        <v>0</v>
      </c>
      <c r="AR485" t="inlineStr">
        <is>
          <t>No</t>
        </is>
      </c>
      <c r="AS485" t="inlineStr">
        <is>
          <t>No</t>
        </is>
      </c>
      <c r="AU485">
        <f>HYPERLINK("https://creighton-primo.hosted.exlibrisgroup.com/primo-explore/search?tab=default_tab&amp;search_scope=EVERYTHING&amp;vid=01CRU&amp;lang=en_US&amp;offset=0&amp;query=any,contains,991000320899702656","Catalog Record")</f>
        <v/>
      </c>
      <c r="AV485">
        <f>HYPERLINK("http://www.worldcat.org/oclc/28965101","WorldCat Record")</f>
        <v/>
      </c>
      <c r="AW485" t="inlineStr">
        <is>
          <t>3010345:eng</t>
        </is>
      </c>
      <c r="AX485" t="inlineStr">
        <is>
          <t>28965101</t>
        </is>
      </c>
      <c r="AY485" t="inlineStr">
        <is>
          <t>991000320899702656</t>
        </is>
      </c>
      <c r="AZ485" t="inlineStr">
        <is>
          <t>991000320899702656</t>
        </is>
      </c>
      <c r="BA485" t="inlineStr">
        <is>
          <t>2256838350002656</t>
        </is>
      </c>
      <c r="BB485" t="inlineStr">
        <is>
          <t>BOOK</t>
        </is>
      </c>
      <c r="BD485" t="inlineStr">
        <is>
          <t>9780781701259</t>
        </is>
      </c>
      <c r="BE485" t="inlineStr">
        <is>
          <t>30001004442515</t>
        </is>
      </c>
      <c r="BF485" t="inlineStr">
        <is>
          <t>893122973</t>
        </is>
      </c>
    </row>
    <row r="486">
      <c r="B486" t="inlineStr">
        <is>
          <t>CUHSL</t>
        </is>
      </c>
      <c r="C486" t="inlineStr">
        <is>
          <t>SHELVES</t>
        </is>
      </c>
      <c r="D486" t="inlineStr">
        <is>
          <t>QV 600 I61n 1998</t>
        </is>
      </c>
      <c r="E486" t="inlineStr">
        <is>
          <t>0                      QV 0600000I  61n         1998</t>
        </is>
      </c>
      <c r="F486" t="inlineStr">
        <is>
          <t>Natural antioxidants and anticarcinogens in nutrition, health and disease / edited by J.T. Kumpulainen, J.T. Salonen.</t>
        </is>
      </c>
      <c r="H486" t="inlineStr">
        <is>
          <t>No</t>
        </is>
      </c>
      <c r="I486" t="inlineStr">
        <is>
          <t>1</t>
        </is>
      </c>
      <c r="J486" t="inlineStr">
        <is>
          <t>No</t>
        </is>
      </c>
      <c r="K486" t="inlineStr">
        <is>
          <t>No</t>
        </is>
      </c>
      <c r="L486" t="inlineStr">
        <is>
          <t>0</t>
        </is>
      </c>
      <c r="M486" t="inlineStr">
        <is>
          <t>International Conference on Natural Antioxidants and Anticarcinogens in Nutrition, Health and Disease (2nd : 1998 : Helsinki, Finland)</t>
        </is>
      </c>
      <c r="N486" t="inlineStr">
        <is>
          <t>Cambridge : Royal Society of Chemistry, c1999.</t>
        </is>
      </c>
      <c r="O486" t="inlineStr">
        <is>
          <t>1999</t>
        </is>
      </c>
      <c r="Q486" t="inlineStr">
        <is>
          <t>eng</t>
        </is>
      </c>
      <c r="R486" t="inlineStr">
        <is>
          <t>enk</t>
        </is>
      </c>
      <c r="S486" t="inlineStr">
        <is>
          <t>Special publication ; no. 240</t>
        </is>
      </c>
      <c r="T486" t="inlineStr">
        <is>
          <t xml:space="preserve">QV </t>
        </is>
      </c>
      <c r="U486" t="n">
        <v>5</v>
      </c>
      <c r="V486" t="n">
        <v>5</v>
      </c>
      <c r="W486" t="inlineStr">
        <is>
          <t>2001-03-06</t>
        </is>
      </c>
      <c r="X486" t="inlineStr">
        <is>
          <t>2001-03-06</t>
        </is>
      </c>
      <c r="Y486" t="inlineStr">
        <is>
          <t>1999-09-30</t>
        </is>
      </c>
      <c r="Z486" t="inlineStr">
        <is>
          <t>1999-09-30</t>
        </is>
      </c>
      <c r="AA486" t="n">
        <v>164</v>
      </c>
      <c r="AB486" t="n">
        <v>97</v>
      </c>
      <c r="AC486" t="n">
        <v>148</v>
      </c>
      <c r="AD486" t="n">
        <v>1</v>
      </c>
      <c r="AE486" t="n">
        <v>1</v>
      </c>
      <c r="AF486" t="n">
        <v>1</v>
      </c>
      <c r="AG486" t="n">
        <v>3</v>
      </c>
      <c r="AH486" t="n">
        <v>0</v>
      </c>
      <c r="AI486" t="n">
        <v>1</v>
      </c>
      <c r="AJ486" t="n">
        <v>1</v>
      </c>
      <c r="AK486" t="n">
        <v>2</v>
      </c>
      <c r="AL486" t="n">
        <v>0</v>
      </c>
      <c r="AM486" t="n">
        <v>0</v>
      </c>
      <c r="AN486" t="n">
        <v>0</v>
      </c>
      <c r="AO486" t="n">
        <v>0</v>
      </c>
      <c r="AP486" t="n">
        <v>0</v>
      </c>
      <c r="AQ486" t="n">
        <v>0</v>
      </c>
      <c r="AR486" t="inlineStr">
        <is>
          <t>No</t>
        </is>
      </c>
      <c r="AS486" t="inlineStr">
        <is>
          <t>No</t>
        </is>
      </c>
      <c r="AU486">
        <f>HYPERLINK("https://creighton-primo.hosted.exlibrisgroup.com/primo-explore/search?tab=default_tab&amp;search_scope=EVERYTHING&amp;vid=01CRU&amp;lang=en_US&amp;offset=0&amp;query=any,contains,991001565289702656","Catalog Record")</f>
        <v/>
      </c>
      <c r="AV486">
        <f>HYPERLINK("http://www.worldcat.org/oclc/47013533","WorldCat Record")</f>
        <v/>
      </c>
      <c r="AW486" t="inlineStr">
        <is>
          <t>9936918464:eng</t>
        </is>
      </c>
      <c r="AX486" t="inlineStr">
        <is>
          <t>47013533</t>
        </is>
      </c>
      <c r="AY486" t="inlineStr">
        <is>
          <t>991001565289702656</t>
        </is>
      </c>
      <c r="AZ486" t="inlineStr">
        <is>
          <t>991001565289702656</t>
        </is>
      </c>
      <c r="BA486" t="inlineStr">
        <is>
          <t>2268166540002656</t>
        </is>
      </c>
      <c r="BB486" t="inlineStr">
        <is>
          <t>BOOK</t>
        </is>
      </c>
      <c r="BD486" t="inlineStr">
        <is>
          <t>9780854047932</t>
        </is>
      </c>
      <c r="BE486" t="inlineStr">
        <is>
          <t>30001004015030</t>
        </is>
      </c>
      <c r="BF486" t="inlineStr">
        <is>
          <t>893374742</t>
        </is>
      </c>
    </row>
    <row r="487">
      <c r="B487" t="inlineStr">
        <is>
          <t>CUHSL</t>
        </is>
      </c>
      <c r="C487" t="inlineStr">
        <is>
          <t>SHELVES</t>
        </is>
      </c>
      <c r="D487" t="inlineStr">
        <is>
          <t>QV 600 L863e 1978</t>
        </is>
      </c>
      <c r="E487" t="inlineStr">
        <is>
          <t>0                      QV 0600000L  863e        1978</t>
        </is>
      </c>
      <c r="F487" t="inlineStr">
        <is>
          <t>Essentials of toxicology / Ted A. Loomis.</t>
        </is>
      </c>
      <c r="H487" t="inlineStr">
        <is>
          <t>No</t>
        </is>
      </c>
      <c r="I487" t="inlineStr">
        <is>
          <t>1</t>
        </is>
      </c>
      <c r="J487" t="inlineStr">
        <is>
          <t>No</t>
        </is>
      </c>
      <c r="K487" t="inlineStr">
        <is>
          <t>No</t>
        </is>
      </c>
      <c r="L487" t="inlineStr">
        <is>
          <t>0</t>
        </is>
      </c>
      <c r="M487" t="inlineStr">
        <is>
          <t>Loomis, Ted A.</t>
        </is>
      </c>
      <c r="N487" t="inlineStr">
        <is>
          <t>Philadelphia : Lea &amp; Febiger, 1978.</t>
        </is>
      </c>
      <c r="O487" t="inlineStr">
        <is>
          <t>1978</t>
        </is>
      </c>
      <c r="P487" t="inlineStr">
        <is>
          <t>-- 3d ed. --</t>
        </is>
      </c>
      <c r="Q487" t="inlineStr">
        <is>
          <t>eng</t>
        </is>
      </c>
      <c r="R487" t="inlineStr">
        <is>
          <t>pau</t>
        </is>
      </c>
      <c r="T487" t="inlineStr">
        <is>
          <t xml:space="preserve">QV </t>
        </is>
      </c>
      <c r="U487" t="n">
        <v>7</v>
      </c>
      <c r="V487" t="n">
        <v>7</v>
      </c>
      <c r="W487" t="inlineStr">
        <is>
          <t>1995-01-25</t>
        </is>
      </c>
      <c r="X487" t="inlineStr">
        <is>
          <t>1995-01-25</t>
        </is>
      </c>
      <c r="Y487" t="inlineStr">
        <is>
          <t>1988-12-30</t>
        </is>
      </c>
      <c r="Z487" t="inlineStr">
        <is>
          <t>1988-12-30</t>
        </is>
      </c>
      <c r="AA487" t="n">
        <v>375</v>
      </c>
      <c r="AB487" t="n">
        <v>299</v>
      </c>
      <c r="AC487" t="n">
        <v>437</v>
      </c>
      <c r="AD487" t="n">
        <v>1</v>
      </c>
      <c r="AE487" t="n">
        <v>1</v>
      </c>
      <c r="AF487" t="n">
        <v>8</v>
      </c>
      <c r="AG487" t="n">
        <v>9</v>
      </c>
      <c r="AH487" t="n">
        <v>1</v>
      </c>
      <c r="AI487" t="n">
        <v>1</v>
      </c>
      <c r="AJ487" t="n">
        <v>4</v>
      </c>
      <c r="AK487" t="n">
        <v>4</v>
      </c>
      <c r="AL487" t="n">
        <v>5</v>
      </c>
      <c r="AM487" t="n">
        <v>6</v>
      </c>
      <c r="AN487" t="n">
        <v>0</v>
      </c>
      <c r="AO487" t="n">
        <v>0</v>
      </c>
      <c r="AP487" t="n">
        <v>0</v>
      </c>
      <c r="AQ487" t="n">
        <v>0</v>
      </c>
      <c r="AR487" t="inlineStr">
        <is>
          <t>No</t>
        </is>
      </c>
      <c r="AS487" t="inlineStr">
        <is>
          <t>Yes</t>
        </is>
      </c>
      <c r="AT487">
        <f>HYPERLINK("http://catalog.hathitrust.org/Record/000137169","HathiTrust Record")</f>
        <v/>
      </c>
      <c r="AU487">
        <f>HYPERLINK("https://creighton-primo.hosted.exlibrisgroup.com/primo-explore/search?tab=default_tab&amp;search_scope=EVERYTHING&amp;vid=01CRU&amp;lang=en_US&amp;offset=0&amp;query=any,contains,991000962759702656","Catalog Record")</f>
        <v/>
      </c>
      <c r="AV487">
        <f>HYPERLINK("http://www.worldcat.org/oclc/3892709","WorldCat Record")</f>
        <v/>
      </c>
      <c r="AW487" t="inlineStr">
        <is>
          <t>472156:eng</t>
        </is>
      </c>
      <c r="AX487" t="inlineStr">
        <is>
          <t>3892709</t>
        </is>
      </c>
      <c r="AY487" t="inlineStr">
        <is>
          <t>991000962759702656</t>
        </is>
      </c>
      <c r="AZ487" t="inlineStr">
        <is>
          <t>991000962759702656</t>
        </is>
      </c>
      <c r="BA487" t="inlineStr">
        <is>
          <t>2272321330002656</t>
        </is>
      </c>
      <c r="BB487" t="inlineStr">
        <is>
          <t>BOOK</t>
        </is>
      </c>
      <c r="BD487" t="inlineStr">
        <is>
          <t>9780812106473</t>
        </is>
      </c>
      <c r="BE487" t="inlineStr">
        <is>
          <t>30001000198426</t>
        </is>
      </c>
      <c r="BF487" t="inlineStr">
        <is>
          <t>893740613</t>
        </is>
      </c>
    </row>
    <row r="488">
      <c r="B488" t="inlineStr">
        <is>
          <t>CUHSL</t>
        </is>
      </c>
      <c r="C488" t="inlineStr">
        <is>
          <t>SHELVES</t>
        </is>
      </c>
      <c r="D488" t="inlineStr">
        <is>
          <t>QV 600 M437t 1975</t>
        </is>
      </c>
      <c r="E488" t="inlineStr">
        <is>
          <t>0                      QV 0600000M  437t        1975</t>
        </is>
      </c>
      <c r="F488" t="inlineStr">
        <is>
          <t>Treatment of common acute poisonings / Henry Matthew, Alexander A.H. Lawson ; foreword by Sir Derrick Dunlop.</t>
        </is>
      </c>
      <c r="H488" t="inlineStr">
        <is>
          <t>No</t>
        </is>
      </c>
      <c r="I488" t="inlineStr">
        <is>
          <t>1</t>
        </is>
      </c>
      <c r="J488" t="inlineStr">
        <is>
          <t>No</t>
        </is>
      </c>
      <c r="K488" t="inlineStr">
        <is>
          <t>No</t>
        </is>
      </c>
      <c r="L488" t="inlineStr">
        <is>
          <t>0</t>
        </is>
      </c>
      <c r="M488" t="inlineStr">
        <is>
          <t>Matthew, Henry.</t>
        </is>
      </c>
      <c r="N488" t="inlineStr">
        <is>
          <t>Edinburgh ; New York : Churchill Livingstone ; New York : distributed by Longman, 1975.</t>
        </is>
      </c>
      <c r="O488" t="inlineStr">
        <is>
          <t>1975</t>
        </is>
      </c>
      <c r="P488" t="inlineStr">
        <is>
          <t>3rd ed.</t>
        </is>
      </c>
      <c r="Q488" t="inlineStr">
        <is>
          <t>eng</t>
        </is>
      </c>
      <c r="R488" t="inlineStr">
        <is>
          <t>stk</t>
        </is>
      </c>
      <c r="T488" t="inlineStr">
        <is>
          <t xml:space="preserve">QV </t>
        </is>
      </c>
      <c r="U488" t="n">
        <v>3</v>
      </c>
      <c r="V488" t="n">
        <v>3</v>
      </c>
      <c r="W488" t="inlineStr">
        <is>
          <t>1996-10-15</t>
        </is>
      </c>
      <c r="X488" t="inlineStr">
        <is>
          <t>1996-10-15</t>
        </is>
      </c>
      <c r="Y488" t="inlineStr">
        <is>
          <t>1988-08-23</t>
        </is>
      </c>
      <c r="Z488" t="inlineStr">
        <is>
          <t>1988-08-23</t>
        </is>
      </c>
      <c r="AA488" t="n">
        <v>129</v>
      </c>
      <c r="AB488" t="n">
        <v>75</v>
      </c>
      <c r="AC488" t="n">
        <v>157</v>
      </c>
      <c r="AD488" t="n">
        <v>2</v>
      </c>
      <c r="AE488" t="n">
        <v>2</v>
      </c>
      <c r="AF488" t="n">
        <v>1</v>
      </c>
      <c r="AG488" t="n">
        <v>1</v>
      </c>
      <c r="AH488" t="n">
        <v>0</v>
      </c>
      <c r="AI488" t="n">
        <v>0</v>
      </c>
      <c r="AJ488" t="n">
        <v>0</v>
      </c>
      <c r="AK488" t="n">
        <v>0</v>
      </c>
      <c r="AL488" t="n">
        <v>0</v>
      </c>
      <c r="AM488" t="n">
        <v>0</v>
      </c>
      <c r="AN488" t="n">
        <v>1</v>
      </c>
      <c r="AO488" t="n">
        <v>1</v>
      </c>
      <c r="AP488" t="n">
        <v>0</v>
      </c>
      <c r="AQ488" t="n">
        <v>0</v>
      </c>
      <c r="AR488" t="inlineStr">
        <is>
          <t>No</t>
        </is>
      </c>
      <c r="AS488" t="inlineStr">
        <is>
          <t>Yes</t>
        </is>
      </c>
      <c r="AT488">
        <f>HYPERLINK("http://catalog.hathitrust.org/Record/000039152","HathiTrust Record")</f>
        <v/>
      </c>
      <c r="AU488">
        <f>HYPERLINK("https://creighton-primo.hosted.exlibrisgroup.com/primo-explore/search?tab=default_tab&amp;search_scope=EVERYTHING&amp;vid=01CRU&amp;lang=en_US&amp;offset=0&amp;query=any,contains,991000962819702656","Catalog Record")</f>
        <v/>
      </c>
      <c r="AV488">
        <f>HYPERLINK("http://www.worldcat.org/oclc/1157661","WorldCat Record")</f>
        <v/>
      </c>
      <c r="AW488" t="inlineStr">
        <is>
          <t>1332510:eng</t>
        </is>
      </c>
      <c r="AX488" t="inlineStr">
        <is>
          <t>1157661</t>
        </is>
      </c>
      <c r="AY488" t="inlineStr">
        <is>
          <t>991000962819702656</t>
        </is>
      </c>
      <c r="AZ488" t="inlineStr">
        <is>
          <t>991000962819702656</t>
        </is>
      </c>
      <c r="BA488" t="inlineStr">
        <is>
          <t>2264044570002656</t>
        </is>
      </c>
      <c r="BB488" t="inlineStr">
        <is>
          <t>BOOK</t>
        </is>
      </c>
      <c r="BD488" t="inlineStr">
        <is>
          <t>9780443012174</t>
        </is>
      </c>
      <c r="BE488" t="inlineStr">
        <is>
          <t>30001000198442</t>
        </is>
      </c>
      <c r="BF488" t="inlineStr">
        <is>
          <t>893363588</t>
        </is>
      </c>
    </row>
    <row r="489">
      <c r="B489" t="inlineStr">
        <is>
          <t>CUHSL</t>
        </is>
      </c>
      <c r="C489" t="inlineStr">
        <is>
          <t>SHELVES</t>
        </is>
      </c>
      <c r="D489" t="inlineStr">
        <is>
          <t>QV600 M489 1997</t>
        </is>
      </c>
      <c r="E489" t="inlineStr">
        <is>
          <t>0                      QV 0600000M  489         1997</t>
        </is>
      </c>
      <c r="F489" t="inlineStr">
        <is>
          <t>Ellenhorn's medical toxicology : diagnosis and treatment of human poisoning / Matthew J. Ellenhorn ... [et al.]. ; technical associate, Sylvia Syma Ellenhorn.</t>
        </is>
      </c>
      <c r="H489" t="inlineStr">
        <is>
          <t>No</t>
        </is>
      </c>
      <c r="I489" t="inlineStr">
        <is>
          <t>1</t>
        </is>
      </c>
      <c r="J489" t="inlineStr">
        <is>
          <t>No</t>
        </is>
      </c>
      <c r="K489" t="inlineStr">
        <is>
          <t>No</t>
        </is>
      </c>
      <c r="L489" t="inlineStr">
        <is>
          <t>0</t>
        </is>
      </c>
      <c r="N489" t="inlineStr">
        <is>
          <t>Baltimore : Williams &amp; Wilkins, c1997.</t>
        </is>
      </c>
      <c r="O489" t="inlineStr">
        <is>
          <t>1997</t>
        </is>
      </c>
      <c r="P489" t="inlineStr">
        <is>
          <t>2nd ed.</t>
        </is>
      </c>
      <c r="Q489" t="inlineStr">
        <is>
          <t>eng</t>
        </is>
      </c>
      <c r="R489" t="inlineStr">
        <is>
          <t>mdu</t>
        </is>
      </c>
      <c r="T489" t="inlineStr">
        <is>
          <t xml:space="preserve">QV </t>
        </is>
      </c>
      <c r="U489" t="n">
        <v>17</v>
      </c>
      <c r="V489" t="n">
        <v>17</v>
      </c>
      <c r="W489" t="inlineStr">
        <is>
          <t>2009-07-13</t>
        </is>
      </c>
      <c r="X489" t="inlineStr">
        <is>
          <t>2009-07-13</t>
        </is>
      </c>
      <c r="Y489" t="inlineStr">
        <is>
          <t>1997-04-14</t>
        </is>
      </c>
      <c r="Z489" t="inlineStr">
        <is>
          <t>1997-04-14</t>
        </is>
      </c>
      <c r="AA489" t="n">
        <v>341</v>
      </c>
      <c r="AB489" t="n">
        <v>268</v>
      </c>
      <c r="AC489" t="n">
        <v>274</v>
      </c>
      <c r="AD489" t="n">
        <v>2</v>
      </c>
      <c r="AE489" t="n">
        <v>2</v>
      </c>
      <c r="AF489" t="n">
        <v>4</v>
      </c>
      <c r="AG489" t="n">
        <v>5</v>
      </c>
      <c r="AH489" t="n">
        <v>1</v>
      </c>
      <c r="AI489" t="n">
        <v>1</v>
      </c>
      <c r="AJ489" t="n">
        <v>3</v>
      </c>
      <c r="AK489" t="n">
        <v>4</v>
      </c>
      <c r="AL489" t="n">
        <v>1</v>
      </c>
      <c r="AM489" t="n">
        <v>2</v>
      </c>
      <c r="AN489" t="n">
        <v>0</v>
      </c>
      <c r="AO489" t="n">
        <v>0</v>
      </c>
      <c r="AP489" t="n">
        <v>0</v>
      </c>
      <c r="AQ489" t="n">
        <v>0</v>
      </c>
      <c r="AR489" t="inlineStr">
        <is>
          <t>No</t>
        </is>
      </c>
      <c r="AS489" t="inlineStr">
        <is>
          <t>No</t>
        </is>
      </c>
      <c r="AU489">
        <f>HYPERLINK("https://creighton-primo.hosted.exlibrisgroup.com/primo-explore/search?tab=default_tab&amp;search_scope=EVERYTHING&amp;vid=01CRU&amp;lang=en_US&amp;offset=0&amp;query=any,contains,991000838819702656","Catalog Record")</f>
        <v/>
      </c>
      <c r="AV489">
        <f>HYPERLINK("http://www.worldcat.org/oclc/34471102","WorldCat Record")</f>
        <v/>
      </c>
      <c r="AW489" t="inlineStr">
        <is>
          <t>3856640534:eng</t>
        </is>
      </c>
      <c r="AX489" t="inlineStr">
        <is>
          <t>34471102</t>
        </is>
      </c>
      <c r="AY489" t="inlineStr">
        <is>
          <t>991000838819702656</t>
        </is>
      </c>
      <c r="AZ489" t="inlineStr">
        <is>
          <t>991000838819702656</t>
        </is>
      </c>
      <c r="BA489" t="inlineStr">
        <is>
          <t>2264563310002656</t>
        </is>
      </c>
      <c r="BB489" t="inlineStr">
        <is>
          <t>BOOK</t>
        </is>
      </c>
      <c r="BD489" t="inlineStr">
        <is>
          <t>9780683300314</t>
        </is>
      </c>
      <c r="BE489" t="inlineStr">
        <is>
          <t>30001003443431</t>
        </is>
      </c>
      <c r="BF489" t="inlineStr">
        <is>
          <t>893455173</t>
        </is>
      </c>
    </row>
    <row r="490">
      <c r="B490" t="inlineStr">
        <is>
          <t>CUHSL</t>
        </is>
      </c>
      <c r="C490" t="inlineStr">
        <is>
          <t>SHELVES</t>
        </is>
      </c>
      <c r="D490" t="inlineStr">
        <is>
          <t>QV 600 O33t 1981</t>
        </is>
      </c>
      <c r="E490" t="inlineStr">
        <is>
          <t>0                      QV 0600000O  33t         1981</t>
        </is>
      </c>
      <c r="F490" t="inlineStr">
        <is>
          <t>Toxicants and drugs : kinetics and dynamics / Ellen J. O'Flaherty.</t>
        </is>
      </c>
      <c r="H490" t="inlineStr">
        <is>
          <t>No</t>
        </is>
      </c>
      <c r="I490" t="inlineStr">
        <is>
          <t>1</t>
        </is>
      </c>
      <c r="J490" t="inlineStr">
        <is>
          <t>No</t>
        </is>
      </c>
      <c r="K490" t="inlineStr">
        <is>
          <t>No</t>
        </is>
      </c>
      <c r="L490" t="inlineStr">
        <is>
          <t>0</t>
        </is>
      </c>
      <c r="M490" t="inlineStr">
        <is>
          <t>O'Flaherty, Ellen J., 1936-</t>
        </is>
      </c>
      <c r="N490" t="inlineStr">
        <is>
          <t>New York : Wiley, c1981.</t>
        </is>
      </c>
      <c r="O490" t="inlineStr">
        <is>
          <t>1981</t>
        </is>
      </c>
      <c r="Q490" t="inlineStr">
        <is>
          <t>eng</t>
        </is>
      </c>
      <c r="R490" t="inlineStr">
        <is>
          <t>xxu</t>
        </is>
      </c>
      <c r="T490" t="inlineStr">
        <is>
          <t xml:space="preserve">QV </t>
        </is>
      </c>
      <c r="U490" t="n">
        <v>3</v>
      </c>
      <c r="V490" t="n">
        <v>3</v>
      </c>
      <c r="W490" t="inlineStr">
        <is>
          <t>2000-03-20</t>
        </is>
      </c>
      <c r="X490" t="inlineStr">
        <is>
          <t>2000-03-20</t>
        </is>
      </c>
      <c r="Y490" t="inlineStr">
        <is>
          <t>1988-02-09</t>
        </is>
      </c>
      <c r="Z490" t="inlineStr">
        <is>
          <t>1988-02-09</t>
        </is>
      </c>
      <c r="AA490" t="n">
        <v>221</v>
      </c>
      <c r="AB490" t="n">
        <v>177</v>
      </c>
      <c r="AC490" t="n">
        <v>186</v>
      </c>
      <c r="AD490" t="n">
        <v>2</v>
      </c>
      <c r="AE490" t="n">
        <v>2</v>
      </c>
      <c r="AF490" t="n">
        <v>4</v>
      </c>
      <c r="AG490" t="n">
        <v>4</v>
      </c>
      <c r="AH490" t="n">
        <v>3</v>
      </c>
      <c r="AI490" t="n">
        <v>3</v>
      </c>
      <c r="AJ490" t="n">
        <v>0</v>
      </c>
      <c r="AK490" t="n">
        <v>0</v>
      </c>
      <c r="AL490" t="n">
        <v>1</v>
      </c>
      <c r="AM490" t="n">
        <v>1</v>
      </c>
      <c r="AN490" t="n">
        <v>1</v>
      </c>
      <c r="AO490" t="n">
        <v>1</v>
      </c>
      <c r="AP490" t="n">
        <v>0</v>
      </c>
      <c r="AQ490" t="n">
        <v>0</v>
      </c>
      <c r="AR490" t="inlineStr">
        <is>
          <t>No</t>
        </is>
      </c>
      <c r="AS490" t="inlineStr">
        <is>
          <t>Yes</t>
        </is>
      </c>
      <c r="AT490">
        <f>HYPERLINK("http://catalog.hathitrust.org/Record/000101145","HathiTrust Record")</f>
        <v/>
      </c>
      <c r="AU490">
        <f>HYPERLINK("https://creighton-primo.hosted.exlibrisgroup.com/primo-explore/search?tab=default_tab&amp;search_scope=EVERYTHING&amp;vid=01CRU&amp;lang=en_US&amp;offset=0&amp;query=any,contains,991000962709702656","Catalog Record")</f>
        <v/>
      </c>
      <c r="AV490">
        <f>HYPERLINK("http://www.worldcat.org/oclc/6861807","WorldCat Record")</f>
        <v/>
      </c>
      <c r="AW490" t="inlineStr">
        <is>
          <t>311637230:eng</t>
        </is>
      </c>
      <c r="AX490" t="inlineStr">
        <is>
          <t>6861807</t>
        </is>
      </c>
      <c r="AY490" t="inlineStr">
        <is>
          <t>991000962709702656</t>
        </is>
      </c>
      <c r="AZ490" t="inlineStr">
        <is>
          <t>991000962709702656</t>
        </is>
      </c>
      <c r="BA490" t="inlineStr">
        <is>
          <t>2268695420002656</t>
        </is>
      </c>
      <c r="BB490" t="inlineStr">
        <is>
          <t>BOOK</t>
        </is>
      </c>
      <c r="BD490" t="inlineStr">
        <is>
          <t>9780471060475</t>
        </is>
      </c>
      <c r="BE490" t="inlineStr">
        <is>
          <t>30001000198368</t>
        </is>
      </c>
      <c r="BF490" t="inlineStr">
        <is>
          <t>893363587</t>
        </is>
      </c>
    </row>
    <row r="491">
      <c r="B491" t="inlineStr">
        <is>
          <t>CUHSL</t>
        </is>
      </c>
      <c r="C491" t="inlineStr">
        <is>
          <t>SHELVES</t>
        </is>
      </c>
      <c r="D491" t="inlineStr">
        <is>
          <t>QV600 O85c 1981</t>
        </is>
      </c>
      <c r="E491" t="inlineStr">
        <is>
          <t>0                      QV 0600000O  85c         1981</t>
        </is>
      </c>
      <c r="F491" t="inlineStr">
        <is>
          <t>Case studies in poisoning : a compilation of 50 clinical studies / Shirley K. Osterhout.</t>
        </is>
      </c>
      <c r="H491" t="inlineStr">
        <is>
          <t>No</t>
        </is>
      </c>
      <c r="I491" t="inlineStr">
        <is>
          <t>1</t>
        </is>
      </c>
      <c r="J491" t="inlineStr">
        <is>
          <t>No</t>
        </is>
      </c>
      <c r="K491" t="inlineStr">
        <is>
          <t>No</t>
        </is>
      </c>
      <c r="L491" t="inlineStr">
        <is>
          <t>0</t>
        </is>
      </c>
      <c r="M491" t="inlineStr">
        <is>
          <t>Osterhout, Shirley K.</t>
        </is>
      </c>
      <c r="N491" t="inlineStr">
        <is>
          <t>Garden City, N.Y. : Medical Examination Pub. Co., c1981.</t>
        </is>
      </c>
      <c r="O491" t="inlineStr">
        <is>
          <t>1981</t>
        </is>
      </c>
      <c r="Q491" t="inlineStr">
        <is>
          <t>eng</t>
        </is>
      </c>
      <c r="R491" t="inlineStr">
        <is>
          <t>nyu</t>
        </is>
      </c>
      <c r="T491" t="inlineStr">
        <is>
          <t xml:space="preserve">QV </t>
        </is>
      </c>
      <c r="U491" t="n">
        <v>14</v>
      </c>
      <c r="V491" t="n">
        <v>14</v>
      </c>
      <c r="W491" t="inlineStr">
        <is>
          <t>2003-08-27</t>
        </is>
      </c>
      <c r="X491" t="inlineStr">
        <is>
          <t>2003-08-27</t>
        </is>
      </c>
      <c r="Y491" t="inlineStr">
        <is>
          <t>1988-12-30</t>
        </is>
      </c>
      <c r="Z491" t="inlineStr">
        <is>
          <t>1988-12-30</t>
        </is>
      </c>
      <c r="AA491" t="n">
        <v>35</v>
      </c>
      <c r="AB491" t="n">
        <v>29</v>
      </c>
      <c r="AC491" t="n">
        <v>29</v>
      </c>
      <c r="AD491" t="n">
        <v>1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0</v>
      </c>
      <c r="AM491" t="n">
        <v>0</v>
      </c>
      <c r="AN491" t="n">
        <v>0</v>
      </c>
      <c r="AO491" t="n">
        <v>0</v>
      </c>
      <c r="AP491" t="n">
        <v>0</v>
      </c>
      <c r="AQ491" t="n">
        <v>0</v>
      </c>
      <c r="AR491" t="inlineStr">
        <is>
          <t>No</t>
        </is>
      </c>
      <c r="AS491" t="inlineStr">
        <is>
          <t>No</t>
        </is>
      </c>
      <c r="AU491">
        <f>HYPERLINK("https://creighton-primo.hosted.exlibrisgroup.com/primo-explore/search?tab=default_tab&amp;search_scope=EVERYTHING&amp;vid=01CRU&amp;lang=en_US&amp;offset=0&amp;query=any,contains,991000962669702656","Catalog Record")</f>
        <v/>
      </c>
      <c r="AV491">
        <f>HYPERLINK("http://www.worldcat.org/oclc/7554508","WorldCat Record")</f>
        <v/>
      </c>
      <c r="AW491" t="inlineStr">
        <is>
          <t>28571782:eng</t>
        </is>
      </c>
      <c r="AX491" t="inlineStr">
        <is>
          <t>7554508</t>
        </is>
      </c>
      <c r="AY491" t="inlineStr">
        <is>
          <t>991000962669702656</t>
        </is>
      </c>
      <c r="AZ491" t="inlineStr">
        <is>
          <t>991000962669702656</t>
        </is>
      </c>
      <c r="BA491" t="inlineStr">
        <is>
          <t>2264761980002656</t>
        </is>
      </c>
      <c r="BB491" t="inlineStr">
        <is>
          <t>BOOK</t>
        </is>
      </c>
      <c r="BD491" t="inlineStr">
        <is>
          <t>9780874880618</t>
        </is>
      </c>
      <c r="BE491" t="inlineStr">
        <is>
          <t>30001000198350</t>
        </is>
      </c>
      <c r="BF491" t="inlineStr">
        <is>
          <t>893278529</t>
        </is>
      </c>
    </row>
    <row r="492">
      <c r="B492" t="inlineStr">
        <is>
          <t>CUHSL</t>
        </is>
      </c>
      <c r="C492" t="inlineStr">
        <is>
          <t>SHELVES</t>
        </is>
      </c>
      <c r="D492" t="inlineStr">
        <is>
          <t>QV 600 P754 1983</t>
        </is>
      </c>
      <c r="E492" t="inlineStr">
        <is>
          <t>0                      QV 0600000P  754         1983</t>
        </is>
      </c>
      <c r="F492" t="inlineStr">
        <is>
          <t>Poisoning &amp; overdose / Marc J. Bayer, Barry H. Rumack, editors.</t>
        </is>
      </c>
      <c r="H492" t="inlineStr">
        <is>
          <t>No</t>
        </is>
      </c>
      <c r="I492" t="inlineStr">
        <is>
          <t>1</t>
        </is>
      </c>
      <c r="J492" t="inlineStr">
        <is>
          <t>No</t>
        </is>
      </c>
      <c r="K492" t="inlineStr">
        <is>
          <t>No</t>
        </is>
      </c>
      <c r="L492" t="inlineStr">
        <is>
          <t>0</t>
        </is>
      </c>
      <c r="N492" t="inlineStr">
        <is>
          <t>Rockville, Md. : Aspen Systems Corp., c1983.</t>
        </is>
      </c>
      <c r="O492" t="inlineStr">
        <is>
          <t>1983</t>
        </is>
      </c>
      <c r="Q492" t="inlineStr">
        <is>
          <t>eng</t>
        </is>
      </c>
      <c r="R492" t="inlineStr">
        <is>
          <t>mdu</t>
        </is>
      </c>
      <c r="T492" t="inlineStr">
        <is>
          <t xml:space="preserve">QV </t>
        </is>
      </c>
      <c r="U492" t="n">
        <v>7</v>
      </c>
      <c r="V492" t="n">
        <v>7</v>
      </c>
      <c r="W492" t="inlineStr">
        <is>
          <t>1996-11-21</t>
        </is>
      </c>
      <c r="X492" t="inlineStr">
        <is>
          <t>1996-11-21</t>
        </is>
      </c>
      <c r="Y492" t="inlineStr">
        <is>
          <t>1988-02-09</t>
        </is>
      </c>
      <c r="Z492" t="inlineStr">
        <is>
          <t>1988-02-09</t>
        </is>
      </c>
      <c r="AA492" t="n">
        <v>180</v>
      </c>
      <c r="AB492" t="n">
        <v>162</v>
      </c>
      <c r="AC492" t="n">
        <v>167</v>
      </c>
      <c r="AD492" t="n">
        <v>2</v>
      </c>
      <c r="AE492" t="n">
        <v>2</v>
      </c>
      <c r="AF492" t="n">
        <v>3</v>
      </c>
      <c r="AG492" t="n">
        <v>3</v>
      </c>
      <c r="AH492" t="n">
        <v>1</v>
      </c>
      <c r="AI492" t="n">
        <v>1</v>
      </c>
      <c r="AJ492" t="n">
        <v>1</v>
      </c>
      <c r="AK492" t="n">
        <v>1</v>
      </c>
      <c r="AL492" t="n">
        <v>2</v>
      </c>
      <c r="AM492" t="n">
        <v>2</v>
      </c>
      <c r="AN492" t="n">
        <v>1</v>
      </c>
      <c r="AO492" t="n">
        <v>1</v>
      </c>
      <c r="AP492" t="n">
        <v>0</v>
      </c>
      <c r="AQ492" t="n">
        <v>0</v>
      </c>
      <c r="AR492" t="inlineStr">
        <is>
          <t>No</t>
        </is>
      </c>
      <c r="AS492" t="inlineStr">
        <is>
          <t>No</t>
        </is>
      </c>
      <c r="AU492">
        <f>HYPERLINK("https://creighton-primo.hosted.exlibrisgroup.com/primo-explore/search?tab=default_tab&amp;search_scope=EVERYTHING&amp;vid=01CRU&amp;lang=en_US&amp;offset=0&amp;query=any,contains,991000962639702656","Catalog Record")</f>
        <v/>
      </c>
      <c r="AV492">
        <f>HYPERLINK("http://www.worldcat.org/oclc/8667547","WorldCat Record")</f>
        <v/>
      </c>
      <c r="AW492" t="inlineStr">
        <is>
          <t>1780608559:eng</t>
        </is>
      </c>
      <c r="AX492" t="inlineStr">
        <is>
          <t>8667547</t>
        </is>
      </c>
      <c r="AY492" t="inlineStr">
        <is>
          <t>991000962639702656</t>
        </is>
      </c>
      <c r="AZ492" t="inlineStr">
        <is>
          <t>991000962639702656</t>
        </is>
      </c>
      <c r="BA492" t="inlineStr">
        <is>
          <t>2271016480002656</t>
        </is>
      </c>
      <c r="BB492" t="inlineStr">
        <is>
          <t>BOOK</t>
        </is>
      </c>
      <c r="BD492" t="inlineStr">
        <is>
          <t>9780894438097</t>
        </is>
      </c>
      <c r="BE492" t="inlineStr">
        <is>
          <t>30001000198343</t>
        </is>
      </c>
      <c r="BF492" t="inlineStr">
        <is>
          <t>893455312</t>
        </is>
      </c>
    </row>
    <row r="493">
      <c r="B493" t="inlineStr">
        <is>
          <t>CUHSL</t>
        </is>
      </c>
      <c r="C493" t="inlineStr">
        <is>
          <t>SHELVES</t>
        </is>
      </c>
      <c r="D493" t="inlineStr">
        <is>
          <t>QV 600 P754 1990</t>
        </is>
      </c>
      <c r="E493" t="inlineStr">
        <is>
          <t>0                      QV 0600000P  754         1990</t>
        </is>
      </c>
      <c r="F493" t="inlineStr">
        <is>
          <t>Poisoning &amp; drug overdose / San Francisco Bay Area Regional Poison Control Center ; edited by Kent R. Olson ... [et al.].</t>
        </is>
      </c>
      <c r="H493" t="inlineStr">
        <is>
          <t>No</t>
        </is>
      </c>
      <c r="I493" t="inlineStr">
        <is>
          <t>1</t>
        </is>
      </c>
      <c r="J493" t="inlineStr">
        <is>
          <t>No</t>
        </is>
      </c>
      <c r="K493" t="inlineStr">
        <is>
          <t>Yes</t>
        </is>
      </c>
      <c r="L493" t="inlineStr">
        <is>
          <t>1</t>
        </is>
      </c>
      <c r="N493" t="inlineStr">
        <is>
          <t>Norwalk, CT : Appleton &amp; Lange, c1990.</t>
        </is>
      </c>
      <c r="O493" t="inlineStr">
        <is>
          <t>1990</t>
        </is>
      </c>
      <c r="Q493" t="inlineStr">
        <is>
          <t>eng</t>
        </is>
      </c>
      <c r="R493" t="inlineStr">
        <is>
          <t>ctu</t>
        </is>
      </c>
      <c r="S493" t="inlineStr">
        <is>
          <t>A Lange clinical manual.</t>
        </is>
      </c>
      <c r="T493" t="inlineStr">
        <is>
          <t xml:space="preserve">QV </t>
        </is>
      </c>
      <c r="U493" t="n">
        <v>14</v>
      </c>
      <c r="V493" t="n">
        <v>14</v>
      </c>
      <c r="W493" t="inlineStr">
        <is>
          <t>1996-10-20</t>
        </is>
      </c>
      <c r="X493" t="inlineStr">
        <is>
          <t>1996-10-20</t>
        </is>
      </c>
      <c r="Y493" t="inlineStr">
        <is>
          <t>1990-11-27</t>
        </is>
      </c>
      <c r="Z493" t="inlineStr">
        <is>
          <t>1990-11-27</t>
        </is>
      </c>
      <c r="AA493" t="n">
        <v>118</v>
      </c>
      <c r="AB493" t="n">
        <v>97</v>
      </c>
      <c r="AC493" t="n">
        <v>988</v>
      </c>
      <c r="AD493" t="n">
        <v>1</v>
      </c>
      <c r="AE493" t="n">
        <v>9</v>
      </c>
      <c r="AF493" t="n">
        <v>0</v>
      </c>
      <c r="AG493" t="n">
        <v>36</v>
      </c>
      <c r="AH493" t="n">
        <v>0</v>
      </c>
      <c r="AI493" t="n">
        <v>10</v>
      </c>
      <c r="AJ493" t="n">
        <v>0</v>
      </c>
      <c r="AK493" t="n">
        <v>7</v>
      </c>
      <c r="AL493" t="n">
        <v>0</v>
      </c>
      <c r="AM493" t="n">
        <v>12</v>
      </c>
      <c r="AN493" t="n">
        <v>0</v>
      </c>
      <c r="AO493" t="n">
        <v>7</v>
      </c>
      <c r="AP493" t="n">
        <v>0</v>
      </c>
      <c r="AQ493" t="n">
        <v>4</v>
      </c>
      <c r="AR493" t="inlineStr">
        <is>
          <t>No</t>
        </is>
      </c>
      <c r="AS493" t="inlineStr">
        <is>
          <t>No</t>
        </is>
      </c>
      <c r="AU493">
        <f>HYPERLINK("https://creighton-primo.hosted.exlibrisgroup.com/primo-explore/search?tab=default_tab&amp;search_scope=EVERYTHING&amp;vid=01CRU&amp;lang=en_US&amp;offset=0&amp;query=any,contains,991000781099702656","Catalog Record")</f>
        <v/>
      </c>
      <c r="AV493">
        <f>HYPERLINK("http://www.worldcat.org/oclc/26318597","WorldCat Record")</f>
        <v/>
      </c>
      <c r="AW493" t="inlineStr">
        <is>
          <t>1077482972:eng</t>
        </is>
      </c>
      <c r="AX493" t="inlineStr">
        <is>
          <t>26318597</t>
        </is>
      </c>
      <c r="AY493" t="inlineStr">
        <is>
          <t>991000781099702656</t>
        </is>
      </c>
      <c r="AZ493" t="inlineStr">
        <is>
          <t>991000781099702656</t>
        </is>
      </c>
      <c r="BA493" t="inlineStr">
        <is>
          <t>2260975770002656</t>
        </is>
      </c>
      <c r="BB493" t="inlineStr">
        <is>
          <t>BOOK</t>
        </is>
      </c>
      <c r="BD493" t="inlineStr">
        <is>
          <t>9780838512975</t>
        </is>
      </c>
      <c r="BE493" t="inlineStr">
        <is>
          <t>30001002064618</t>
        </is>
      </c>
      <c r="BF493" t="inlineStr">
        <is>
          <t>893551594</t>
        </is>
      </c>
    </row>
    <row r="494">
      <c r="B494" t="inlineStr">
        <is>
          <t>CUHSL</t>
        </is>
      </c>
      <c r="C494" t="inlineStr">
        <is>
          <t>SHELVES</t>
        </is>
      </c>
      <c r="D494" t="inlineStr">
        <is>
          <t>QV600 P957 2001</t>
        </is>
      </c>
      <c r="E494" t="inlineStr">
        <is>
          <t>0                      QV 0600000P  957         2001</t>
        </is>
      </c>
      <c r="F494" t="inlineStr">
        <is>
          <t>Principles and methods of toxicology / edited by A. Wallace Hayes.</t>
        </is>
      </c>
      <c r="H494" t="inlineStr">
        <is>
          <t>No</t>
        </is>
      </c>
      <c r="I494" t="inlineStr">
        <is>
          <t>1</t>
        </is>
      </c>
      <c r="J494" t="inlineStr">
        <is>
          <t>No</t>
        </is>
      </c>
      <c r="K494" t="inlineStr">
        <is>
          <t>No</t>
        </is>
      </c>
      <c r="L494" t="inlineStr">
        <is>
          <t>0</t>
        </is>
      </c>
      <c r="N494" t="inlineStr">
        <is>
          <t>Philadelphia, PA : Taylor &amp; Francis, c2001.</t>
        </is>
      </c>
      <c r="O494" t="inlineStr">
        <is>
          <t>2001</t>
        </is>
      </c>
      <c r="P494" t="inlineStr">
        <is>
          <t>4th ed.</t>
        </is>
      </c>
      <c r="Q494" t="inlineStr">
        <is>
          <t>eng</t>
        </is>
      </c>
      <c r="R494" t="inlineStr">
        <is>
          <t>pau</t>
        </is>
      </c>
      <c r="T494" t="inlineStr">
        <is>
          <t xml:space="preserve">QV </t>
        </is>
      </c>
      <c r="U494" t="n">
        <v>3</v>
      </c>
      <c r="V494" t="n">
        <v>3</v>
      </c>
      <c r="W494" t="inlineStr">
        <is>
          <t>2004-09-24</t>
        </is>
      </c>
      <c r="X494" t="inlineStr">
        <is>
          <t>2004-09-24</t>
        </is>
      </c>
      <c r="Y494" t="inlineStr">
        <is>
          <t>2003-04-14</t>
        </is>
      </c>
      <c r="Z494" t="inlineStr">
        <is>
          <t>2003-04-14</t>
        </is>
      </c>
      <c r="AA494" t="n">
        <v>242</v>
      </c>
      <c r="AB494" t="n">
        <v>153</v>
      </c>
      <c r="AC494" t="n">
        <v>503</v>
      </c>
      <c r="AD494" t="n">
        <v>1</v>
      </c>
      <c r="AE494" t="n">
        <v>1</v>
      </c>
      <c r="AF494" t="n">
        <v>6</v>
      </c>
      <c r="AG494" t="n">
        <v>14</v>
      </c>
      <c r="AH494" t="n">
        <v>3</v>
      </c>
      <c r="AI494" t="n">
        <v>7</v>
      </c>
      <c r="AJ494" t="n">
        <v>3</v>
      </c>
      <c r="AK494" t="n">
        <v>5</v>
      </c>
      <c r="AL494" t="n">
        <v>1</v>
      </c>
      <c r="AM494" t="n">
        <v>4</v>
      </c>
      <c r="AN494" t="n">
        <v>0</v>
      </c>
      <c r="AO494" t="n">
        <v>0</v>
      </c>
      <c r="AP494" t="n">
        <v>0</v>
      </c>
      <c r="AQ494" t="n">
        <v>0</v>
      </c>
      <c r="AR494" t="inlineStr">
        <is>
          <t>No</t>
        </is>
      </c>
      <c r="AS494" t="inlineStr">
        <is>
          <t>No</t>
        </is>
      </c>
      <c r="AU494">
        <f>HYPERLINK("https://creighton-primo.hosted.exlibrisgroup.com/primo-explore/search?tab=default_tab&amp;search_scope=EVERYTHING&amp;vid=01CRU&amp;lang=en_US&amp;offset=0&amp;query=any,contains,991000344709702656","Catalog Record")</f>
        <v/>
      </c>
      <c r="AV494">
        <f>HYPERLINK("http://www.worldcat.org/oclc/43800997","WorldCat Record")</f>
        <v/>
      </c>
      <c r="AW494" t="inlineStr">
        <is>
          <t>54539327:eng</t>
        </is>
      </c>
      <c r="AX494" t="inlineStr">
        <is>
          <t>43800997</t>
        </is>
      </c>
      <c r="AY494" t="inlineStr">
        <is>
          <t>991000344709702656</t>
        </is>
      </c>
      <c r="AZ494" t="inlineStr">
        <is>
          <t>991000344709702656</t>
        </is>
      </c>
      <c r="BA494" t="inlineStr">
        <is>
          <t>2259434580002656</t>
        </is>
      </c>
      <c r="BB494" t="inlineStr">
        <is>
          <t>BOOK</t>
        </is>
      </c>
      <c r="BD494" t="inlineStr">
        <is>
          <t>9781560328148</t>
        </is>
      </c>
      <c r="BE494" t="inlineStr">
        <is>
          <t>30001004502698</t>
        </is>
      </c>
      <c r="BF494" t="inlineStr">
        <is>
          <t>893452052</t>
        </is>
      </c>
    </row>
    <row r="495">
      <c r="B495" t="inlineStr">
        <is>
          <t>CUHSL</t>
        </is>
      </c>
      <c r="C495" t="inlineStr">
        <is>
          <t>SHELVES</t>
        </is>
      </c>
      <c r="D495" t="inlineStr">
        <is>
          <t>QV 600 S464 1984</t>
        </is>
      </c>
      <c r="E495" t="inlineStr">
        <is>
          <t>0                      QV 0600000S  464         1984</t>
        </is>
      </c>
      <c r="F495" t="inlineStr">
        <is>
          <t>The Selection of doses in chronic toxicity/carcinogenicity studies : age associated (geriatric) pathology, its impact on long-term toxicity studies / edited by H.C. Grice.</t>
        </is>
      </c>
      <c r="H495" t="inlineStr">
        <is>
          <t>No</t>
        </is>
      </c>
      <c r="I495" t="inlineStr">
        <is>
          <t>1</t>
        </is>
      </c>
      <c r="J495" t="inlineStr">
        <is>
          <t>No</t>
        </is>
      </c>
      <c r="K495" t="inlineStr">
        <is>
          <t>No</t>
        </is>
      </c>
      <c r="L495" t="inlineStr">
        <is>
          <t>0</t>
        </is>
      </c>
      <c r="N495" t="inlineStr">
        <is>
          <t>New York : Springer-Verlag, c1984.</t>
        </is>
      </c>
      <c r="O495" t="inlineStr">
        <is>
          <t>1984</t>
        </is>
      </c>
      <c r="Q495" t="inlineStr">
        <is>
          <t>eng</t>
        </is>
      </c>
      <c r="R495" t="inlineStr">
        <is>
          <t>nyu</t>
        </is>
      </c>
      <c r="S495" t="inlineStr">
        <is>
          <t>Current issues in toxicology</t>
        </is>
      </c>
      <c r="T495" t="inlineStr">
        <is>
          <t xml:space="preserve">QV </t>
        </is>
      </c>
      <c r="U495" t="n">
        <v>4</v>
      </c>
      <c r="V495" t="n">
        <v>4</v>
      </c>
      <c r="W495" t="inlineStr">
        <is>
          <t>1995-07-14</t>
        </is>
      </c>
      <c r="X495" t="inlineStr">
        <is>
          <t>1995-07-14</t>
        </is>
      </c>
      <c r="Y495" t="inlineStr">
        <is>
          <t>1988-02-09</t>
        </is>
      </c>
      <c r="Z495" t="inlineStr">
        <is>
          <t>1988-02-09</t>
        </is>
      </c>
      <c r="AA495" t="n">
        <v>136</v>
      </c>
      <c r="AB495" t="n">
        <v>105</v>
      </c>
      <c r="AC495" t="n">
        <v>129</v>
      </c>
      <c r="AD495" t="n">
        <v>2</v>
      </c>
      <c r="AE495" t="n">
        <v>2</v>
      </c>
      <c r="AF495" t="n">
        <v>1</v>
      </c>
      <c r="AG495" t="n">
        <v>2</v>
      </c>
      <c r="AH495" t="n">
        <v>0</v>
      </c>
      <c r="AI495" t="n">
        <v>1</v>
      </c>
      <c r="AJ495" t="n">
        <v>0</v>
      </c>
      <c r="AK495" t="n">
        <v>0</v>
      </c>
      <c r="AL495" t="n">
        <v>0</v>
      </c>
      <c r="AM495" t="n">
        <v>1</v>
      </c>
      <c r="AN495" t="n">
        <v>1</v>
      </c>
      <c r="AO495" t="n">
        <v>1</v>
      </c>
      <c r="AP495" t="n">
        <v>0</v>
      </c>
      <c r="AQ495" t="n">
        <v>0</v>
      </c>
      <c r="AR495" t="inlineStr">
        <is>
          <t>No</t>
        </is>
      </c>
      <c r="AS495" t="inlineStr">
        <is>
          <t>Yes</t>
        </is>
      </c>
      <c r="AT495">
        <f>HYPERLINK("http://catalog.hathitrust.org/Record/009479028","HathiTrust Record")</f>
        <v/>
      </c>
      <c r="AU495">
        <f>HYPERLINK("https://creighton-primo.hosted.exlibrisgroup.com/primo-explore/search?tab=default_tab&amp;search_scope=EVERYTHING&amp;vid=01CRU&amp;lang=en_US&amp;offset=0&amp;query=any,contains,991000962069702656","Catalog Record")</f>
        <v/>
      </c>
      <c r="AV495">
        <f>HYPERLINK("http://www.worldcat.org/oclc/9645383","WorldCat Record")</f>
        <v/>
      </c>
      <c r="AW495" t="inlineStr">
        <is>
          <t>43724034:eng</t>
        </is>
      </c>
      <c r="AX495" t="inlineStr">
        <is>
          <t>9645383</t>
        </is>
      </c>
      <c r="AY495" t="inlineStr">
        <is>
          <t>991000962069702656</t>
        </is>
      </c>
      <c r="AZ495" t="inlineStr">
        <is>
          <t>991000962069702656</t>
        </is>
      </c>
      <c r="BA495" t="inlineStr">
        <is>
          <t>2269612520002656</t>
        </is>
      </c>
      <c r="BB495" t="inlineStr">
        <is>
          <t>BOOK</t>
        </is>
      </c>
      <c r="BD495" t="inlineStr">
        <is>
          <t>9780387128450</t>
        </is>
      </c>
      <c r="BE495" t="inlineStr">
        <is>
          <t>30001000198145</t>
        </is>
      </c>
      <c r="BF495" t="inlineStr">
        <is>
          <t>893831784</t>
        </is>
      </c>
    </row>
    <row r="496">
      <c r="B496" t="inlineStr">
        <is>
          <t>CUHSL</t>
        </is>
      </c>
      <c r="C496" t="inlineStr">
        <is>
          <t>SHELVES</t>
        </is>
      </c>
      <c r="D496" t="inlineStr">
        <is>
          <t>QV 600 T434c 1972</t>
        </is>
      </c>
      <c r="E496" t="inlineStr">
        <is>
          <t>0                      QV 0600000T  434c        1972</t>
        </is>
      </c>
      <c r="F496" t="inlineStr">
        <is>
          <t>Clinical toxicology / Clinton H. Thienes, Thomas J. Haley.</t>
        </is>
      </c>
      <c r="H496" t="inlineStr">
        <is>
          <t>No</t>
        </is>
      </c>
      <c r="I496" t="inlineStr">
        <is>
          <t>1</t>
        </is>
      </c>
      <c r="J496" t="inlineStr">
        <is>
          <t>No</t>
        </is>
      </c>
      <c r="K496" t="inlineStr">
        <is>
          <t>No</t>
        </is>
      </c>
      <c r="L496" t="inlineStr">
        <is>
          <t>0</t>
        </is>
      </c>
      <c r="M496" t="inlineStr">
        <is>
          <t>Thienes, Clinton H. (Clinton Hobart), 1896-1976.</t>
        </is>
      </c>
      <c r="N496" t="inlineStr">
        <is>
          <t>Philadelphia : Lea &amp; Febiger, c1972.</t>
        </is>
      </c>
      <c r="O496" t="inlineStr">
        <is>
          <t>1972</t>
        </is>
      </c>
      <c r="P496" t="inlineStr">
        <is>
          <t>5th ed.</t>
        </is>
      </c>
      <c r="Q496" t="inlineStr">
        <is>
          <t>eng</t>
        </is>
      </c>
      <c r="R496" t="inlineStr">
        <is>
          <t>pau</t>
        </is>
      </c>
      <c r="T496" t="inlineStr">
        <is>
          <t xml:space="preserve">QV </t>
        </is>
      </c>
      <c r="U496" t="n">
        <v>9</v>
      </c>
      <c r="V496" t="n">
        <v>9</v>
      </c>
      <c r="W496" t="inlineStr">
        <is>
          <t>1991-11-12</t>
        </is>
      </c>
      <c r="X496" t="inlineStr">
        <is>
          <t>1991-11-12</t>
        </is>
      </c>
      <c r="Y496" t="inlineStr">
        <is>
          <t>1988-02-09</t>
        </is>
      </c>
      <c r="Z496" t="inlineStr">
        <is>
          <t>1988-02-09</t>
        </is>
      </c>
      <c r="AA496" t="n">
        <v>274</v>
      </c>
      <c r="AB496" t="n">
        <v>210</v>
      </c>
      <c r="AC496" t="n">
        <v>301</v>
      </c>
      <c r="AD496" t="n">
        <v>2</v>
      </c>
      <c r="AE496" t="n">
        <v>4</v>
      </c>
      <c r="AF496" t="n">
        <v>4</v>
      </c>
      <c r="AG496" t="n">
        <v>10</v>
      </c>
      <c r="AH496" t="n">
        <v>0</v>
      </c>
      <c r="AI496" t="n">
        <v>4</v>
      </c>
      <c r="AJ496" t="n">
        <v>1</v>
      </c>
      <c r="AK496" t="n">
        <v>2</v>
      </c>
      <c r="AL496" t="n">
        <v>2</v>
      </c>
      <c r="AM496" t="n">
        <v>4</v>
      </c>
      <c r="AN496" t="n">
        <v>1</v>
      </c>
      <c r="AO496" t="n">
        <v>3</v>
      </c>
      <c r="AP496" t="n">
        <v>0</v>
      </c>
      <c r="AQ496" t="n">
        <v>0</v>
      </c>
      <c r="AR496" t="inlineStr">
        <is>
          <t>No</t>
        </is>
      </c>
      <c r="AS496" t="inlineStr">
        <is>
          <t>Yes</t>
        </is>
      </c>
      <c r="AT496">
        <f>HYPERLINK("http://catalog.hathitrust.org/Record/001560555","HathiTrust Record")</f>
        <v/>
      </c>
      <c r="AU496">
        <f>HYPERLINK("https://creighton-primo.hosted.exlibrisgroup.com/primo-explore/search?tab=default_tab&amp;search_scope=EVERYTHING&amp;vid=01CRU&amp;lang=en_US&amp;offset=0&amp;query=any,contains,991000962589702656","Catalog Record")</f>
        <v/>
      </c>
      <c r="AV496">
        <f>HYPERLINK("http://www.worldcat.org/oclc/16210229","WorldCat Record")</f>
        <v/>
      </c>
      <c r="AW496" t="inlineStr">
        <is>
          <t>2572368:eng</t>
        </is>
      </c>
      <c r="AX496" t="inlineStr">
        <is>
          <t>16210229</t>
        </is>
      </c>
      <c r="AY496" t="inlineStr">
        <is>
          <t>991000962589702656</t>
        </is>
      </c>
      <c r="AZ496" t="inlineStr">
        <is>
          <t>991000962589702656</t>
        </is>
      </c>
      <c r="BA496" t="inlineStr">
        <is>
          <t>2258256520002656</t>
        </is>
      </c>
      <c r="BB496" t="inlineStr">
        <is>
          <t>BOOK</t>
        </is>
      </c>
      <c r="BD496" t="inlineStr">
        <is>
          <t>9780812102376</t>
        </is>
      </c>
      <c r="BE496" t="inlineStr">
        <is>
          <t>30001000198335</t>
        </is>
      </c>
      <c r="BF496" t="inlineStr">
        <is>
          <t>893284183</t>
        </is>
      </c>
    </row>
    <row r="497">
      <c r="B497" t="inlineStr">
        <is>
          <t>CUHSL</t>
        </is>
      </c>
      <c r="C497" t="inlineStr">
        <is>
          <t>SHELVES</t>
        </is>
      </c>
      <c r="D497" t="inlineStr">
        <is>
          <t>QV 600 T7535 1984</t>
        </is>
      </c>
      <c r="E497" t="inlineStr">
        <is>
          <t>0                      QV 0600000T  7535        1984</t>
        </is>
      </c>
      <c r="F497" t="inlineStr">
        <is>
          <t>Toxic emergencies / edited by William Hanson, Jr.</t>
        </is>
      </c>
      <c r="H497" t="inlineStr">
        <is>
          <t>No</t>
        </is>
      </c>
      <c r="I497" t="inlineStr">
        <is>
          <t>1</t>
        </is>
      </c>
      <c r="J497" t="inlineStr">
        <is>
          <t>No</t>
        </is>
      </c>
      <c r="K497" t="inlineStr">
        <is>
          <t>No</t>
        </is>
      </c>
      <c r="L497" t="inlineStr">
        <is>
          <t>0</t>
        </is>
      </c>
      <c r="N497" t="inlineStr">
        <is>
          <t>New York : Churchill Livingstone, c1984.</t>
        </is>
      </c>
      <c r="O497" t="inlineStr">
        <is>
          <t>1984</t>
        </is>
      </c>
      <c r="Q497" t="inlineStr">
        <is>
          <t>eng</t>
        </is>
      </c>
      <c r="R497" t="inlineStr">
        <is>
          <t xml:space="preserve">xx </t>
        </is>
      </c>
      <c r="S497" t="inlineStr">
        <is>
          <t>Clinics in emergency medicine ; 5</t>
        </is>
      </c>
      <c r="T497" t="inlineStr">
        <is>
          <t xml:space="preserve">QV </t>
        </is>
      </c>
      <c r="U497" t="n">
        <v>6</v>
      </c>
      <c r="V497" t="n">
        <v>6</v>
      </c>
      <c r="W497" t="inlineStr">
        <is>
          <t>1988-09-28</t>
        </is>
      </c>
      <c r="X497" t="inlineStr">
        <is>
          <t>1988-09-28</t>
        </is>
      </c>
      <c r="Y497" t="inlineStr">
        <is>
          <t>1988-02-09</t>
        </is>
      </c>
      <c r="Z497" t="inlineStr">
        <is>
          <t>1988-02-09</t>
        </is>
      </c>
      <c r="AA497" t="n">
        <v>99</v>
      </c>
      <c r="AB497" t="n">
        <v>75</v>
      </c>
      <c r="AC497" t="n">
        <v>75</v>
      </c>
      <c r="AD497" t="n">
        <v>1</v>
      </c>
      <c r="AE497" t="n">
        <v>1</v>
      </c>
      <c r="AF497" t="n">
        <v>0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0</v>
      </c>
      <c r="AM497" t="n">
        <v>0</v>
      </c>
      <c r="AN497" t="n">
        <v>0</v>
      </c>
      <c r="AO497" t="n">
        <v>0</v>
      </c>
      <c r="AP497" t="n">
        <v>0</v>
      </c>
      <c r="AQ497" t="n">
        <v>0</v>
      </c>
      <c r="AR497" t="inlineStr">
        <is>
          <t>No</t>
        </is>
      </c>
      <c r="AS497" t="inlineStr">
        <is>
          <t>No</t>
        </is>
      </c>
      <c r="AU497">
        <f>HYPERLINK("https://creighton-primo.hosted.exlibrisgroup.com/primo-explore/search?tab=default_tab&amp;search_scope=EVERYTHING&amp;vid=01CRU&amp;lang=en_US&amp;offset=0&amp;query=any,contains,991001091069702656","Catalog Record")</f>
        <v/>
      </c>
      <c r="AV497">
        <f>HYPERLINK("http://www.worldcat.org/oclc/10695845","WorldCat Record")</f>
        <v/>
      </c>
      <c r="AW497" t="inlineStr">
        <is>
          <t>366637107:eng</t>
        </is>
      </c>
      <c r="AX497" t="inlineStr">
        <is>
          <t>10695845</t>
        </is>
      </c>
      <c r="AY497" t="inlineStr">
        <is>
          <t>991001091069702656</t>
        </is>
      </c>
      <c r="AZ497" t="inlineStr">
        <is>
          <t>991001091069702656</t>
        </is>
      </c>
      <c r="BA497" t="inlineStr">
        <is>
          <t>2256416920002656</t>
        </is>
      </c>
      <c r="BB497" t="inlineStr">
        <is>
          <t>BOOK</t>
        </is>
      </c>
      <c r="BD497" t="inlineStr">
        <is>
          <t>9780443081965</t>
        </is>
      </c>
      <c r="BE497" t="inlineStr">
        <is>
          <t>30001000262719</t>
        </is>
      </c>
      <c r="BF497" t="inlineStr">
        <is>
          <t>893743624</t>
        </is>
      </c>
    </row>
    <row r="498">
      <c r="B498" t="inlineStr">
        <is>
          <t>CUHSL</t>
        </is>
      </c>
      <c r="C498" t="inlineStr">
        <is>
          <t>SHELVES</t>
        </is>
      </c>
      <c r="D498" t="inlineStr">
        <is>
          <t>QV 600 T75436 1990</t>
        </is>
      </c>
      <c r="E498" t="inlineStr">
        <is>
          <t>0                      QV 0600000T  75436       1990</t>
        </is>
      </c>
      <c r="F498" t="inlineStr">
        <is>
          <t>Goldfrank's toxicologic emergencies / editors, Lewis R. Goldfrank ... [et al.].</t>
        </is>
      </c>
      <c r="H498" t="inlineStr">
        <is>
          <t>No</t>
        </is>
      </c>
      <c r="I498" t="inlineStr">
        <is>
          <t>1</t>
        </is>
      </c>
      <c r="J498" t="inlineStr">
        <is>
          <t>No</t>
        </is>
      </c>
      <c r="K498" t="inlineStr">
        <is>
          <t>Yes</t>
        </is>
      </c>
      <c r="L498" t="inlineStr">
        <is>
          <t>1</t>
        </is>
      </c>
      <c r="M498" t="inlineStr">
        <is>
          <t>Toxicologic emergencies.</t>
        </is>
      </c>
      <c r="N498" t="inlineStr">
        <is>
          <t>Norwalk, Conn. : Appleton &amp; Lange, c1990.</t>
        </is>
      </c>
      <c r="O498" t="inlineStr">
        <is>
          <t>1990</t>
        </is>
      </c>
      <c r="P498" t="inlineStr">
        <is>
          <t>4th ed.</t>
        </is>
      </c>
      <c r="Q498" t="inlineStr">
        <is>
          <t>eng</t>
        </is>
      </c>
      <c r="R498" t="inlineStr">
        <is>
          <t>ctu</t>
        </is>
      </c>
      <c r="T498" t="inlineStr">
        <is>
          <t xml:space="preserve">QV </t>
        </is>
      </c>
      <c r="U498" t="n">
        <v>32</v>
      </c>
      <c r="V498" t="n">
        <v>32</v>
      </c>
      <c r="W498" t="inlineStr">
        <is>
          <t>1997-12-19</t>
        </is>
      </c>
      <c r="X498" t="inlineStr">
        <is>
          <t>1997-12-19</t>
        </is>
      </c>
      <c r="Y498" t="inlineStr">
        <is>
          <t>1991-02-19</t>
        </is>
      </c>
      <c r="Z498" t="inlineStr">
        <is>
          <t>1991-02-19</t>
        </is>
      </c>
      <c r="AA498" t="n">
        <v>178</v>
      </c>
      <c r="AB498" t="n">
        <v>146</v>
      </c>
      <c r="AC498" t="n">
        <v>809</v>
      </c>
      <c r="AD498" t="n">
        <v>1</v>
      </c>
      <c r="AE498" t="n">
        <v>4</v>
      </c>
      <c r="AF498" t="n">
        <v>1</v>
      </c>
      <c r="AG498" t="n">
        <v>19</v>
      </c>
      <c r="AH498" t="n">
        <v>0</v>
      </c>
      <c r="AI498" t="n">
        <v>8</v>
      </c>
      <c r="AJ498" t="n">
        <v>0</v>
      </c>
      <c r="AK498" t="n">
        <v>4</v>
      </c>
      <c r="AL498" t="n">
        <v>1</v>
      </c>
      <c r="AM498" t="n">
        <v>7</v>
      </c>
      <c r="AN498" t="n">
        <v>0</v>
      </c>
      <c r="AO498" t="n">
        <v>2</v>
      </c>
      <c r="AP498" t="n">
        <v>0</v>
      </c>
      <c r="AQ498" t="n">
        <v>1</v>
      </c>
      <c r="AR498" t="inlineStr">
        <is>
          <t>No</t>
        </is>
      </c>
      <c r="AS498" t="inlineStr">
        <is>
          <t>Yes</t>
        </is>
      </c>
      <c r="AT498">
        <f>HYPERLINK("http://catalog.hathitrust.org/Record/002234990","HathiTrust Record")</f>
        <v/>
      </c>
      <c r="AU498">
        <f>HYPERLINK("https://creighton-primo.hosted.exlibrisgroup.com/primo-explore/search?tab=default_tab&amp;search_scope=EVERYTHING&amp;vid=01CRU&amp;lang=en_US&amp;offset=0&amp;query=any,contains,991000821479702656","Catalog Record")</f>
        <v/>
      </c>
      <c r="AV498">
        <f>HYPERLINK("http://www.worldcat.org/oclc/20566807","WorldCat Record")</f>
        <v/>
      </c>
      <c r="AW498" t="inlineStr">
        <is>
          <t>1077195727:eng</t>
        </is>
      </c>
      <c r="AX498" t="inlineStr">
        <is>
          <t>20566807</t>
        </is>
      </c>
      <c r="AY498" t="inlineStr">
        <is>
          <t>991000821479702656</t>
        </is>
      </c>
      <c r="AZ498" t="inlineStr">
        <is>
          <t>991000821479702656</t>
        </is>
      </c>
      <c r="BA498" t="inlineStr">
        <is>
          <t>2260413520002656</t>
        </is>
      </c>
      <c r="BB498" t="inlineStr">
        <is>
          <t>BOOK</t>
        </is>
      </c>
      <c r="BE498" t="inlineStr">
        <is>
          <t>30001002087601</t>
        </is>
      </c>
      <c r="BF498" t="inlineStr">
        <is>
          <t>893731342</t>
        </is>
      </c>
    </row>
    <row r="499">
      <c r="B499" t="inlineStr">
        <is>
          <t>CUHSL</t>
        </is>
      </c>
      <c r="C499" t="inlineStr">
        <is>
          <t>SHELVES</t>
        </is>
      </c>
      <c r="D499" t="inlineStr">
        <is>
          <t>QV 600 T755 1981 v.1</t>
        </is>
      </c>
      <c r="E499" t="inlineStr">
        <is>
          <t>0                      QV 0600000T  755         1981                                        v.1</t>
        </is>
      </c>
      <c r="F499" t="inlineStr">
        <is>
          <t>Toxicology : principles and practice : Volume 1 / edited by Andrew L. Reeves.</t>
        </is>
      </c>
      <c r="G499" t="inlineStr">
        <is>
          <t>V.1</t>
        </is>
      </c>
      <c r="H499" t="inlineStr">
        <is>
          <t>No</t>
        </is>
      </c>
      <c r="I499" t="inlineStr">
        <is>
          <t>1</t>
        </is>
      </c>
      <c r="J499" t="inlineStr">
        <is>
          <t>No</t>
        </is>
      </c>
      <c r="K499" t="inlineStr">
        <is>
          <t>No</t>
        </is>
      </c>
      <c r="L499" t="inlineStr">
        <is>
          <t>0</t>
        </is>
      </c>
      <c r="N499" t="inlineStr">
        <is>
          <t>New York : Wiley, c1981.</t>
        </is>
      </c>
      <c r="O499" t="inlineStr">
        <is>
          <t>1981</t>
        </is>
      </c>
      <c r="Q499" t="inlineStr">
        <is>
          <t>eng</t>
        </is>
      </c>
      <c r="R499" t="inlineStr">
        <is>
          <t>nyu</t>
        </is>
      </c>
      <c r="T499" t="inlineStr">
        <is>
          <t xml:space="preserve">QV </t>
        </is>
      </c>
      <c r="U499" t="n">
        <v>2</v>
      </c>
      <c r="V499" t="n">
        <v>2</v>
      </c>
      <c r="W499" t="inlineStr">
        <is>
          <t>1993-02-26</t>
        </is>
      </c>
      <c r="X499" t="inlineStr">
        <is>
          <t>1993-02-26</t>
        </is>
      </c>
      <c r="Y499" t="inlineStr">
        <is>
          <t>1988-02-09</t>
        </is>
      </c>
      <c r="Z499" t="inlineStr">
        <is>
          <t>1988-02-09</t>
        </is>
      </c>
      <c r="AA499" t="n">
        <v>259</v>
      </c>
      <c r="AB499" t="n">
        <v>205</v>
      </c>
      <c r="AC499" t="n">
        <v>207</v>
      </c>
      <c r="AD499" t="n">
        <v>1</v>
      </c>
      <c r="AE499" t="n">
        <v>1</v>
      </c>
      <c r="AF499" t="n">
        <v>3</v>
      </c>
      <c r="AG499" t="n">
        <v>3</v>
      </c>
      <c r="AH499" t="n">
        <v>1</v>
      </c>
      <c r="AI499" t="n">
        <v>1</v>
      </c>
      <c r="AJ499" t="n">
        <v>1</v>
      </c>
      <c r="AK499" t="n">
        <v>1</v>
      </c>
      <c r="AL499" t="n">
        <v>2</v>
      </c>
      <c r="AM499" t="n">
        <v>2</v>
      </c>
      <c r="AN499" t="n">
        <v>0</v>
      </c>
      <c r="AO499" t="n">
        <v>0</v>
      </c>
      <c r="AP499" t="n">
        <v>0</v>
      </c>
      <c r="AQ499" t="n">
        <v>0</v>
      </c>
      <c r="AR499" t="inlineStr">
        <is>
          <t>No</t>
        </is>
      </c>
      <c r="AS499" t="inlineStr">
        <is>
          <t>Yes</t>
        </is>
      </c>
      <c r="AT499">
        <f>HYPERLINK("http://catalog.hathitrust.org/Record/000185533","HathiTrust Record")</f>
        <v/>
      </c>
      <c r="AU499">
        <f>HYPERLINK("https://creighton-primo.hosted.exlibrisgroup.com/primo-explore/search?tab=default_tab&amp;search_scope=EVERYTHING&amp;vid=01CRU&amp;lang=en_US&amp;offset=0&amp;query=any,contains,991000962549702656","Catalog Record")</f>
        <v/>
      </c>
      <c r="AV499">
        <f>HYPERLINK("http://www.worldcat.org/oclc/6554790","WorldCat Record")</f>
        <v/>
      </c>
      <c r="AW499" t="inlineStr">
        <is>
          <t>866844399:eng</t>
        </is>
      </c>
      <c r="AX499" t="inlineStr">
        <is>
          <t>6554790</t>
        </is>
      </c>
      <c r="AY499" t="inlineStr">
        <is>
          <t>991000962549702656</t>
        </is>
      </c>
      <c r="AZ499" t="inlineStr">
        <is>
          <t>991000962549702656</t>
        </is>
      </c>
      <c r="BA499" t="inlineStr">
        <is>
          <t>2255429920002656</t>
        </is>
      </c>
      <c r="BB499" t="inlineStr">
        <is>
          <t>BOOK</t>
        </is>
      </c>
      <c r="BD499" t="inlineStr">
        <is>
          <t>9780471713401</t>
        </is>
      </c>
      <c r="BE499" t="inlineStr">
        <is>
          <t>30001000198327</t>
        </is>
      </c>
      <c r="BF499" t="inlineStr">
        <is>
          <t>893648803</t>
        </is>
      </c>
    </row>
    <row r="500">
      <c r="B500" t="inlineStr">
        <is>
          <t>CUHSL</t>
        </is>
      </c>
      <c r="C500" t="inlineStr">
        <is>
          <t>SHELVES</t>
        </is>
      </c>
      <c r="D500" t="inlineStr">
        <is>
          <t>QV 600 T7552 1990</t>
        </is>
      </c>
      <c r="E500" t="inlineStr">
        <is>
          <t>0                      QV 0600000T  7552        1990</t>
        </is>
      </c>
      <c r="F500" t="inlineStr">
        <is>
          <t>Toxic interactions / edited by Robin S. Goldstein, William R. Hewitt, Jerry B. Hook.</t>
        </is>
      </c>
      <c r="H500" t="inlineStr">
        <is>
          <t>No</t>
        </is>
      </c>
      <c r="I500" t="inlineStr">
        <is>
          <t>1</t>
        </is>
      </c>
      <c r="J500" t="inlineStr">
        <is>
          <t>No</t>
        </is>
      </c>
      <c r="K500" t="inlineStr">
        <is>
          <t>No</t>
        </is>
      </c>
      <c r="L500" t="inlineStr">
        <is>
          <t>0</t>
        </is>
      </c>
      <c r="N500" t="inlineStr">
        <is>
          <t>San Diego : Academic Press, c1990.</t>
        </is>
      </c>
      <c r="O500" t="inlineStr">
        <is>
          <t>1990</t>
        </is>
      </c>
      <c r="Q500" t="inlineStr">
        <is>
          <t>eng</t>
        </is>
      </c>
      <c r="R500" t="inlineStr">
        <is>
          <t>cau</t>
        </is>
      </c>
      <c r="T500" t="inlineStr">
        <is>
          <t xml:space="preserve">QV </t>
        </is>
      </c>
      <c r="U500" t="n">
        <v>4</v>
      </c>
      <c r="V500" t="n">
        <v>4</v>
      </c>
      <c r="W500" t="inlineStr">
        <is>
          <t>1991-01-23</t>
        </is>
      </c>
      <c r="X500" t="inlineStr">
        <is>
          <t>1991-01-23</t>
        </is>
      </c>
      <c r="Y500" t="inlineStr">
        <is>
          <t>1990-11-14</t>
        </is>
      </c>
      <c r="Z500" t="inlineStr">
        <is>
          <t>1990-11-14</t>
        </is>
      </c>
      <c r="AA500" t="n">
        <v>143</v>
      </c>
      <c r="AB500" t="n">
        <v>108</v>
      </c>
      <c r="AC500" t="n">
        <v>149</v>
      </c>
      <c r="AD500" t="n">
        <v>1</v>
      </c>
      <c r="AE500" t="n">
        <v>1</v>
      </c>
      <c r="AF500" t="n">
        <v>2</v>
      </c>
      <c r="AG500" t="n">
        <v>4</v>
      </c>
      <c r="AH500" t="n">
        <v>1</v>
      </c>
      <c r="AI500" t="n">
        <v>2</v>
      </c>
      <c r="AJ500" t="n">
        <v>1</v>
      </c>
      <c r="AK500" t="n">
        <v>2</v>
      </c>
      <c r="AL500" t="n">
        <v>0</v>
      </c>
      <c r="AM500" t="n">
        <v>0</v>
      </c>
      <c r="AN500" t="n">
        <v>0</v>
      </c>
      <c r="AO500" t="n">
        <v>0</v>
      </c>
      <c r="AP500" t="n">
        <v>0</v>
      </c>
      <c r="AQ500" t="n">
        <v>0</v>
      </c>
      <c r="AR500" t="inlineStr">
        <is>
          <t>No</t>
        </is>
      </c>
      <c r="AS500" t="inlineStr">
        <is>
          <t>Yes</t>
        </is>
      </c>
      <c r="AT500">
        <f>HYPERLINK("http://catalog.hathitrust.org/Record/002219005","HathiTrust Record")</f>
        <v/>
      </c>
      <c r="AU500">
        <f>HYPERLINK("https://creighton-primo.hosted.exlibrisgroup.com/primo-explore/search?tab=default_tab&amp;search_scope=EVERYTHING&amp;vid=01CRU&amp;lang=en_US&amp;offset=0&amp;query=any,contains,991000780139702656","Catalog Record")</f>
        <v/>
      </c>
      <c r="AV500">
        <f>HYPERLINK("http://www.worldcat.org/oclc/20798883","WorldCat Record")</f>
        <v/>
      </c>
      <c r="AW500" t="inlineStr">
        <is>
          <t>365715541:eng</t>
        </is>
      </c>
      <c r="AX500" t="inlineStr">
        <is>
          <t>20798883</t>
        </is>
      </c>
      <c r="AY500" t="inlineStr">
        <is>
          <t>991000780139702656</t>
        </is>
      </c>
      <c r="AZ500" t="inlineStr">
        <is>
          <t>991000780139702656</t>
        </is>
      </c>
      <c r="BA500" t="inlineStr">
        <is>
          <t>2263197010002656</t>
        </is>
      </c>
      <c r="BB500" t="inlineStr">
        <is>
          <t>BOOK</t>
        </is>
      </c>
      <c r="BD500" t="inlineStr">
        <is>
          <t>9780122895159</t>
        </is>
      </c>
      <c r="BE500" t="inlineStr">
        <is>
          <t>30001002064006</t>
        </is>
      </c>
      <c r="BF500" t="inlineStr">
        <is>
          <t>893283742</t>
        </is>
      </c>
    </row>
    <row r="501">
      <c r="B501" t="inlineStr">
        <is>
          <t>CUHSL</t>
        </is>
      </c>
      <c r="C501" t="inlineStr">
        <is>
          <t>SHELVES</t>
        </is>
      </c>
      <c r="D501" t="inlineStr">
        <is>
          <t>QV 600 T755d 1987</t>
        </is>
      </c>
      <c r="E501" t="inlineStr">
        <is>
          <t>0                      QV 0600000T  755d        1987</t>
        </is>
      </c>
      <c r="F501" t="inlineStr">
        <is>
          <t>Toxicological and immunological aspects of drug metabolism and environmental chemicals : Symposium Hotel Schloss Fuschl, Austria, 1st-4th November, 1987 / editors: Ronald W. Estabrook ... [et al.]</t>
        </is>
      </c>
      <c r="H501" t="inlineStr">
        <is>
          <t>No</t>
        </is>
      </c>
      <c r="I501" t="inlineStr">
        <is>
          <t>1</t>
        </is>
      </c>
      <c r="J501" t="inlineStr">
        <is>
          <t>No</t>
        </is>
      </c>
      <c r="K501" t="inlineStr">
        <is>
          <t>No</t>
        </is>
      </c>
      <c r="L501" t="inlineStr">
        <is>
          <t>0</t>
        </is>
      </c>
      <c r="N501" t="inlineStr">
        <is>
          <t>Stuttgart ; New York : F.K. Schattauer Verlag, c1988.</t>
        </is>
      </c>
      <c r="O501" t="inlineStr">
        <is>
          <t>1988</t>
        </is>
      </c>
      <c r="Q501" t="inlineStr">
        <is>
          <t>eng</t>
        </is>
      </c>
      <c r="R501" t="inlineStr">
        <is>
          <t xml:space="preserve">gw </t>
        </is>
      </c>
      <c r="S501" t="inlineStr">
        <is>
          <t>Symposia medica Hoechst ; 22</t>
        </is>
      </c>
      <c r="T501" t="inlineStr">
        <is>
          <t xml:space="preserve">QV </t>
        </is>
      </c>
      <c r="U501" t="n">
        <v>1</v>
      </c>
      <c r="V501" t="n">
        <v>1</v>
      </c>
      <c r="W501" t="inlineStr">
        <is>
          <t>1993-02-26</t>
        </is>
      </c>
      <c r="X501" t="inlineStr">
        <is>
          <t>1993-02-26</t>
        </is>
      </c>
      <c r="Y501" t="inlineStr">
        <is>
          <t>1989-06-28</t>
        </is>
      </c>
      <c r="Z501" t="inlineStr">
        <is>
          <t>1989-06-28</t>
        </is>
      </c>
      <c r="AA501" t="n">
        <v>81</v>
      </c>
      <c r="AB501" t="n">
        <v>70</v>
      </c>
      <c r="AC501" t="n">
        <v>72</v>
      </c>
      <c r="AD501" t="n">
        <v>2</v>
      </c>
      <c r="AE501" t="n">
        <v>2</v>
      </c>
      <c r="AF501" t="n">
        <v>2</v>
      </c>
      <c r="AG501" t="n">
        <v>2</v>
      </c>
      <c r="AH501" t="n">
        <v>0</v>
      </c>
      <c r="AI501" t="n">
        <v>0</v>
      </c>
      <c r="AJ501" t="n">
        <v>0</v>
      </c>
      <c r="AK501" t="n">
        <v>0</v>
      </c>
      <c r="AL501" t="n">
        <v>1</v>
      </c>
      <c r="AM501" t="n">
        <v>1</v>
      </c>
      <c r="AN501" t="n">
        <v>1</v>
      </c>
      <c r="AO501" t="n">
        <v>1</v>
      </c>
      <c r="AP501" t="n">
        <v>0</v>
      </c>
      <c r="AQ501" t="n">
        <v>0</v>
      </c>
      <c r="AR501" t="inlineStr">
        <is>
          <t>No</t>
        </is>
      </c>
      <c r="AS501" t="inlineStr">
        <is>
          <t>Yes</t>
        </is>
      </c>
      <c r="AT501">
        <f>HYPERLINK("http://catalog.hathitrust.org/Record/001827779","HathiTrust Record")</f>
        <v/>
      </c>
      <c r="AU501">
        <f>HYPERLINK("https://creighton-primo.hosted.exlibrisgroup.com/primo-explore/search?tab=default_tab&amp;search_scope=EVERYTHING&amp;vid=01CRU&amp;lang=en_US&amp;offset=0&amp;query=any,contains,991001309199702656","Catalog Record")</f>
        <v/>
      </c>
      <c r="AV501">
        <f>HYPERLINK("http://www.worldcat.org/oclc/20896240","WorldCat Record")</f>
        <v/>
      </c>
      <c r="AW501" t="inlineStr">
        <is>
          <t>22737965:eng</t>
        </is>
      </c>
      <c r="AX501" t="inlineStr">
        <is>
          <t>20896240</t>
        </is>
      </c>
      <c r="AY501" t="inlineStr">
        <is>
          <t>991001309199702656</t>
        </is>
      </c>
      <c r="AZ501" t="inlineStr">
        <is>
          <t>991001309199702656</t>
        </is>
      </c>
      <c r="BA501" t="inlineStr">
        <is>
          <t>2266462600002656</t>
        </is>
      </c>
      <c r="BB501" t="inlineStr">
        <is>
          <t>BOOK</t>
        </is>
      </c>
      <c r="BD501" t="inlineStr">
        <is>
          <t>9783794512690</t>
        </is>
      </c>
      <c r="BE501" t="inlineStr">
        <is>
          <t>30001001750274</t>
        </is>
      </c>
      <c r="BF501" t="inlineStr">
        <is>
          <t>893632937</t>
        </is>
      </c>
    </row>
    <row r="502">
      <c r="B502" t="inlineStr">
        <is>
          <t>CUHSL</t>
        </is>
      </c>
      <c r="C502" t="inlineStr">
        <is>
          <t>SHELVES</t>
        </is>
      </c>
      <c r="D502" t="inlineStr">
        <is>
          <t>QV601 F583a 2001</t>
        </is>
      </c>
      <c r="E502" t="inlineStr">
        <is>
          <t>0                      QV 0601000F  583a        2001</t>
        </is>
      </c>
      <c r="F502" t="inlineStr">
        <is>
          <t>Antidotes / Robert J. Flanagan, Alison L. Jones ; with a section on antidotes and chemical warfare by Timothy C. Marrs and Robert L. Maynard.</t>
        </is>
      </c>
      <c r="H502" t="inlineStr">
        <is>
          <t>No</t>
        </is>
      </c>
      <c r="I502" t="inlineStr">
        <is>
          <t>1</t>
        </is>
      </c>
      <c r="J502" t="inlineStr">
        <is>
          <t>No</t>
        </is>
      </c>
      <c r="K502" t="inlineStr">
        <is>
          <t>No</t>
        </is>
      </c>
      <c r="L502" t="inlineStr">
        <is>
          <t>0</t>
        </is>
      </c>
      <c r="M502" t="inlineStr">
        <is>
          <t>Flanagan, Robert James.</t>
        </is>
      </c>
      <c r="N502" t="inlineStr">
        <is>
          <t>London ; New York : Taylor &amp; Francis, 2001.</t>
        </is>
      </c>
      <c r="O502" t="inlineStr">
        <is>
          <t>2001</t>
        </is>
      </c>
      <c r="Q502" t="inlineStr">
        <is>
          <t>eng</t>
        </is>
      </c>
      <c r="R502" t="inlineStr">
        <is>
          <t>enk</t>
        </is>
      </c>
      <c r="T502" t="inlineStr">
        <is>
          <t xml:space="preserve">QV </t>
        </is>
      </c>
      <c r="U502" t="n">
        <v>0</v>
      </c>
      <c r="V502" t="n">
        <v>0</v>
      </c>
      <c r="W502" t="inlineStr">
        <is>
          <t>2003-12-23</t>
        </is>
      </c>
      <c r="X502" t="inlineStr">
        <is>
          <t>2003-12-23</t>
        </is>
      </c>
      <c r="Y502" t="inlineStr">
        <is>
          <t>2003-12-22</t>
        </is>
      </c>
      <c r="Z502" t="inlineStr">
        <is>
          <t>2003-12-22</t>
        </is>
      </c>
      <c r="AA502" t="n">
        <v>101</v>
      </c>
      <c r="AB502" t="n">
        <v>61</v>
      </c>
      <c r="AC502" t="n">
        <v>405</v>
      </c>
      <c r="AD502" t="n">
        <v>1</v>
      </c>
      <c r="AE502" t="n">
        <v>27</v>
      </c>
      <c r="AF502" t="n">
        <v>0</v>
      </c>
      <c r="AG502" t="n">
        <v>16</v>
      </c>
      <c r="AH502" t="n">
        <v>0</v>
      </c>
      <c r="AI502" t="n">
        <v>3</v>
      </c>
      <c r="AJ502" t="n">
        <v>0</v>
      </c>
      <c r="AK502" t="n">
        <v>0</v>
      </c>
      <c r="AL502" t="n">
        <v>0</v>
      </c>
      <c r="AM502" t="n">
        <v>2</v>
      </c>
      <c r="AN502" t="n">
        <v>0</v>
      </c>
      <c r="AO502" t="n">
        <v>12</v>
      </c>
      <c r="AP502" t="n">
        <v>0</v>
      </c>
      <c r="AQ502" t="n">
        <v>0</v>
      </c>
      <c r="AR502" t="inlineStr">
        <is>
          <t>No</t>
        </is>
      </c>
      <c r="AS502" t="inlineStr">
        <is>
          <t>No</t>
        </is>
      </c>
      <c r="AU502">
        <f>HYPERLINK("https://creighton-primo.hosted.exlibrisgroup.com/primo-explore/search?tab=default_tab&amp;search_scope=EVERYTHING&amp;vid=01CRU&amp;lang=en_US&amp;offset=0&amp;query=any,contains,991000362879702656","Catalog Record")</f>
        <v/>
      </c>
      <c r="AV502">
        <f>HYPERLINK("http://www.worldcat.org/oclc/47717992","WorldCat Record")</f>
        <v/>
      </c>
      <c r="AW502" t="inlineStr">
        <is>
          <t>3943611358:eng</t>
        </is>
      </c>
      <c r="AX502" t="inlineStr">
        <is>
          <t>47717992</t>
        </is>
      </c>
      <c r="AY502" t="inlineStr">
        <is>
          <t>991000362879702656</t>
        </is>
      </c>
      <c r="AZ502" t="inlineStr">
        <is>
          <t>991000362879702656</t>
        </is>
      </c>
      <c r="BA502" t="inlineStr">
        <is>
          <t>2271397900002656</t>
        </is>
      </c>
      <c r="BB502" t="inlineStr">
        <is>
          <t>BOOK</t>
        </is>
      </c>
      <c r="BD502" t="inlineStr">
        <is>
          <t>9780748409655</t>
        </is>
      </c>
      <c r="BE502" t="inlineStr">
        <is>
          <t>30001004506384</t>
        </is>
      </c>
      <c r="BF502" t="inlineStr">
        <is>
          <t>893163370</t>
        </is>
      </c>
    </row>
    <row r="503">
      <c r="B503" t="inlineStr">
        <is>
          <t>CUHSL</t>
        </is>
      </c>
      <c r="C503" t="inlineStr">
        <is>
          <t>SHELVES</t>
        </is>
      </c>
      <c r="D503" t="inlineStr">
        <is>
          <t>QV 602 T7545 1983</t>
        </is>
      </c>
      <c r="E503" t="inlineStr">
        <is>
          <t>0                      QV 0602000T  7545        1983</t>
        </is>
      </c>
      <c r="F503" t="inlineStr">
        <is>
          <t>Toxicity testing : new approaches and applications in human risk assessment / editor-in-chief, A.P. Li ; associate editors, T.L. Blank ... [et al.].</t>
        </is>
      </c>
      <c r="H503" t="inlineStr">
        <is>
          <t>No</t>
        </is>
      </c>
      <c r="I503" t="inlineStr">
        <is>
          <t>1</t>
        </is>
      </c>
      <c r="J503" t="inlineStr">
        <is>
          <t>No</t>
        </is>
      </c>
      <c r="K503" t="inlineStr">
        <is>
          <t>No</t>
        </is>
      </c>
      <c r="L503" t="inlineStr">
        <is>
          <t>0</t>
        </is>
      </c>
      <c r="N503" t="inlineStr">
        <is>
          <t>New York : Raven Press, c1985.</t>
        </is>
      </c>
      <c r="O503" t="inlineStr">
        <is>
          <t>1985</t>
        </is>
      </c>
      <c r="Q503" t="inlineStr">
        <is>
          <t>eng</t>
        </is>
      </c>
      <c r="R503" t="inlineStr">
        <is>
          <t>xxu</t>
        </is>
      </c>
      <c r="T503" t="inlineStr">
        <is>
          <t xml:space="preserve">QV </t>
        </is>
      </c>
      <c r="U503" t="n">
        <v>2</v>
      </c>
      <c r="V503" t="n">
        <v>2</v>
      </c>
      <c r="W503" t="inlineStr">
        <is>
          <t>1996-11-21</t>
        </is>
      </c>
      <c r="X503" t="inlineStr">
        <is>
          <t>1996-11-21</t>
        </is>
      </c>
      <c r="Y503" t="inlineStr">
        <is>
          <t>1988-02-09</t>
        </is>
      </c>
      <c r="Z503" t="inlineStr">
        <is>
          <t>1988-02-09</t>
        </is>
      </c>
      <c r="AA503" t="n">
        <v>171</v>
      </c>
      <c r="AB503" t="n">
        <v>130</v>
      </c>
      <c r="AC503" t="n">
        <v>133</v>
      </c>
      <c r="AD503" t="n">
        <v>1</v>
      </c>
      <c r="AE503" t="n">
        <v>1</v>
      </c>
      <c r="AF503" t="n">
        <v>3</v>
      </c>
      <c r="AG503" t="n">
        <v>3</v>
      </c>
      <c r="AH503" t="n">
        <v>0</v>
      </c>
      <c r="AI503" t="n">
        <v>0</v>
      </c>
      <c r="AJ503" t="n">
        <v>1</v>
      </c>
      <c r="AK503" t="n">
        <v>1</v>
      </c>
      <c r="AL503" t="n">
        <v>2</v>
      </c>
      <c r="AM503" t="n">
        <v>2</v>
      </c>
      <c r="AN503" t="n">
        <v>0</v>
      </c>
      <c r="AO503" t="n">
        <v>0</v>
      </c>
      <c r="AP503" t="n">
        <v>0</v>
      </c>
      <c r="AQ503" t="n">
        <v>0</v>
      </c>
      <c r="AR503" t="inlineStr">
        <is>
          <t>No</t>
        </is>
      </c>
      <c r="AS503" t="inlineStr">
        <is>
          <t>Yes</t>
        </is>
      </c>
      <c r="AT503">
        <f>HYPERLINK("http://catalog.hathitrust.org/Record/000648106","HathiTrust Record")</f>
        <v/>
      </c>
      <c r="AU503">
        <f>HYPERLINK("https://creighton-primo.hosted.exlibrisgroup.com/primo-explore/search?tab=default_tab&amp;search_scope=EVERYTHING&amp;vid=01CRU&amp;lang=en_US&amp;offset=0&amp;query=any,contains,991000963109702656","Catalog Record")</f>
        <v/>
      </c>
      <c r="AV503">
        <f>HYPERLINK("http://www.worldcat.org/oclc/11548383","WorldCat Record")</f>
        <v/>
      </c>
      <c r="AW503" t="inlineStr">
        <is>
          <t>796352478:eng</t>
        </is>
      </c>
      <c r="AX503" t="inlineStr">
        <is>
          <t>11548383</t>
        </is>
      </c>
      <c r="AY503" t="inlineStr">
        <is>
          <t>991000963109702656</t>
        </is>
      </c>
      <c r="AZ503" t="inlineStr">
        <is>
          <t>991000963109702656</t>
        </is>
      </c>
      <c r="BA503" t="inlineStr">
        <is>
          <t>2263071040002656</t>
        </is>
      </c>
      <c r="BB503" t="inlineStr">
        <is>
          <t>BOOK</t>
        </is>
      </c>
      <c r="BD503" t="inlineStr">
        <is>
          <t>9780881670837</t>
        </is>
      </c>
      <c r="BE503" t="inlineStr">
        <is>
          <t>30001000198608</t>
        </is>
      </c>
      <c r="BF503" t="inlineStr">
        <is>
          <t>893368935</t>
        </is>
      </c>
    </row>
    <row r="504">
      <c r="B504" t="inlineStr">
        <is>
          <t>CUHSL</t>
        </is>
      </c>
      <c r="C504" t="inlineStr">
        <is>
          <t>SHELVES</t>
        </is>
      </c>
      <c r="D504" t="inlineStr">
        <is>
          <t>QV 605 T755</t>
        </is>
      </c>
      <c r="E504" t="inlineStr">
        <is>
          <t>0                      QV 0605000T  755</t>
        </is>
      </c>
      <c r="F504" t="inlineStr">
        <is>
          <t>The Toxic substances list / Herbert E. Christensen, editor ... [et al.] ; prepared for the National Institute for Occupational Safety and Health by Tracor Jitco, inc.</t>
        </is>
      </c>
      <c r="H504" t="inlineStr">
        <is>
          <t>No</t>
        </is>
      </c>
      <c r="I504" t="inlineStr">
        <is>
          <t>1</t>
        </is>
      </c>
      <c r="J504" t="inlineStr">
        <is>
          <t>No</t>
        </is>
      </c>
      <c r="K504" t="inlineStr">
        <is>
          <t>No</t>
        </is>
      </c>
      <c r="L504" t="inlineStr">
        <is>
          <t>0</t>
        </is>
      </c>
      <c r="N504" t="inlineStr">
        <is>
          <t>New York : Commerce Clearing House, 1973.</t>
        </is>
      </c>
      <c r="O504" t="inlineStr">
        <is>
          <t>1973</t>
        </is>
      </c>
      <c r="P504" t="inlineStr">
        <is>
          <t>1973 ed.</t>
        </is>
      </c>
      <c r="Q504" t="inlineStr">
        <is>
          <t>eng</t>
        </is>
      </c>
      <c r="R504" t="inlineStr">
        <is>
          <t>nyu</t>
        </is>
      </c>
      <c r="S504" t="inlineStr">
        <is>
          <t>CCH employment safety and health guide : special report ; Nov. 7, 1973</t>
        </is>
      </c>
      <c r="T504" t="inlineStr">
        <is>
          <t xml:space="preserve">QV </t>
        </is>
      </c>
      <c r="U504" t="n">
        <v>5</v>
      </c>
      <c r="V504" t="n">
        <v>5</v>
      </c>
      <c r="W504" t="inlineStr">
        <is>
          <t>1991-05-23</t>
        </is>
      </c>
      <c r="X504" t="inlineStr">
        <is>
          <t>1991-05-23</t>
        </is>
      </c>
      <c r="Y504" t="inlineStr">
        <is>
          <t>1989-03-21</t>
        </is>
      </c>
      <c r="Z504" t="inlineStr">
        <is>
          <t>1989-03-21</t>
        </is>
      </c>
      <c r="AA504" t="n">
        <v>7</v>
      </c>
      <c r="AB504" t="n">
        <v>7</v>
      </c>
      <c r="AC504" t="n">
        <v>35</v>
      </c>
      <c r="AD504" t="n">
        <v>1</v>
      </c>
      <c r="AE504" t="n">
        <v>1</v>
      </c>
      <c r="AF504" t="n">
        <v>0</v>
      </c>
      <c r="AG504" t="n">
        <v>1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1</v>
      </c>
      <c r="AR504" t="inlineStr">
        <is>
          <t>No</t>
        </is>
      </c>
      <c r="AS504" t="inlineStr">
        <is>
          <t>No</t>
        </is>
      </c>
      <c r="AU504">
        <f>HYPERLINK("https://creighton-primo.hosted.exlibrisgroup.com/primo-explore/search?tab=default_tab&amp;search_scope=EVERYTHING&amp;vid=01CRU&amp;lang=en_US&amp;offset=0&amp;query=any,contains,991000963079702656","Catalog Record")</f>
        <v/>
      </c>
      <c r="AV504">
        <f>HYPERLINK("http://www.worldcat.org/oclc/7489950","WorldCat Record")</f>
        <v/>
      </c>
      <c r="AW504" t="inlineStr">
        <is>
          <t>423029967:eng</t>
        </is>
      </c>
      <c r="AX504" t="inlineStr">
        <is>
          <t>7489950</t>
        </is>
      </c>
      <c r="AY504" t="inlineStr">
        <is>
          <t>991000963079702656</t>
        </is>
      </c>
      <c r="AZ504" t="inlineStr">
        <is>
          <t>991000963079702656</t>
        </is>
      </c>
      <c r="BA504" t="inlineStr">
        <is>
          <t>2271743350002656</t>
        </is>
      </c>
      <c r="BB504" t="inlineStr">
        <is>
          <t>BOOK</t>
        </is>
      </c>
      <c r="BE504" t="inlineStr">
        <is>
          <t>30001000198590</t>
        </is>
      </c>
      <c r="BF504" t="inlineStr">
        <is>
          <t>893740614</t>
        </is>
      </c>
    </row>
    <row r="505">
      <c r="B505" t="inlineStr">
        <is>
          <t>CUHSL</t>
        </is>
      </c>
      <c r="C505" t="inlineStr">
        <is>
          <t>SHELVES</t>
        </is>
      </c>
      <c r="D505" t="inlineStr">
        <is>
          <t>QV 610 H236 1979</t>
        </is>
      </c>
      <c r="E505" t="inlineStr">
        <is>
          <t>0                      QV 0610000H  236         1979</t>
        </is>
      </c>
      <c r="F505" t="inlineStr">
        <is>
          <t>Handbook on the toxicology of metals / edited by Lars Friberg, Gunnar F. Nordberg, and Velimir B. Vouk.</t>
        </is>
      </c>
      <c r="H505" t="inlineStr">
        <is>
          <t>No</t>
        </is>
      </c>
      <c r="I505" t="inlineStr">
        <is>
          <t>1</t>
        </is>
      </c>
      <c r="J505" t="inlineStr">
        <is>
          <t>No</t>
        </is>
      </c>
      <c r="K505" t="inlineStr">
        <is>
          <t>No</t>
        </is>
      </c>
      <c r="L505" t="inlineStr">
        <is>
          <t>1</t>
        </is>
      </c>
      <c r="N505" t="inlineStr">
        <is>
          <t>Amsterdam ; New York : Elsevier/North-Holland Biomedical Press ; New York : sole distributors for the U.S.A. and Canada, 1979, c1978.</t>
        </is>
      </c>
      <c r="O505" t="inlineStr">
        <is>
          <t>1979</t>
        </is>
      </c>
      <c r="Q505" t="inlineStr">
        <is>
          <t>eng</t>
        </is>
      </c>
      <c r="R505" t="inlineStr">
        <is>
          <t xml:space="preserve">ne </t>
        </is>
      </c>
      <c r="T505" t="inlineStr">
        <is>
          <t xml:space="preserve">QV </t>
        </is>
      </c>
      <c r="U505" t="n">
        <v>17</v>
      </c>
      <c r="V505" t="n">
        <v>17</v>
      </c>
      <c r="W505" t="inlineStr">
        <is>
          <t>2006-11-02</t>
        </is>
      </c>
      <c r="X505" t="inlineStr">
        <is>
          <t>2006-11-02</t>
        </is>
      </c>
      <c r="Y505" t="inlineStr">
        <is>
          <t>1988-02-09</t>
        </is>
      </c>
      <c r="Z505" t="inlineStr">
        <is>
          <t>1988-02-09</t>
        </is>
      </c>
      <c r="AA505" t="n">
        <v>230</v>
      </c>
      <c r="AB505" t="n">
        <v>128</v>
      </c>
      <c r="AC505" t="n">
        <v>938</v>
      </c>
      <c r="AD505" t="n">
        <v>1</v>
      </c>
      <c r="AE505" t="n">
        <v>14</v>
      </c>
      <c r="AF505" t="n">
        <v>2</v>
      </c>
      <c r="AG505" t="n">
        <v>41</v>
      </c>
      <c r="AH505" t="n">
        <v>1</v>
      </c>
      <c r="AI505" t="n">
        <v>13</v>
      </c>
      <c r="AJ505" t="n">
        <v>0</v>
      </c>
      <c r="AK505" t="n">
        <v>9</v>
      </c>
      <c r="AL505" t="n">
        <v>1</v>
      </c>
      <c r="AM505" t="n">
        <v>10</v>
      </c>
      <c r="AN505" t="n">
        <v>0</v>
      </c>
      <c r="AO505" t="n">
        <v>12</v>
      </c>
      <c r="AP505" t="n">
        <v>0</v>
      </c>
      <c r="AQ505" t="n">
        <v>2</v>
      </c>
      <c r="AR505" t="inlineStr">
        <is>
          <t>No</t>
        </is>
      </c>
      <c r="AS505" t="inlineStr">
        <is>
          <t>Yes</t>
        </is>
      </c>
      <c r="AT505">
        <f>HYPERLINK("http://catalog.hathitrust.org/Record/000033562","HathiTrust Record")</f>
        <v/>
      </c>
      <c r="AU505">
        <f>HYPERLINK("https://creighton-primo.hosted.exlibrisgroup.com/primo-explore/search?tab=default_tab&amp;search_scope=EVERYTHING&amp;vid=01CRU&amp;lang=en_US&amp;offset=0&amp;query=any,contains,991000963019702656","Catalog Record")</f>
        <v/>
      </c>
      <c r="AV505">
        <f>HYPERLINK("http://www.worldcat.org/oclc/5239756","WorldCat Record")</f>
        <v/>
      </c>
      <c r="AW505" t="inlineStr">
        <is>
          <t>1012161765:eng</t>
        </is>
      </c>
      <c r="AX505" t="inlineStr">
        <is>
          <t>5239756</t>
        </is>
      </c>
      <c r="AY505" t="inlineStr">
        <is>
          <t>991000963019702656</t>
        </is>
      </c>
      <c r="AZ505" t="inlineStr">
        <is>
          <t>991000963019702656</t>
        </is>
      </c>
      <c r="BA505" t="inlineStr">
        <is>
          <t>2264366730002656</t>
        </is>
      </c>
      <c r="BB505" t="inlineStr">
        <is>
          <t>BOOK</t>
        </is>
      </c>
      <c r="BD505" t="inlineStr">
        <is>
          <t>9780444800756</t>
        </is>
      </c>
      <c r="BE505" t="inlineStr">
        <is>
          <t>30001000198558</t>
        </is>
      </c>
      <c r="BF505" t="inlineStr">
        <is>
          <t>893651816</t>
        </is>
      </c>
    </row>
    <row r="506">
      <c r="B506" t="inlineStr">
        <is>
          <t>CUHSL</t>
        </is>
      </c>
      <c r="C506" t="inlineStr">
        <is>
          <t>SHELVES</t>
        </is>
      </c>
      <c r="D506" t="inlineStr">
        <is>
          <t>QV638 A6527 2006</t>
        </is>
      </c>
      <c r="E506" t="inlineStr">
        <is>
          <t>0                      QV 0638000A  6527        2006</t>
        </is>
      </c>
      <c r="F506" t="inlineStr">
        <is>
          <t>Applied pharmacokinetics &amp; pharmacodynamics : principles of therapeutic drug monitoring / editors, Michael E. Burton ... [et al.].</t>
        </is>
      </c>
      <c r="H506" t="inlineStr">
        <is>
          <t>No</t>
        </is>
      </c>
      <c r="I506" t="inlineStr">
        <is>
          <t>1</t>
        </is>
      </c>
      <c r="J506" t="inlineStr">
        <is>
          <t>No</t>
        </is>
      </c>
      <c r="K506" t="inlineStr">
        <is>
          <t>Yes</t>
        </is>
      </c>
      <c r="L506" t="inlineStr">
        <is>
          <t>0</t>
        </is>
      </c>
      <c r="N506" t="inlineStr">
        <is>
          <t>Baltimore : Lippincott Williams &amp; Wilkins, c2006.</t>
        </is>
      </c>
      <c r="O506" t="inlineStr">
        <is>
          <t>2006</t>
        </is>
      </c>
      <c r="P506" t="inlineStr">
        <is>
          <t>4th ed.</t>
        </is>
      </c>
      <c r="Q506" t="inlineStr">
        <is>
          <t>eng</t>
        </is>
      </c>
      <c r="R506" t="inlineStr">
        <is>
          <t>mdu</t>
        </is>
      </c>
      <c r="T506" t="inlineStr">
        <is>
          <t xml:space="preserve">QV </t>
        </is>
      </c>
      <c r="U506" t="n">
        <v>1</v>
      </c>
      <c r="V506" t="n">
        <v>1</v>
      </c>
      <c r="W506" t="inlineStr">
        <is>
          <t>2007-05-17</t>
        </is>
      </c>
      <c r="X506" t="inlineStr">
        <is>
          <t>2007-05-17</t>
        </is>
      </c>
      <c r="Y506" t="inlineStr">
        <is>
          <t>2006-10-27</t>
        </is>
      </c>
      <c r="Z506" t="inlineStr">
        <is>
          <t>2006-10-27</t>
        </is>
      </c>
      <c r="AA506" t="n">
        <v>232</v>
      </c>
      <c r="AB506" t="n">
        <v>158</v>
      </c>
      <c r="AC506" t="n">
        <v>261</v>
      </c>
      <c r="AD506" t="n">
        <v>2</v>
      </c>
      <c r="AE506" t="n">
        <v>2</v>
      </c>
      <c r="AF506" t="n">
        <v>10</v>
      </c>
      <c r="AG506" t="n">
        <v>11</v>
      </c>
      <c r="AH506" t="n">
        <v>5</v>
      </c>
      <c r="AI506" t="n">
        <v>5</v>
      </c>
      <c r="AJ506" t="n">
        <v>3</v>
      </c>
      <c r="AK506" t="n">
        <v>3</v>
      </c>
      <c r="AL506" t="n">
        <v>3</v>
      </c>
      <c r="AM506" t="n">
        <v>4</v>
      </c>
      <c r="AN506" t="n">
        <v>1</v>
      </c>
      <c r="AO506" t="n">
        <v>1</v>
      </c>
      <c r="AP506" t="n">
        <v>0</v>
      </c>
      <c r="AQ506" t="n">
        <v>0</v>
      </c>
      <c r="AR506" t="inlineStr">
        <is>
          <t>No</t>
        </is>
      </c>
      <c r="AS506" t="inlineStr">
        <is>
          <t>No</t>
        </is>
      </c>
      <c r="AU506">
        <f>HYPERLINK("https://creighton-primo.hosted.exlibrisgroup.com/primo-explore/search?tab=default_tab&amp;search_scope=EVERYTHING&amp;vid=01CRU&amp;lang=en_US&amp;offset=0&amp;query=any,contains,991000562199702656","Catalog Record")</f>
        <v/>
      </c>
      <c r="AV506">
        <f>HYPERLINK("http://www.worldcat.org/oclc/59148565","WorldCat Record")</f>
        <v/>
      </c>
      <c r="AW506" t="inlineStr">
        <is>
          <t>365402414:eng</t>
        </is>
      </c>
      <c r="AX506" t="inlineStr">
        <is>
          <t>59148565</t>
        </is>
      </c>
      <c r="AY506" t="inlineStr">
        <is>
          <t>991000562199702656</t>
        </is>
      </c>
      <c r="AZ506" t="inlineStr">
        <is>
          <t>991000562199702656</t>
        </is>
      </c>
      <c r="BA506" t="inlineStr">
        <is>
          <t>2267135360002656</t>
        </is>
      </c>
      <c r="BB506" t="inlineStr">
        <is>
          <t>BOOK</t>
        </is>
      </c>
      <c r="BD506" t="inlineStr">
        <is>
          <t>9780781744317</t>
        </is>
      </c>
      <c r="BE506" t="inlineStr">
        <is>
          <t>30001005176716</t>
        </is>
      </c>
      <c r="BF506" t="inlineStr">
        <is>
          <t>893734373</t>
        </is>
      </c>
    </row>
    <row r="507">
      <c r="B507" t="inlineStr">
        <is>
          <t>CUHSL</t>
        </is>
      </c>
      <c r="C507" t="inlineStr">
        <is>
          <t>SHELVES</t>
        </is>
      </c>
      <c r="D507" t="inlineStr">
        <is>
          <t>QV 662 W784p 1920</t>
        </is>
      </c>
      <c r="E507" t="inlineStr">
        <is>
          <t>0                      QV 0662000W  784p        1920</t>
        </is>
      </c>
      <c r="F507" t="inlineStr">
        <is>
          <t>Collected studies on the pathology of war gas poisoning : from the Department of Pathology and Bacteriology, Medical Science Section, Chemical Warfare Service, under the direction of M.C. Winternitz.</t>
        </is>
      </c>
      <c r="H507" t="inlineStr">
        <is>
          <t>No</t>
        </is>
      </c>
      <c r="I507" t="inlineStr">
        <is>
          <t>1</t>
        </is>
      </c>
      <c r="J507" t="inlineStr">
        <is>
          <t>No</t>
        </is>
      </c>
      <c r="K507" t="inlineStr">
        <is>
          <t>No</t>
        </is>
      </c>
      <c r="L507" t="inlineStr">
        <is>
          <t>0</t>
        </is>
      </c>
      <c r="M507" t="inlineStr">
        <is>
          <t>Winternitz, Milton Charles, 1885-1959.</t>
        </is>
      </c>
      <c r="N507" t="inlineStr">
        <is>
          <t>New Haven : Yale University Press, 1920.</t>
        </is>
      </c>
      <c r="O507" t="inlineStr">
        <is>
          <t>1920</t>
        </is>
      </c>
      <c r="Q507" t="inlineStr">
        <is>
          <t>eng</t>
        </is>
      </c>
      <c r="R507" t="inlineStr">
        <is>
          <t>ctu</t>
        </is>
      </c>
      <c r="T507" t="inlineStr">
        <is>
          <t xml:space="preserve">QV </t>
        </is>
      </c>
      <c r="U507" t="n">
        <v>8</v>
      </c>
      <c r="V507" t="n">
        <v>8</v>
      </c>
      <c r="W507" t="inlineStr">
        <is>
          <t>2007-08-16</t>
        </is>
      </c>
      <c r="X507" t="inlineStr">
        <is>
          <t>2007-08-16</t>
        </is>
      </c>
      <c r="Y507" t="inlineStr">
        <is>
          <t>1988-02-09</t>
        </is>
      </c>
      <c r="Z507" t="inlineStr">
        <is>
          <t>1988-02-09</t>
        </is>
      </c>
      <c r="AA507" t="n">
        <v>123</v>
      </c>
      <c r="AB507" t="n">
        <v>84</v>
      </c>
      <c r="AC507" t="n">
        <v>94</v>
      </c>
      <c r="AD507" t="n">
        <v>2</v>
      </c>
      <c r="AE507" t="n">
        <v>2</v>
      </c>
      <c r="AF507" t="n">
        <v>1</v>
      </c>
      <c r="AG507" t="n">
        <v>1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1</v>
      </c>
      <c r="AO507" t="n">
        <v>1</v>
      </c>
      <c r="AP507" t="n">
        <v>0</v>
      </c>
      <c r="AQ507" t="n">
        <v>0</v>
      </c>
      <c r="AR507" t="inlineStr">
        <is>
          <t>Yes</t>
        </is>
      </c>
      <c r="AS507" t="inlineStr">
        <is>
          <t>No</t>
        </is>
      </c>
      <c r="AT507">
        <f>HYPERLINK("http://catalog.hathitrust.org/Record/001585227","HathiTrust Record")</f>
        <v/>
      </c>
      <c r="AU507">
        <f>HYPERLINK("https://creighton-primo.hosted.exlibrisgroup.com/primo-explore/search?tab=default_tab&amp;search_scope=EVERYTHING&amp;vid=01CRU&amp;lang=en_US&amp;offset=0&amp;query=any,contains,991000963419702656","Catalog Record")</f>
        <v/>
      </c>
      <c r="AV507">
        <f>HYPERLINK("http://www.worldcat.org/oclc/729389","WorldCat Record")</f>
        <v/>
      </c>
      <c r="AW507" t="inlineStr">
        <is>
          <t>2866125720:eng</t>
        </is>
      </c>
      <c r="AX507" t="inlineStr">
        <is>
          <t>729389</t>
        </is>
      </c>
      <c r="AY507" t="inlineStr">
        <is>
          <t>991000963419702656</t>
        </is>
      </c>
      <c r="AZ507" t="inlineStr">
        <is>
          <t>991000963419702656</t>
        </is>
      </c>
      <c r="BA507" t="inlineStr">
        <is>
          <t>2263185570002656</t>
        </is>
      </c>
      <c r="BB507" t="inlineStr">
        <is>
          <t>BOOK</t>
        </is>
      </c>
      <c r="BE507" t="inlineStr">
        <is>
          <t>30001000198798</t>
        </is>
      </c>
      <c r="BF507" t="inlineStr">
        <is>
          <t>893740615</t>
        </is>
      </c>
    </row>
    <row r="508">
      <c r="B508" t="inlineStr">
        <is>
          <t>CUHSL</t>
        </is>
      </c>
      <c r="C508" t="inlineStr">
        <is>
          <t>SHELVES</t>
        </is>
      </c>
      <c r="D508" t="inlineStr">
        <is>
          <t>QV 663 H236 2009</t>
        </is>
      </c>
      <c r="E508" t="inlineStr">
        <is>
          <t>0                      QV 0663000H  236         2009</t>
        </is>
      </c>
      <c r="F508" t="inlineStr">
        <is>
          <t>Handbook of toxicology of chemical warfare agents / edited by Ramesh C. Gupta.</t>
        </is>
      </c>
      <c r="H508" t="inlineStr">
        <is>
          <t>No</t>
        </is>
      </c>
      <c r="I508" t="inlineStr">
        <is>
          <t>1</t>
        </is>
      </c>
      <c r="J508" t="inlineStr">
        <is>
          <t>No</t>
        </is>
      </c>
      <c r="K508" t="inlineStr">
        <is>
          <t>No</t>
        </is>
      </c>
      <c r="L508" t="inlineStr">
        <is>
          <t>1</t>
        </is>
      </c>
      <c r="N508" t="inlineStr">
        <is>
          <t>London : Academic Press, 2009.</t>
        </is>
      </c>
      <c r="O508" t="inlineStr">
        <is>
          <t>2009</t>
        </is>
      </c>
      <c r="P508" t="inlineStr">
        <is>
          <t>1st ed.</t>
        </is>
      </c>
      <c r="Q508" t="inlineStr">
        <is>
          <t>eng</t>
        </is>
      </c>
      <c r="R508" t="inlineStr">
        <is>
          <t>enk</t>
        </is>
      </c>
      <c r="T508" t="inlineStr">
        <is>
          <t xml:space="preserve">QV </t>
        </is>
      </c>
      <c r="U508" t="n">
        <v>0</v>
      </c>
      <c r="V508" t="n">
        <v>0</v>
      </c>
      <c r="W508" t="inlineStr">
        <is>
          <t>2009-05-22</t>
        </is>
      </c>
      <c r="X508" t="inlineStr">
        <is>
          <t>2009-05-22</t>
        </is>
      </c>
      <c r="Y508" t="inlineStr">
        <is>
          <t>2009-05-21</t>
        </is>
      </c>
      <c r="Z508" t="inlineStr">
        <is>
          <t>2009-05-21</t>
        </is>
      </c>
      <c r="AA508" t="n">
        <v>52</v>
      </c>
      <c r="AB508" t="n">
        <v>36</v>
      </c>
      <c r="AC508" t="n">
        <v>883</v>
      </c>
      <c r="AD508" t="n">
        <v>1</v>
      </c>
      <c r="AE508" t="n">
        <v>14</v>
      </c>
      <c r="AF508" t="n">
        <v>0</v>
      </c>
      <c r="AG508" t="n">
        <v>39</v>
      </c>
      <c r="AH508" t="n">
        <v>0</v>
      </c>
      <c r="AI508" t="n">
        <v>11</v>
      </c>
      <c r="AJ508" t="n">
        <v>0</v>
      </c>
      <c r="AK508" t="n">
        <v>9</v>
      </c>
      <c r="AL508" t="n">
        <v>0</v>
      </c>
      <c r="AM508" t="n">
        <v>10</v>
      </c>
      <c r="AN508" t="n">
        <v>0</v>
      </c>
      <c r="AO508" t="n">
        <v>12</v>
      </c>
      <c r="AP508" t="n">
        <v>0</v>
      </c>
      <c r="AQ508" t="n">
        <v>2</v>
      </c>
      <c r="AR508" t="inlineStr">
        <is>
          <t>No</t>
        </is>
      </c>
      <c r="AS508" t="inlineStr">
        <is>
          <t>No</t>
        </is>
      </c>
      <c r="AU508">
        <f>HYPERLINK("https://creighton-primo.hosted.exlibrisgroup.com/primo-explore/search?tab=default_tab&amp;search_scope=EVERYTHING&amp;vid=01CRU&amp;lang=en_US&amp;offset=0&amp;query=any,contains,991001463869702656","Catalog Record")</f>
        <v/>
      </c>
      <c r="AV508">
        <f>HYPERLINK("http://www.worldcat.org/oclc/317442710","WorldCat Record")</f>
        <v/>
      </c>
      <c r="AW508" t="inlineStr">
        <is>
          <t>766906447:eng</t>
        </is>
      </c>
      <c r="AX508" t="inlineStr">
        <is>
          <t>317442710</t>
        </is>
      </c>
      <c r="AY508" t="inlineStr">
        <is>
          <t>991001463869702656</t>
        </is>
      </c>
      <c r="AZ508" t="inlineStr">
        <is>
          <t>991001463869702656</t>
        </is>
      </c>
      <c r="BA508" t="inlineStr">
        <is>
          <t>2256865840002656</t>
        </is>
      </c>
      <c r="BB508" t="inlineStr">
        <is>
          <t>BOOK</t>
        </is>
      </c>
      <c r="BD508" t="inlineStr">
        <is>
          <t>9780123744845</t>
        </is>
      </c>
      <c r="BE508" t="inlineStr">
        <is>
          <t>30001004916799</t>
        </is>
      </c>
      <c r="BF508" t="inlineStr">
        <is>
          <t>893552533</t>
        </is>
      </c>
    </row>
    <row r="509">
      <c r="B509" t="inlineStr">
        <is>
          <t>CUHSL</t>
        </is>
      </c>
      <c r="C509" t="inlineStr">
        <is>
          <t>SHELVES</t>
        </is>
      </c>
      <c r="D509" t="inlineStr">
        <is>
          <t>QV663 R586 2004</t>
        </is>
      </c>
      <c r="E509" t="inlineStr">
        <is>
          <t>0                      QV 0663000R  586         2004</t>
        </is>
      </c>
      <c r="F509" t="inlineStr">
        <is>
          <t>Riot control agents : issues in toxicology, safety, and health / edited by Eugene J. Olajos and Woodhall Stopford.</t>
        </is>
      </c>
      <c r="H509" t="inlineStr">
        <is>
          <t>No</t>
        </is>
      </c>
      <c r="I509" t="inlineStr">
        <is>
          <t>1</t>
        </is>
      </c>
      <c r="J509" t="inlineStr">
        <is>
          <t>No</t>
        </is>
      </c>
      <c r="K509" t="inlineStr">
        <is>
          <t>No</t>
        </is>
      </c>
      <c r="L509" t="inlineStr">
        <is>
          <t>0</t>
        </is>
      </c>
      <c r="N509" t="inlineStr">
        <is>
          <t>Boca Raton, Fla. : CRC Press, c2004.</t>
        </is>
      </c>
      <c r="O509" t="inlineStr">
        <is>
          <t>2004</t>
        </is>
      </c>
      <c r="Q509" t="inlineStr">
        <is>
          <t>eng</t>
        </is>
      </c>
      <c r="R509" t="inlineStr">
        <is>
          <t>flu</t>
        </is>
      </c>
      <c r="T509" t="inlineStr">
        <is>
          <t xml:space="preserve">QV </t>
        </is>
      </c>
      <c r="U509" t="n">
        <v>1</v>
      </c>
      <c r="V509" t="n">
        <v>1</v>
      </c>
      <c r="W509" t="inlineStr">
        <is>
          <t>2005-02-01</t>
        </is>
      </c>
      <c r="X509" t="inlineStr">
        <is>
          <t>2005-02-01</t>
        </is>
      </c>
      <c r="Y509" t="inlineStr">
        <is>
          <t>2005-01-14</t>
        </is>
      </c>
      <c r="Z509" t="inlineStr">
        <is>
          <t>2005-01-14</t>
        </is>
      </c>
      <c r="AA509" t="n">
        <v>97</v>
      </c>
      <c r="AB509" t="n">
        <v>74</v>
      </c>
      <c r="AC509" t="n">
        <v>465</v>
      </c>
      <c r="AD509" t="n">
        <v>1</v>
      </c>
      <c r="AE509" t="n">
        <v>27</v>
      </c>
      <c r="AF509" t="n">
        <v>1</v>
      </c>
      <c r="AG509" t="n">
        <v>13</v>
      </c>
      <c r="AH509" t="n">
        <v>0</v>
      </c>
      <c r="AI509" t="n">
        <v>2</v>
      </c>
      <c r="AJ509" t="n">
        <v>1</v>
      </c>
      <c r="AK509" t="n">
        <v>1</v>
      </c>
      <c r="AL509" t="n">
        <v>1</v>
      </c>
      <c r="AM509" t="n">
        <v>3</v>
      </c>
      <c r="AN509" t="n">
        <v>0</v>
      </c>
      <c r="AO509" t="n">
        <v>8</v>
      </c>
      <c r="AP509" t="n">
        <v>0</v>
      </c>
      <c r="AQ509" t="n">
        <v>0</v>
      </c>
      <c r="AR509" t="inlineStr">
        <is>
          <t>No</t>
        </is>
      </c>
      <c r="AS509" t="inlineStr">
        <is>
          <t>No</t>
        </is>
      </c>
      <c r="AU509">
        <f>HYPERLINK("https://creighton-primo.hosted.exlibrisgroup.com/primo-explore/search?tab=default_tab&amp;search_scope=EVERYTHING&amp;vid=01CRU&amp;lang=en_US&amp;offset=0&amp;query=any,contains,991000423149702656","Catalog Record")</f>
        <v/>
      </c>
      <c r="AV509">
        <f>HYPERLINK("http://www.worldcat.org/oclc/52387988","WorldCat Record")</f>
        <v/>
      </c>
      <c r="AW509" t="inlineStr">
        <is>
          <t>801388120:eng</t>
        </is>
      </c>
      <c r="AX509" t="inlineStr">
        <is>
          <t>52387988</t>
        </is>
      </c>
      <c r="AY509" t="inlineStr">
        <is>
          <t>991000423149702656</t>
        </is>
      </c>
      <c r="AZ509" t="inlineStr">
        <is>
          <t>991000423149702656</t>
        </is>
      </c>
      <c r="BA509" t="inlineStr">
        <is>
          <t>2267539370002656</t>
        </is>
      </c>
      <c r="BB509" t="inlineStr">
        <is>
          <t>BOOK</t>
        </is>
      </c>
      <c r="BD509" t="inlineStr">
        <is>
          <t>9780415299022</t>
        </is>
      </c>
      <c r="BE509" t="inlineStr">
        <is>
          <t>30001004926434</t>
        </is>
      </c>
      <c r="BF509" t="inlineStr">
        <is>
          <t>893832799</t>
        </is>
      </c>
    </row>
    <row r="510">
      <c r="B510" t="inlineStr">
        <is>
          <t>CUHSL</t>
        </is>
      </c>
      <c r="C510" t="inlineStr">
        <is>
          <t>SHELVES</t>
        </is>
      </c>
      <c r="D510" t="inlineStr">
        <is>
          <t>QV 663 W145g 1942</t>
        </is>
      </c>
      <c r="E510" t="inlineStr">
        <is>
          <t>0                      QV 0663000W  145g        1942</t>
        </is>
      </c>
      <c r="F510" t="inlineStr">
        <is>
          <t>Gas warfare : the chemical weapon, its use, and protection against it / by Alden H. Waitt.</t>
        </is>
      </c>
      <c r="H510" t="inlineStr">
        <is>
          <t>No</t>
        </is>
      </c>
      <c r="I510" t="inlineStr">
        <is>
          <t>1</t>
        </is>
      </c>
      <c r="J510" t="inlineStr">
        <is>
          <t>No</t>
        </is>
      </c>
      <c r="K510" t="inlineStr">
        <is>
          <t>No</t>
        </is>
      </c>
      <c r="L510" t="inlineStr">
        <is>
          <t>0</t>
        </is>
      </c>
      <c r="M510" t="inlineStr">
        <is>
          <t>Waitt, Alden Harry, 1892-1981.</t>
        </is>
      </c>
      <c r="N510" t="inlineStr">
        <is>
          <t>New York : Duell, Sloan &amp; Pearce, c1943, c1942.</t>
        </is>
      </c>
      <c r="O510" t="inlineStr">
        <is>
          <t>1943</t>
        </is>
      </c>
      <c r="P510" t="inlineStr">
        <is>
          <t>1st ed.</t>
        </is>
      </c>
      <c r="Q510" t="inlineStr">
        <is>
          <t>eng</t>
        </is>
      </c>
      <c r="R510" t="inlineStr">
        <is>
          <t>nyu</t>
        </is>
      </c>
      <c r="T510" t="inlineStr">
        <is>
          <t xml:space="preserve">QV </t>
        </is>
      </c>
      <c r="U510" t="n">
        <v>3</v>
      </c>
      <c r="V510" t="n">
        <v>3</v>
      </c>
      <c r="W510" t="inlineStr">
        <is>
          <t>1995-03-21</t>
        </is>
      </c>
      <c r="X510" t="inlineStr">
        <is>
          <t>1995-03-21</t>
        </is>
      </c>
      <c r="Y510" t="inlineStr">
        <is>
          <t>1988-02-09</t>
        </is>
      </c>
      <c r="Z510" t="inlineStr">
        <is>
          <t>1988-02-09</t>
        </is>
      </c>
      <c r="AA510" t="n">
        <v>216</v>
      </c>
      <c r="AB510" t="n">
        <v>208</v>
      </c>
      <c r="AC510" t="n">
        <v>232</v>
      </c>
      <c r="AD510" t="n">
        <v>3</v>
      </c>
      <c r="AE510" t="n">
        <v>3</v>
      </c>
      <c r="AF510" t="n">
        <v>7</v>
      </c>
      <c r="AG510" t="n">
        <v>7</v>
      </c>
      <c r="AH510" t="n">
        <v>1</v>
      </c>
      <c r="AI510" t="n">
        <v>1</v>
      </c>
      <c r="AJ510" t="n">
        <v>0</v>
      </c>
      <c r="AK510" t="n">
        <v>0</v>
      </c>
      <c r="AL510" t="n">
        <v>5</v>
      </c>
      <c r="AM510" t="n">
        <v>5</v>
      </c>
      <c r="AN510" t="n">
        <v>2</v>
      </c>
      <c r="AO510" t="n">
        <v>2</v>
      </c>
      <c r="AP510" t="n">
        <v>0</v>
      </c>
      <c r="AQ510" t="n">
        <v>0</v>
      </c>
      <c r="AR510" t="inlineStr">
        <is>
          <t>No</t>
        </is>
      </c>
      <c r="AS510" t="inlineStr">
        <is>
          <t>Yes</t>
        </is>
      </c>
      <c r="AT510">
        <f>HYPERLINK("http://catalog.hathitrust.org/Record/001622159","HathiTrust Record")</f>
        <v/>
      </c>
      <c r="AU510">
        <f>HYPERLINK("https://creighton-primo.hosted.exlibrisgroup.com/primo-explore/search?tab=default_tab&amp;search_scope=EVERYTHING&amp;vid=01CRU&amp;lang=en_US&amp;offset=0&amp;query=any,contains,991000963459702656","Catalog Record")</f>
        <v/>
      </c>
      <c r="AV510">
        <f>HYPERLINK("http://www.worldcat.org/oclc/14750447","WorldCat Record")</f>
        <v/>
      </c>
      <c r="AW510" t="inlineStr">
        <is>
          <t>15613613:eng</t>
        </is>
      </c>
      <c r="AX510" t="inlineStr">
        <is>
          <t>14750447</t>
        </is>
      </c>
      <c r="AY510" t="inlineStr">
        <is>
          <t>991000963459702656</t>
        </is>
      </c>
      <c r="AZ510" t="inlineStr">
        <is>
          <t>991000963459702656</t>
        </is>
      </c>
      <c r="BA510" t="inlineStr">
        <is>
          <t>2263965040002656</t>
        </is>
      </c>
      <c r="BB510" t="inlineStr">
        <is>
          <t>BOOK</t>
        </is>
      </c>
      <c r="BE510" t="inlineStr">
        <is>
          <t>30001000198806</t>
        </is>
      </c>
      <c r="BF510" t="inlineStr">
        <is>
          <t>893148760</t>
        </is>
      </c>
    </row>
    <row r="511">
      <c r="B511" t="inlineStr">
        <is>
          <t>CUHSL</t>
        </is>
      </c>
      <c r="C511" t="inlineStr">
        <is>
          <t>SHELVES</t>
        </is>
      </c>
      <c r="D511" t="inlineStr">
        <is>
          <t>QV 704 A641c 1975</t>
        </is>
      </c>
      <c r="E511" t="inlineStr">
        <is>
          <t>0                      QV 0704000A  641c        1975</t>
        </is>
      </c>
      <c r="F511" t="inlineStr">
        <is>
          <t>Clinical pharmacy handbook for patient counseling : one of the pharmacist's principal responsibilities / by Scott E. Apelgren, Brandt Rowles.</t>
        </is>
      </c>
      <c r="H511" t="inlineStr">
        <is>
          <t>No</t>
        </is>
      </c>
      <c r="I511" t="inlineStr">
        <is>
          <t>1</t>
        </is>
      </c>
      <c r="J511" t="inlineStr">
        <is>
          <t>No</t>
        </is>
      </c>
      <c r="K511" t="inlineStr">
        <is>
          <t>No</t>
        </is>
      </c>
      <c r="L511" t="inlineStr">
        <is>
          <t>0</t>
        </is>
      </c>
      <c r="M511" t="inlineStr">
        <is>
          <t>Apelgren, Scott E.</t>
        </is>
      </c>
      <c r="N511" t="inlineStr">
        <is>
          <t>Hamilton, Ill. : Drug Intelligence Publications, c1975.</t>
        </is>
      </c>
      <c r="O511" t="inlineStr">
        <is>
          <t>1975</t>
        </is>
      </c>
      <c r="P511" t="inlineStr">
        <is>
          <t>1st ed.</t>
        </is>
      </c>
      <c r="Q511" t="inlineStr">
        <is>
          <t>eng</t>
        </is>
      </c>
      <c r="R511" t="inlineStr">
        <is>
          <t>ilu</t>
        </is>
      </c>
      <c r="T511" t="inlineStr">
        <is>
          <t xml:space="preserve">QV </t>
        </is>
      </c>
      <c r="U511" t="n">
        <v>5</v>
      </c>
      <c r="V511" t="n">
        <v>5</v>
      </c>
      <c r="W511" t="inlineStr">
        <is>
          <t>2000-09-03</t>
        </is>
      </c>
      <c r="X511" t="inlineStr">
        <is>
          <t>2000-09-03</t>
        </is>
      </c>
      <c r="Y511" t="inlineStr">
        <is>
          <t>1988-03-03</t>
        </is>
      </c>
      <c r="Z511" t="inlineStr">
        <is>
          <t>1988-03-03</t>
        </is>
      </c>
      <c r="AA511" t="n">
        <v>58</v>
      </c>
      <c r="AB511" t="n">
        <v>44</v>
      </c>
      <c r="AC511" t="n">
        <v>46</v>
      </c>
      <c r="AD511" t="n">
        <v>1</v>
      </c>
      <c r="AE511" t="n">
        <v>1</v>
      </c>
      <c r="AF511" t="n">
        <v>2</v>
      </c>
      <c r="AG511" t="n">
        <v>2</v>
      </c>
      <c r="AH511" t="n">
        <v>1</v>
      </c>
      <c r="AI511" t="n">
        <v>1</v>
      </c>
      <c r="AJ511" t="n">
        <v>2</v>
      </c>
      <c r="AK511" t="n">
        <v>2</v>
      </c>
      <c r="AL511" t="n">
        <v>0</v>
      </c>
      <c r="AM511" t="n">
        <v>0</v>
      </c>
      <c r="AN511" t="n">
        <v>0</v>
      </c>
      <c r="AO511" t="n">
        <v>0</v>
      </c>
      <c r="AP511" t="n">
        <v>0</v>
      </c>
      <c r="AQ511" t="n">
        <v>0</v>
      </c>
      <c r="AR511" t="inlineStr">
        <is>
          <t>No</t>
        </is>
      </c>
      <c r="AS511" t="inlineStr">
        <is>
          <t>Yes</t>
        </is>
      </c>
      <c r="AT511">
        <f>HYPERLINK("http://catalog.hathitrust.org/Record/000703258","HathiTrust Record")</f>
        <v/>
      </c>
      <c r="AU511">
        <f>HYPERLINK("https://creighton-primo.hosted.exlibrisgroup.com/primo-explore/search?tab=default_tab&amp;search_scope=EVERYTHING&amp;vid=01CRU&amp;lang=en_US&amp;offset=0&amp;query=any,contains,991000963319702656","Catalog Record")</f>
        <v/>
      </c>
      <c r="AV511">
        <f>HYPERLINK("http://www.worldcat.org/oclc/1949951","WorldCat Record")</f>
        <v/>
      </c>
      <c r="AW511" t="inlineStr">
        <is>
          <t>197835665:eng</t>
        </is>
      </c>
      <c r="AX511" t="inlineStr">
        <is>
          <t>1949951</t>
        </is>
      </c>
      <c r="AY511" t="inlineStr">
        <is>
          <t>991000963319702656</t>
        </is>
      </c>
      <c r="AZ511" t="inlineStr">
        <is>
          <t>991000963319702656</t>
        </is>
      </c>
      <c r="BA511" t="inlineStr">
        <is>
          <t>2260858950002656</t>
        </is>
      </c>
      <c r="BB511" t="inlineStr">
        <is>
          <t>BOOK</t>
        </is>
      </c>
      <c r="BE511" t="inlineStr">
        <is>
          <t>30001000198756</t>
        </is>
      </c>
      <c r="BF511" t="inlineStr">
        <is>
          <t>893148759</t>
        </is>
      </c>
    </row>
    <row r="512">
      <c r="B512" t="inlineStr">
        <is>
          <t>CUHSL</t>
        </is>
      </c>
      <c r="C512" t="inlineStr">
        <is>
          <t>SHELVES</t>
        </is>
      </c>
      <c r="D512" t="inlineStr">
        <is>
          <t>QV 704 B649c 1972</t>
        </is>
      </c>
      <c r="E512" t="inlineStr">
        <is>
          <t>0                      QV 0704000B  649c        1972</t>
        </is>
      </c>
      <c r="F512" t="inlineStr">
        <is>
          <t>Clinical pharmacy practice / edited by Charles W. Blissitt, O. Lynn Webb, Walter F. Stanaszek.</t>
        </is>
      </c>
      <c r="H512" t="inlineStr">
        <is>
          <t>No</t>
        </is>
      </c>
      <c r="I512" t="inlineStr">
        <is>
          <t>1</t>
        </is>
      </c>
      <c r="J512" t="inlineStr">
        <is>
          <t>No</t>
        </is>
      </c>
      <c r="K512" t="inlineStr">
        <is>
          <t>No</t>
        </is>
      </c>
      <c r="L512" t="inlineStr">
        <is>
          <t>0</t>
        </is>
      </c>
      <c r="M512" t="inlineStr">
        <is>
          <t>Blissitt, Charles W.</t>
        </is>
      </c>
      <c r="N512" t="inlineStr">
        <is>
          <t>Philadelphia : Lea &amp; Febiger, 1972.</t>
        </is>
      </c>
      <c r="O512" t="inlineStr">
        <is>
          <t>1972</t>
        </is>
      </c>
      <c r="Q512" t="inlineStr">
        <is>
          <t>eng</t>
        </is>
      </c>
      <c r="R512" t="inlineStr">
        <is>
          <t>pau</t>
        </is>
      </c>
      <c r="T512" t="inlineStr">
        <is>
          <t xml:space="preserve">QV </t>
        </is>
      </c>
      <c r="U512" t="n">
        <v>3</v>
      </c>
      <c r="V512" t="n">
        <v>3</v>
      </c>
      <c r="W512" t="inlineStr">
        <is>
          <t>1996-03-21</t>
        </is>
      </c>
      <c r="X512" t="inlineStr">
        <is>
          <t>1996-03-21</t>
        </is>
      </c>
      <c r="Y512" t="inlineStr">
        <is>
          <t>1988-03-21</t>
        </is>
      </c>
      <c r="Z512" t="inlineStr">
        <is>
          <t>1988-03-21</t>
        </is>
      </c>
      <c r="AA512" t="n">
        <v>102</v>
      </c>
      <c r="AB512" t="n">
        <v>75</v>
      </c>
      <c r="AC512" t="n">
        <v>77</v>
      </c>
      <c r="AD512" t="n">
        <v>2</v>
      </c>
      <c r="AE512" t="n">
        <v>2</v>
      </c>
      <c r="AF512" t="n">
        <v>3</v>
      </c>
      <c r="AG512" t="n">
        <v>3</v>
      </c>
      <c r="AH512" t="n">
        <v>2</v>
      </c>
      <c r="AI512" t="n">
        <v>2</v>
      </c>
      <c r="AJ512" t="n">
        <v>0</v>
      </c>
      <c r="AK512" t="n">
        <v>0</v>
      </c>
      <c r="AL512" t="n">
        <v>0</v>
      </c>
      <c r="AM512" t="n">
        <v>0</v>
      </c>
      <c r="AN512" t="n">
        <v>1</v>
      </c>
      <c r="AO512" t="n">
        <v>1</v>
      </c>
      <c r="AP512" t="n">
        <v>0</v>
      </c>
      <c r="AQ512" t="n">
        <v>0</v>
      </c>
      <c r="AR512" t="inlineStr">
        <is>
          <t>No</t>
        </is>
      </c>
      <c r="AS512" t="inlineStr">
        <is>
          <t>Yes</t>
        </is>
      </c>
      <c r="AT512">
        <f>HYPERLINK("http://catalog.hathitrust.org/Record/001573776","HathiTrust Record")</f>
        <v/>
      </c>
      <c r="AU512">
        <f>HYPERLINK("https://creighton-primo.hosted.exlibrisgroup.com/primo-explore/search?tab=default_tab&amp;search_scope=EVERYTHING&amp;vid=01CRU&amp;lang=en_US&amp;offset=0&amp;query=any,contains,991000964089702656","Catalog Record")</f>
        <v/>
      </c>
      <c r="AV512">
        <f>HYPERLINK("http://www.worldcat.org/oclc/413012","WorldCat Record")</f>
        <v/>
      </c>
      <c r="AW512" t="inlineStr">
        <is>
          <t>1464612:eng</t>
        </is>
      </c>
      <c r="AX512" t="inlineStr">
        <is>
          <t>413012</t>
        </is>
      </c>
      <c r="AY512" t="inlineStr">
        <is>
          <t>991000964089702656</t>
        </is>
      </c>
      <c r="AZ512" t="inlineStr">
        <is>
          <t>991000964089702656</t>
        </is>
      </c>
      <c r="BA512" t="inlineStr">
        <is>
          <t>2268200130002656</t>
        </is>
      </c>
      <c r="BB512" t="inlineStr">
        <is>
          <t>BOOK</t>
        </is>
      </c>
      <c r="BE512" t="inlineStr">
        <is>
          <t>30001000199135</t>
        </is>
      </c>
      <c r="BF512" t="inlineStr">
        <is>
          <t>893368937</t>
        </is>
      </c>
    </row>
    <row r="513">
      <c r="B513" t="inlineStr">
        <is>
          <t>CUHSL</t>
        </is>
      </c>
      <c r="C513" t="inlineStr">
        <is>
          <t>SHELVES</t>
        </is>
      </c>
      <c r="D513" t="inlineStr">
        <is>
          <t>QV 704 C641 1984</t>
        </is>
      </c>
      <c r="E513" t="inlineStr">
        <is>
          <t>0                      QV 0704000C  641         1984</t>
        </is>
      </c>
      <c r="F513" t="inlineStr">
        <is>
          <t>Clinical pharmacology / edited by Ronald H. Girdwood</t>
        </is>
      </c>
      <c r="H513" t="inlineStr">
        <is>
          <t>No</t>
        </is>
      </c>
      <c r="I513" t="inlineStr">
        <is>
          <t>1</t>
        </is>
      </c>
      <c r="J513" t="inlineStr">
        <is>
          <t>No</t>
        </is>
      </c>
      <c r="K513" t="inlineStr">
        <is>
          <t>No</t>
        </is>
      </c>
      <c r="L513" t="inlineStr">
        <is>
          <t>0</t>
        </is>
      </c>
      <c r="N513" t="inlineStr">
        <is>
          <t>London : Baillière Tindall, c1984.</t>
        </is>
      </c>
      <c r="O513" t="inlineStr">
        <is>
          <t>1984</t>
        </is>
      </c>
      <c r="P513" t="inlineStr">
        <is>
          <t>25th ed.</t>
        </is>
      </c>
      <c r="Q513" t="inlineStr">
        <is>
          <t>eng</t>
        </is>
      </c>
      <c r="R513" t="inlineStr">
        <is>
          <t>enk</t>
        </is>
      </c>
      <c r="T513" t="inlineStr">
        <is>
          <t xml:space="preserve">QV </t>
        </is>
      </c>
      <c r="U513" t="n">
        <v>15</v>
      </c>
      <c r="V513" t="n">
        <v>15</v>
      </c>
      <c r="W513" t="inlineStr">
        <is>
          <t>1998-10-20</t>
        </is>
      </c>
      <c r="X513" t="inlineStr">
        <is>
          <t>1998-10-20</t>
        </is>
      </c>
      <c r="Y513" t="inlineStr">
        <is>
          <t>1988-02-09</t>
        </is>
      </c>
      <c r="Z513" t="inlineStr">
        <is>
          <t>1988-02-09</t>
        </is>
      </c>
      <c r="AA513" t="n">
        <v>118</v>
      </c>
      <c r="AB513" t="n">
        <v>56</v>
      </c>
      <c r="AC513" t="n">
        <v>86</v>
      </c>
      <c r="AD513" t="n">
        <v>1</v>
      </c>
      <c r="AE513" t="n">
        <v>2</v>
      </c>
      <c r="AF513" t="n">
        <v>0</v>
      </c>
      <c r="AG513" t="n">
        <v>2</v>
      </c>
      <c r="AH513" t="n">
        <v>0</v>
      </c>
      <c r="AI513" t="n">
        <v>0</v>
      </c>
      <c r="AJ513" t="n">
        <v>0</v>
      </c>
      <c r="AK513" t="n">
        <v>0</v>
      </c>
      <c r="AL513" t="n">
        <v>0</v>
      </c>
      <c r="AM513" t="n">
        <v>1</v>
      </c>
      <c r="AN513" t="n">
        <v>0</v>
      </c>
      <c r="AO513" t="n">
        <v>1</v>
      </c>
      <c r="AP513" t="n">
        <v>0</v>
      </c>
      <c r="AQ513" t="n">
        <v>0</v>
      </c>
      <c r="AR513" t="inlineStr">
        <is>
          <t>No</t>
        </is>
      </c>
      <c r="AS513" t="inlineStr">
        <is>
          <t>Yes</t>
        </is>
      </c>
      <c r="AT513">
        <f>HYPERLINK("http://catalog.hathitrust.org/Record/000652729","HathiTrust Record")</f>
        <v/>
      </c>
      <c r="AU513">
        <f>HYPERLINK("https://creighton-primo.hosted.exlibrisgroup.com/primo-explore/search?tab=default_tab&amp;search_scope=EVERYTHING&amp;vid=01CRU&amp;lang=en_US&amp;offset=0&amp;query=any,contains,991000963879702656","Catalog Record")</f>
        <v/>
      </c>
      <c r="AV513">
        <f>HYPERLINK("http://www.worldcat.org/oclc/11497453","WorldCat Record")</f>
        <v/>
      </c>
      <c r="AW513" t="inlineStr">
        <is>
          <t>4335268:eng</t>
        </is>
      </c>
      <c r="AX513" t="inlineStr">
        <is>
          <t>11497453</t>
        </is>
      </c>
      <c r="AY513" t="inlineStr">
        <is>
          <t>991000963879702656</t>
        </is>
      </c>
      <c r="AZ513" t="inlineStr">
        <is>
          <t>991000963879702656</t>
        </is>
      </c>
      <c r="BA513" t="inlineStr">
        <is>
          <t>2265038130002656</t>
        </is>
      </c>
      <c r="BB513" t="inlineStr">
        <is>
          <t>BOOK</t>
        </is>
      </c>
      <c r="BD513" t="inlineStr">
        <is>
          <t>9780702009747</t>
        </is>
      </c>
      <c r="BE513" t="inlineStr">
        <is>
          <t>30001000199069</t>
        </is>
      </c>
      <c r="BF513" t="inlineStr">
        <is>
          <t>893284184</t>
        </is>
      </c>
    </row>
    <row r="514">
      <c r="B514" t="inlineStr">
        <is>
          <t>CUHSL</t>
        </is>
      </c>
      <c r="C514" t="inlineStr">
        <is>
          <t>SHELVES</t>
        </is>
      </c>
      <c r="D514" t="inlineStr">
        <is>
          <t>QV 704 I59 1981t</t>
        </is>
      </c>
      <c r="E514" t="inlineStr">
        <is>
          <t>0                      QV 0704000I  59          1981t</t>
        </is>
      </c>
      <c r="F514" t="inlineStr">
        <is>
          <t>Topics in pharmaceutical sciences : proceedings of the 41st International Congress of Pharmaceutical Sciences of F.I.P., held in Vienna, Austria, September 7-11, 1981 / editors, D.D. Breimer, P. Speiser.</t>
        </is>
      </c>
      <c r="H514" t="inlineStr">
        <is>
          <t>No</t>
        </is>
      </c>
      <c r="I514" t="inlineStr">
        <is>
          <t>1</t>
        </is>
      </c>
      <c r="J514" t="inlineStr">
        <is>
          <t>No</t>
        </is>
      </c>
      <c r="K514" t="inlineStr">
        <is>
          <t>No</t>
        </is>
      </c>
      <c r="L514" t="inlineStr">
        <is>
          <t>0</t>
        </is>
      </c>
      <c r="M514" t="inlineStr">
        <is>
          <t>International Congress of Pharmaceutical Sciences (41st : 1981 : Vienna, Austria)</t>
        </is>
      </c>
      <c r="N514" t="inlineStr">
        <is>
          <t>Amsterdam ; New York : Elsevier/North-Holland Biomedical Press, 1981.</t>
        </is>
      </c>
      <c r="O514" t="inlineStr">
        <is>
          <t>1981</t>
        </is>
      </c>
      <c r="Q514" t="inlineStr">
        <is>
          <t>eng</t>
        </is>
      </c>
      <c r="R514" t="inlineStr">
        <is>
          <t xml:space="preserve">ne </t>
        </is>
      </c>
      <c r="T514" t="inlineStr">
        <is>
          <t xml:space="preserve">QV </t>
        </is>
      </c>
      <c r="U514" t="n">
        <v>3</v>
      </c>
      <c r="V514" t="n">
        <v>3</v>
      </c>
      <c r="W514" t="inlineStr">
        <is>
          <t>1996-03-21</t>
        </is>
      </c>
      <c r="X514" t="inlineStr">
        <is>
          <t>1996-03-21</t>
        </is>
      </c>
      <c r="Y514" t="inlineStr">
        <is>
          <t>1988-02-09</t>
        </is>
      </c>
      <c r="Z514" t="inlineStr">
        <is>
          <t>1988-02-09</t>
        </is>
      </c>
      <c r="AA514" t="n">
        <v>83</v>
      </c>
      <c r="AB514" t="n">
        <v>51</v>
      </c>
      <c r="AC514" t="n">
        <v>52</v>
      </c>
      <c r="AD514" t="n">
        <v>2</v>
      </c>
      <c r="AE514" t="n">
        <v>2</v>
      </c>
      <c r="AF514" t="n">
        <v>2</v>
      </c>
      <c r="AG514" t="n">
        <v>2</v>
      </c>
      <c r="AH514" t="n">
        <v>1</v>
      </c>
      <c r="AI514" t="n">
        <v>1</v>
      </c>
      <c r="AJ514" t="n">
        <v>0</v>
      </c>
      <c r="AK514" t="n">
        <v>0</v>
      </c>
      <c r="AL514" t="n">
        <v>0</v>
      </c>
      <c r="AM514" t="n">
        <v>0</v>
      </c>
      <c r="AN514" t="n">
        <v>1</v>
      </c>
      <c r="AO514" t="n">
        <v>1</v>
      </c>
      <c r="AP514" t="n">
        <v>0</v>
      </c>
      <c r="AQ514" t="n">
        <v>0</v>
      </c>
      <c r="AR514" t="inlineStr">
        <is>
          <t>No</t>
        </is>
      </c>
      <c r="AS514" t="inlineStr">
        <is>
          <t>Yes</t>
        </is>
      </c>
      <c r="AT514">
        <f>HYPERLINK("http://catalog.hathitrust.org/Record/009863485","HathiTrust Record")</f>
        <v/>
      </c>
      <c r="AU514">
        <f>HYPERLINK("https://creighton-primo.hosted.exlibrisgroup.com/primo-explore/search?tab=default_tab&amp;search_scope=EVERYTHING&amp;vid=01CRU&amp;lang=en_US&amp;offset=0&amp;query=any,contains,991000963839702656","Catalog Record")</f>
        <v/>
      </c>
      <c r="AV514">
        <f>HYPERLINK("http://www.worldcat.org/oclc/8032101","WorldCat Record")</f>
        <v/>
      </c>
      <c r="AW514" t="inlineStr">
        <is>
          <t>935744662:eng</t>
        </is>
      </c>
      <c r="AX514" t="inlineStr">
        <is>
          <t>8032101</t>
        </is>
      </c>
      <c r="AY514" t="inlineStr">
        <is>
          <t>991000963839702656</t>
        </is>
      </c>
      <c r="AZ514" t="inlineStr">
        <is>
          <t>991000963839702656</t>
        </is>
      </c>
      <c r="BA514" t="inlineStr">
        <is>
          <t>2268987460002656</t>
        </is>
      </c>
      <c r="BB514" t="inlineStr">
        <is>
          <t>BOOK</t>
        </is>
      </c>
      <c r="BD514" t="inlineStr">
        <is>
          <t>9780444804037</t>
        </is>
      </c>
      <c r="BE514" t="inlineStr">
        <is>
          <t>30001000199051</t>
        </is>
      </c>
      <c r="BF514" t="inlineStr">
        <is>
          <t>893557437</t>
        </is>
      </c>
    </row>
    <row r="515">
      <c r="B515" t="inlineStr">
        <is>
          <t>CUHSL</t>
        </is>
      </c>
      <c r="C515" t="inlineStr">
        <is>
          <t>SHELVES</t>
        </is>
      </c>
      <c r="D515" t="inlineStr">
        <is>
          <t>QV 704 J52c 1966</t>
        </is>
      </c>
      <c r="E515" t="inlineStr">
        <is>
          <t>0                      QV 0704000J  52c         1966</t>
        </is>
      </c>
      <c r="F515" t="inlineStr">
        <is>
          <t>Clinical pharmacy : a text for dispensing pharmacy / Glenn L. Jenkins, Glen J. Sperandio, Clifton J. Latiolais.</t>
        </is>
      </c>
      <c r="H515" t="inlineStr">
        <is>
          <t>No</t>
        </is>
      </c>
      <c r="I515" t="inlineStr">
        <is>
          <t>1</t>
        </is>
      </c>
      <c r="J515" t="inlineStr">
        <is>
          <t>No</t>
        </is>
      </c>
      <c r="K515" t="inlineStr">
        <is>
          <t>No</t>
        </is>
      </c>
      <c r="L515" t="inlineStr">
        <is>
          <t>0</t>
        </is>
      </c>
      <c r="M515" t="inlineStr">
        <is>
          <t>Jenkins, Glenn L. (Glenn Llewellyn), 1898-1979.</t>
        </is>
      </c>
      <c r="N515" t="inlineStr">
        <is>
          <t>New York : McGraw-Hill, 1966.</t>
        </is>
      </c>
      <c r="O515" t="inlineStr">
        <is>
          <t>1966</t>
        </is>
      </c>
      <c r="Q515" t="inlineStr">
        <is>
          <t>eng</t>
        </is>
      </c>
      <c r="R515" t="inlineStr">
        <is>
          <t xml:space="preserve">xx </t>
        </is>
      </c>
      <c r="T515" t="inlineStr">
        <is>
          <t xml:space="preserve">QV </t>
        </is>
      </c>
      <c r="U515" t="n">
        <v>8</v>
      </c>
      <c r="V515" t="n">
        <v>8</v>
      </c>
      <c r="W515" t="inlineStr">
        <is>
          <t>1991-11-14</t>
        </is>
      </c>
      <c r="X515" t="inlineStr">
        <is>
          <t>1991-11-14</t>
        </is>
      </c>
      <c r="Y515" t="inlineStr">
        <is>
          <t>1988-03-21</t>
        </is>
      </c>
      <c r="Z515" t="inlineStr">
        <is>
          <t>1988-03-21</t>
        </is>
      </c>
      <c r="AA515" t="n">
        <v>72</v>
      </c>
      <c r="AB515" t="n">
        <v>42</v>
      </c>
      <c r="AC515" t="n">
        <v>56</v>
      </c>
      <c r="AD515" t="n">
        <v>2</v>
      </c>
      <c r="AE515" t="n">
        <v>2</v>
      </c>
      <c r="AF515" t="n">
        <v>4</v>
      </c>
      <c r="AG515" t="n">
        <v>4</v>
      </c>
      <c r="AH515" t="n">
        <v>2</v>
      </c>
      <c r="AI515" t="n">
        <v>2</v>
      </c>
      <c r="AJ515" t="n">
        <v>1</v>
      </c>
      <c r="AK515" t="n">
        <v>1</v>
      </c>
      <c r="AL515" t="n">
        <v>0</v>
      </c>
      <c r="AM515" t="n">
        <v>0</v>
      </c>
      <c r="AN515" t="n">
        <v>1</v>
      </c>
      <c r="AO515" t="n">
        <v>1</v>
      </c>
      <c r="AP515" t="n">
        <v>0</v>
      </c>
      <c r="AQ515" t="n">
        <v>0</v>
      </c>
      <c r="AR515" t="inlineStr">
        <is>
          <t>No</t>
        </is>
      </c>
      <c r="AS515" t="inlineStr">
        <is>
          <t>Yes</t>
        </is>
      </c>
      <c r="AT515">
        <f>HYPERLINK("http://catalog.hathitrust.org/Record/001573624","HathiTrust Record")</f>
        <v/>
      </c>
      <c r="AU515">
        <f>HYPERLINK("https://creighton-primo.hosted.exlibrisgroup.com/primo-explore/search?tab=default_tab&amp;search_scope=EVERYTHING&amp;vid=01CRU&amp;lang=en_US&amp;offset=0&amp;query=any,contains,991000963799702656","Catalog Record")</f>
        <v/>
      </c>
      <c r="AV515">
        <f>HYPERLINK("http://www.worldcat.org/oclc/756773","WorldCat Record")</f>
        <v/>
      </c>
      <c r="AW515" t="inlineStr">
        <is>
          <t>1620011:eng</t>
        </is>
      </c>
      <c r="AX515" t="inlineStr">
        <is>
          <t>756773</t>
        </is>
      </c>
      <c r="AY515" t="inlineStr">
        <is>
          <t>991000963799702656</t>
        </is>
      </c>
      <c r="AZ515" t="inlineStr">
        <is>
          <t>991000963799702656</t>
        </is>
      </c>
      <c r="BA515" t="inlineStr">
        <is>
          <t>2271368570002656</t>
        </is>
      </c>
      <c r="BB515" t="inlineStr">
        <is>
          <t>BOOK</t>
        </is>
      </c>
      <c r="BE515" t="inlineStr">
        <is>
          <t>30001000199010</t>
        </is>
      </c>
      <c r="BF515" t="inlineStr">
        <is>
          <t>893460171</t>
        </is>
      </c>
    </row>
    <row r="516">
      <c r="B516" t="inlineStr">
        <is>
          <t>CUHSL</t>
        </is>
      </c>
      <c r="C516" t="inlineStr">
        <is>
          <t>SHELVES</t>
        </is>
      </c>
      <c r="D516" t="inlineStr">
        <is>
          <t>QV 704 L985p 1949</t>
        </is>
      </c>
      <c r="E516" t="inlineStr">
        <is>
          <t>0                      QV 0704000L  985p        1949</t>
        </is>
      </c>
      <c r="F516" t="inlineStr">
        <is>
          <t>Textbook of pharmaceutical compounding and dispensing / edited by Rufus A. Lyman and Joseph B. Sprowls.</t>
        </is>
      </c>
      <c r="H516" t="inlineStr">
        <is>
          <t>No</t>
        </is>
      </c>
      <c r="I516" t="inlineStr">
        <is>
          <t>1</t>
        </is>
      </c>
      <c r="J516" t="inlineStr">
        <is>
          <t>No</t>
        </is>
      </c>
      <c r="K516" t="inlineStr">
        <is>
          <t>No</t>
        </is>
      </c>
      <c r="L516" t="inlineStr">
        <is>
          <t>0</t>
        </is>
      </c>
      <c r="M516" t="inlineStr">
        <is>
          <t>Lyman, Rufus Ashley, 1875-1957.</t>
        </is>
      </c>
      <c r="N516" t="inlineStr">
        <is>
          <t>Philadelphia : Lippincott, c1955.</t>
        </is>
      </c>
      <c r="O516" t="inlineStr">
        <is>
          <t>1955</t>
        </is>
      </c>
      <c r="P516" t="inlineStr">
        <is>
          <t>2d ed.</t>
        </is>
      </c>
      <c r="Q516" t="inlineStr">
        <is>
          <t>eng</t>
        </is>
      </c>
      <c r="R516" t="inlineStr">
        <is>
          <t>pau</t>
        </is>
      </c>
      <c r="T516" t="inlineStr">
        <is>
          <t xml:space="preserve">QV </t>
        </is>
      </c>
      <c r="U516" t="n">
        <v>13</v>
      </c>
      <c r="V516" t="n">
        <v>13</v>
      </c>
      <c r="W516" t="inlineStr">
        <is>
          <t>2000-12-06</t>
        </is>
      </c>
      <c r="X516" t="inlineStr">
        <is>
          <t>2000-12-06</t>
        </is>
      </c>
      <c r="Y516" t="inlineStr">
        <is>
          <t>1989-03-23</t>
        </is>
      </c>
      <c r="Z516" t="inlineStr">
        <is>
          <t>1989-03-23</t>
        </is>
      </c>
      <c r="AA516" t="n">
        <v>70</v>
      </c>
      <c r="AB516" t="n">
        <v>46</v>
      </c>
      <c r="AC516" t="n">
        <v>48</v>
      </c>
      <c r="AD516" t="n">
        <v>1</v>
      </c>
      <c r="AE516" t="n">
        <v>1</v>
      </c>
      <c r="AF516" t="n">
        <v>3</v>
      </c>
      <c r="AG516" t="n">
        <v>3</v>
      </c>
      <c r="AH516" t="n">
        <v>2</v>
      </c>
      <c r="AI516" t="n">
        <v>2</v>
      </c>
      <c r="AJ516" t="n">
        <v>2</v>
      </c>
      <c r="AK516" t="n">
        <v>2</v>
      </c>
      <c r="AL516" t="n">
        <v>0</v>
      </c>
      <c r="AM516" t="n">
        <v>0</v>
      </c>
      <c r="AN516" t="n">
        <v>0</v>
      </c>
      <c r="AO516" t="n">
        <v>0</v>
      </c>
      <c r="AP516" t="n">
        <v>0</v>
      </c>
      <c r="AQ516" t="n">
        <v>0</v>
      </c>
      <c r="AR516" t="inlineStr">
        <is>
          <t>No</t>
        </is>
      </c>
      <c r="AS516" t="inlineStr">
        <is>
          <t>No</t>
        </is>
      </c>
      <c r="AT516">
        <f>HYPERLINK("http://catalog.hathitrust.org/Record/001573927","HathiTrust Record")</f>
        <v/>
      </c>
      <c r="AU516">
        <f>HYPERLINK("https://creighton-primo.hosted.exlibrisgroup.com/primo-explore/search?tab=default_tab&amp;search_scope=EVERYTHING&amp;vid=01CRU&amp;lang=en_US&amp;offset=0&amp;query=any,contains,991000963699702656","Catalog Record")</f>
        <v/>
      </c>
      <c r="AV516">
        <f>HYPERLINK("http://www.worldcat.org/oclc/2414081","WorldCat Record")</f>
        <v/>
      </c>
      <c r="AW516" t="inlineStr">
        <is>
          <t>432313538:eng</t>
        </is>
      </c>
      <c r="AX516" t="inlineStr">
        <is>
          <t>2414081</t>
        </is>
      </c>
      <c r="AY516" t="inlineStr">
        <is>
          <t>991000963699702656</t>
        </is>
      </c>
      <c r="AZ516" t="inlineStr">
        <is>
          <t>991000963699702656</t>
        </is>
      </c>
      <c r="BA516" t="inlineStr">
        <is>
          <t>2268412620002656</t>
        </is>
      </c>
      <c r="BB516" t="inlineStr">
        <is>
          <t>BOOK</t>
        </is>
      </c>
      <c r="BE516" t="inlineStr">
        <is>
          <t>30001000198970</t>
        </is>
      </c>
      <c r="BF516" t="inlineStr">
        <is>
          <t>893368936</t>
        </is>
      </c>
    </row>
    <row r="517">
      <c r="B517" t="inlineStr">
        <is>
          <t>CUHSL</t>
        </is>
      </c>
      <c r="C517" t="inlineStr">
        <is>
          <t>SHELVES</t>
        </is>
      </c>
      <c r="D517" t="inlineStr">
        <is>
          <t>QV 704 M293 1972</t>
        </is>
      </c>
      <c r="E517" t="inlineStr">
        <is>
          <t>0                      QV 0704000M  293         1972</t>
        </is>
      </c>
      <c r="F517" t="inlineStr">
        <is>
          <t>Manual for pharmacy technicians / Jane M. Durgin, Charles O. Ward, Zachary I. Hanan.</t>
        </is>
      </c>
      <c r="H517" t="inlineStr">
        <is>
          <t>No</t>
        </is>
      </c>
      <c r="I517" t="inlineStr">
        <is>
          <t>1</t>
        </is>
      </c>
      <c r="J517" t="inlineStr">
        <is>
          <t>No</t>
        </is>
      </c>
      <c r="K517" t="inlineStr">
        <is>
          <t>No</t>
        </is>
      </c>
      <c r="L517" t="inlineStr">
        <is>
          <t>0</t>
        </is>
      </c>
      <c r="N517" t="inlineStr">
        <is>
          <t>-- St. Louis : Mosby, 1972.</t>
        </is>
      </c>
      <c r="O517" t="inlineStr">
        <is>
          <t>1972</t>
        </is>
      </c>
      <c r="Q517" t="inlineStr">
        <is>
          <t>eng</t>
        </is>
      </c>
      <c r="R517" t="inlineStr">
        <is>
          <t>mou</t>
        </is>
      </c>
      <c r="T517" t="inlineStr">
        <is>
          <t xml:space="preserve">QV </t>
        </is>
      </c>
      <c r="U517" t="n">
        <v>10</v>
      </c>
      <c r="V517" t="n">
        <v>10</v>
      </c>
      <c r="W517" t="inlineStr">
        <is>
          <t>2001-09-26</t>
        </is>
      </c>
      <c r="X517" t="inlineStr">
        <is>
          <t>2001-09-26</t>
        </is>
      </c>
      <c r="Y517" t="inlineStr">
        <is>
          <t>1988-02-09</t>
        </is>
      </c>
      <c r="Z517" t="inlineStr">
        <is>
          <t>1988-02-09</t>
        </is>
      </c>
      <c r="AA517" t="n">
        <v>74</v>
      </c>
      <c r="AB517" t="n">
        <v>52</v>
      </c>
      <c r="AC517" t="n">
        <v>54</v>
      </c>
      <c r="AD517" t="n">
        <v>2</v>
      </c>
      <c r="AE517" t="n">
        <v>2</v>
      </c>
      <c r="AF517" t="n">
        <v>2</v>
      </c>
      <c r="AG517" t="n">
        <v>2</v>
      </c>
      <c r="AH517" t="n">
        <v>1</v>
      </c>
      <c r="AI517" t="n">
        <v>1</v>
      </c>
      <c r="AJ517" t="n">
        <v>0</v>
      </c>
      <c r="AK517" t="n">
        <v>0</v>
      </c>
      <c r="AL517" t="n">
        <v>0</v>
      </c>
      <c r="AM517" t="n">
        <v>0</v>
      </c>
      <c r="AN517" t="n">
        <v>1</v>
      </c>
      <c r="AO517" t="n">
        <v>1</v>
      </c>
      <c r="AP517" t="n">
        <v>0</v>
      </c>
      <c r="AQ517" t="n">
        <v>0</v>
      </c>
      <c r="AR517" t="inlineStr">
        <is>
          <t>No</t>
        </is>
      </c>
      <c r="AS517" t="inlineStr">
        <is>
          <t>Yes</t>
        </is>
      </c>
      <c r="AT517">
        <f>HYPERLINK("http://catalog.hathitrust.org/Record/001573646","HathiTrust Record")</f>
        <v/>
      </c>
      <c r="AU517">
        <f>HYPERLINK("https://creighton-primo.hosted.exlibrisgroup.com/primo-explore/search?tab=default_tab&amp;search_scope=EVERYTHING&amp;vid=01CRU&amp;lang=en_US&amp;offset=0&amp;query=any,contains,991000963649702656","Catalog Record")</f>
        <v/>
      </c>
      <c r="AV517">
        <f>HYPERLINK("http://www.worldcat.org/oclc/487738","WorldCat Record")</f>
        <v/>
      </c>
      <c r="AW517" t="inlineStr">
        <is>
          <t>3856973395:eng</t>
        </is>
      </c>
      <c r="AX517" t="inlineStr">
        <is>
          <t>487738</t>
        </is>
      </c>
      <c r="AY517" t="inlineStr">
        <is>
          <t>991000963649702656</t>
        </is>
      </c>
      <c r="AZ517" t="inlineStr">
        <is>
          <t>991000963649702656</t>
        </is>
      </c>
      <c r="BA517" t="inlineStr">
        <is>
          <t>2255121330002656</t>
        </is>
      </c>
      <c r="BB517" t="inlineStr">
        <is>
          <t>BOOK</t>
        </is>
      </c>
      <c r="BD517" t="inlineStr">
        <is>
          <t>9780801614781</t>
        </is>
      </c>
      <c r="BE517" t="inlineStr">
        <is>
          <t>30001000198962</t>
        </is>
      </c>
      <c r="BF517" t="inlineStr">
        <is>
          <t>893148761</t>
        </is>
      </c>
    </row>
    <row r="518">
      <c r="B518" t="inlineStr">
        <is>
          <t>CUHSL</t>
        </is>
      </c>
      <c r="C518" t="inlineStr">
        <is>
          <t>SHELVES</t>
        </is>
      </c>
      <c r="D518" t="inlineStr">
        <is>
          <t>QV 704 P468 1977</t>
        </is>
      </c>
      <c r="E518" t="inlineStr">
        <is>
          <t>0                      QV 0704000P  468         1977</t>
        </is>
      </c>
      <c r="F518" t="inlineStr">
        <is>
          <t>Perspectives on medicines in society / edited by Albert I. Wertheimer, Patricia J Bush.</t>
        </is>
      </c>
      <c r="H518" t="inlineStr">
        <is>
          <t>No</t>
        </is>
      </c>
      <c r="I518" t="inlineStr">
        <is>
          <t>1</t>
        </is>
      </c>
      <c r="J518" t="inlineStr">
        <is>
          <t>No</t>
        </is>
      </c>
      <c r="K518" t="inlineStr">
        <is>
          <t>No</t>
        </is>
      </c>
      <c r="L518" t="inlineStr">
        <is>
          <t>0</t>
        </is>
      </c>
      <c r="N518" t="inlineStr">
        <is>
          <t>-- Hamilton, Il. : Drug Intelligence Publications, c1977.</t>
        </is>
      </c>
      <c r="O518" t="inlineStr">
        <is>
          <t>1977</t>
        </is>
      </c>
      <c r="Q518" t="inlineStr">
        <is>
          <t>eng</t>
        </is>
      </c>
      <c r="R518" t="inlineStr">
        <is>
          <t>ilu</t>
        </is>
      </c>
      <c r="T518" t="inlineStr">
        <is>
          <t xml:space="preserve">QV </t>
        </is>
      </c>
      <c r="U518" t="n">
        <v>2</v>
      </c>
      <c r="V518" t="n">
        <v>2</v>
      </c>
      <c r="W518" t="inlineStr">
        <is>
          <t>2006-09-22</t>
        </is>
      </c>
      <c r="X518" t="inlineStr">
        <is>
          <t>2006-09-22</t>
        </is>
      </c>
      <c r="Y518" t="inlineStr">
        <is>
          <t>1988-02-09</t>
        </is>
      </c>
      <c r="Z518" t="inlineStr">
        <is>
          <t>1988-02-09</t>
        </is>
      </c>
      <c r="AA518" t="n">
        <v>127</v>
      </c>
      <c r="AB518" t="n">
        <v>110</v>
      </c>
      <c r="AC518" t="n">
        <v>112</v>
      </c>
      <c r="AD518" t="n">
        <v>1</v>
      </c>
      <c r="AE518" t="n">
        <v>1</v>
      </c>
      <c r="AF518" t="n">
        <v>5</v>
      </c>
      <c r="AG518" t="n">
        <v>5</v>
      </c>
      <c r="AH518" t="n">
        <v>2</v>
      </c>
      <c r="AI518" t="n">
        <v>2</v>
      </c>
      <c r="AJ518" t="n">
        <v>1</v>
      </c>
      <c r="AK518" t="n">
        <v>1</v>
      </c>
      <c r="AL518" t="n">
        <v>2</v>
      </c>
      <c r="AM518" t="n">
        <v>2</v>
      </c>
      <c r="AN518" t="n">
        <v>0</v>
      </c>
      <c r="AO518" t="n">
        <v>0</v>
      </c>
      <c r="AP518" t="n">
        <v>0</v>
      </c>
      <c r="AQ518" t="n">
        <v>0</v>
      </c>
      <c r="AR518" t="inlineStr">
        <is>
          <t>No</t>
        </is>
      </c>
      <c r="AS518" t="inlineStr">
        <is>
          <t>Yes</t>
        </is>
      </c>
      <c r="AT518">
        <f>HYPERLINK("http://catalog.hathitrust.org/Record/000762001","HathiTrust Record")</f>
        <v/>
      </c>
      <c r="AU518">
        <f>HYPERLINK("https://creighton-primo.hosted.exlibrisgroup.com/primo-explore/search?tab=default_tab&amp;search_scope=EVERYTHING&amp;vid=01CRU&amp;lang=en_US&amp;offset=0&amp;query=any,contains,991000964259702656","Catalog Record")</f>
        <v/>
      </c>
      <c r="AV518">
        <f>HYPERLINK("http://www.worldcat.org/oclc/3332106","WorldCat Record")</f>
        <v/>
      </c>
      <c r="AW518" t="inlineStr">
        <is>
          <t>9833753:eng</t>
        </is>
      </c>
      <c r="AX518" t="inlineStr">
        <is>
          <t>3332106</t>
        </is>
      </c>
      <c r="AY518" t="inlineStr">
        <is>
          <t>991000964259702656</t>
        </is>
      </c>
      <c r="AZ518" t="inlineStr">
        <is>
          <t>991000964259702656</t>
        </is>
      </c>
      <c r="BA518" t="inlineStr">
        <is>
          <t>2256556680002656</t>
        </is>
      </c>
      <c r="BB518" t="inlineStr">
        <is>
          <t>BOOK</t>
        </is>
      </c>
      <c r="BE518" t="inlineStr">
        <is>
          <t>30001000199218</t>
        </is>
      </c>
      <c r="BF518" t="inlineStr">
        <is>
          <t>893450653</t>
        </is>
      </c>
    </row>
    <row r="519">
      <c r="B519" t="inlineStr">
        <is>
          <t>CUHSL</t>
        </is>
      </c>
      <c r="C519" t="inlineStr">
        <is>
          <t>SHELVES</t>
        </is>
      </c>
      <c r="D519" t="inlineStr">
        <is>
          <t>QV 704 R362d 1972</t>
        </is>
      </c>
      <c r="E519" t="inlineStr">
        <is>
          <t>0                      QV 0704000R  362d        1972</t>
        </is>
      </c>
      <c r="F519" t="inlineStr">
        <is>
          <t>Drug information : literature review of needs, resources, and services / [Prepared] for Pharmacy-Related Programs Branch, National Center for Health Services Research and Development.</t>
        </is>
      </c>
      <c r="H519" t="inlineStr">
        <is>
          <t>No</t>
        </is>
      </c>
      <c r="I519" t="inlineStr">
        <is>
          <t>1</t>
        </is>
      </c>
      <c r="J519" t="inlineStr">
        <is>
          <t>No</t>
        </is>
      </c>
      <c r="K519" t="inlineStr">
        <is>
          <t>No</t>
        </is>
      </c>
      <c r="L519" t="inlineStr">
        <is>
          <t>0</t>
        </is>
      </c>
      <c r="M519" t="inlineStr">
        <is>
          <t>Reilly, Mary-Jo, 1964-</t>
        </is>
      </c>
      <c r="N519" t="inlineStr">
        <is>
          <t>-- Rockville, Md. : U.S. Health Services and Mental Health Administration, [1972]</t>
        </is>
      </c>
      <c r="O519" t="inlineStr">
        <is>
          <t>1972</t>
        </is>
      </c>
      <c r="Q519" t="inlineStr">
        <is>
          <t>eng</t>
        </is>
      </c>
      <c r="R519" t="inlineStr">
        <is>
          <t>mdu</t>
        </is>
      </c>
      <c r="S519" t="inlineStr">
        <is>
          <t>DHEW publication ; no. (HSM) 72-3013</t>
        </is>
      </c>
      <c r="T519" t="inlineStr">
        <is>
          <t xml:space="preserve">QV </t>
        </is>
      </c>
      <c r="U519" t="n">
        <v>2</v>
      </c>
      <c r="V519" t="n">
        <v>2</v>
      </c>
      <c r="W519" t="inlineStr">
        <is>
          <t>1996-12-18</t>
        </is>
      </c>
      <c r="X519" t="inlineStr">
        <is>
          <t>1996-12-18</t>
        </is>
      </c>
      <c r="Y519" t="inlineStr">
        <is>
          <t>1988-02-09</t>
        </is>
      </c>
      <c r="Z519" t="inlineStr">
        <is>
          <t>1988-02-09</t>
        </is>
      </c>
      <c r="AA519" t="n">
        <v>119</v>
      </c>
      <c r="AB519" t="n">
        <v>103</v>
      </c>
      <c r="AC519" t="n">
        <v>112</v>
      </c>
      <c r="AD519" t="n">
        <v>2</v>
      </c>
      <c r="AE519" t="n">
        <v>2</v>
      </c>
      <c r="AF519" t="n">
        <v>5</v>
      </c>
      <c r="AG519" t="n">
        <v>5</v>
      </c>
      <c r="AH519" t="n">
        <v>1</v>
      </c>
      <c r="AI519" t="n">
        <v>1</v>
      </c>
      <c r="AJ519" t="n">
        <v>0</v>
      </c>
      <c r="AK519" t="n">
        <v>0</v>
      </c>
      <c r="AL519" t="n">
        <v>2</v>
      </c>
      <c r="AM519" t="n">
        <v>2</v>
      </c>
      <c r="AN519" t="n">
        <v>1</v>
      </c>
      <c r="AO519" t="n">
        <v>1</v>
      </c>
      <c r="AP519" t="n">
        <v>1</v>
      </c>
      <c r="AQ519" t="n">
        <v>1</v>
      </c>
      <c r="AR519" t="inlineStr">
        <is>
          <t>Yes</t>
        </is>
      </c>
      <c r="AS519" t="inlineStr">
        <is>
          <t>No</t>
        </is>
      </c>
      <c r="AT519">
        <f>HYPERLINK("http://catalog.hathitrust.org/Record/001579292","HathiTrust Record")</f>
        <v/>
      </c>
      <c r="AU519">
        <f>HYPERLINK("https://creighton-primo.hosted.exlibrisgroup.com/primo-explore/search?tab=default_tab&amp;search_scope=EVERYTHING&amp;vid=01CRU&amp;lang=en_US&amp;offset=0&amp;query=any,contains,991000964129702656","Catalog Record")</f>
        <v/>
      </c>
      <c r="AV519">
        <f>HYPERLINK("http://www.worldcat.org/oclc/1499660","WorldCat Record")</f>
        <v/>
      </c>
      <c r="AW519" t="inlineStr">
        <is>
          <t>2434808:eng</t>
        </is>
      </c>
      <c r="AX519" t="inlineStr">
        <is>
          <t>1499660</t>
        </is>
      </c>
      <c r="AY519" t="inlineStr">
        <is>
          <t>991000964129702656</t>
        </is>
      </c>
      <c r="AZ519" t="inlineStr">
        <is>
          <t>991000964129702656</t>
        </is>
      </c>
      <c r="BA519" t="inlineStr">
        <is>
          <t>2270782670002656</t>
        </is>
      </c>
      <c r="BB519" t="inlineStr">
        <is>
          <t>BOOK</t>
        </is>
      </c>
      <c r="BE519" t="inlineStr">
        <is>
          <t>30001000199184</t>
        </is>
      </c>
      <c r="BF519" t="inlineStr">
        <is>
          <t>893540868</t>
        </is>
      </c>
    </row>
    <row r="520">
      <c r="B520" t="inlineStr">
        <is>
          <t>CUHSL</t>
        </is>
      </c>
      <c r="C520" t="inlineStr">
        <is>
          <t>SHELVES</t>
        </is>
      </c>
      <c r="D520" t="inlineStr">
        <is>
          <t>QV 704 R388p 1917</t>
        </is>
      </c>
      <c r="E520" t="inlineStr">
        <is>
          <t>0                      QV 0704000R  388p        1917</t>
        </is>
      </c>
      <c r="F520" t="inlineStr">
        <is>
          <t>The practice of pharmacy : a treatise on the modes of making and dispensing official, unofficial, and extemporaneous preparations, with descriptions of medicinal substances, their properties, uses, and doses, intended as a hand-book for pharmacists and physicians and a textbook for students.</t>
        </is>
      </c>
      <c r="H520" t="inlineStr">
        <is>
          <t>No</t>
        </is>
      </c>
      <c r="I520" t="inlineStr">
        <is>
          <t>1</t>
        </is>
      </c>
      <c r="J520" t="inlineStr">
        <is>
          <t>No</t>
        </is>
      </c>
      <c r="K520" t="inlineStr">
        <is>
          <t>No</t>
        </is>
      </c>
      <c r="L520" t="inlineStr">
        <is>
          <t>0</t>
        </is>
      </c>
      <c r="M520" t="inlineStr">
        <is>
          <t>Remington, Joseph P. (Joseph Price), 1847-1918.</t>
        </is>
      </c>
      <c r="N520" t="inlineStr">
        <is>
          <t>Philadelphia ; London : J.B. Lippincott Co., c1917.</t>
        </is>
      </c>
      <c r="O520" t="inlineStr">
        <is>
          <t>1917</t>
        </is>
      </c>
      <c r="P520" t="inlineStr">
        <is>
          <t>6th ed. By Joseph P. Remington ... assisted by E. Fullerton Cook ... with over eight hundred illustrations.</t>
        </is>
      </c>
      <c r="Q520" t="inlineStr">
        <is>
          <t>eng</t>
        </is>
      </c>
      <c r="R520" t="inlineStr">
        <is>
          <t xml:space="preserve">xx </t>
        </is>
      </c>
      <c r="T520" t="inlineStr">
        <is>
          <t xml:space="preserve">QV </t>
        </is>
      </c>
      <c r="U520" t="n">
        <v>2</v>
      </c>
      <c r="V520" t="n">
        <v>2</v>
      </c>
      <c r="W520" t="inlineStr">
        <is>
          <t>1988-11-16</t>
        </is>
      </c>
      <c r="X520" t="inlineStr">
        <is>
          <t>1988-11-16</t>
        </is>
      </c>
      <c r="Y520" t="inlineStr">
        <is>
          <t>1988-02-09</t>
        </is>
      </c>
      <c r="Z520" t="inlineStr">
        <is>
          <t>1988-02-09</t>
        </is>
      </c>
      <c r="AA520" t="n">
        <v>29</v>
      </c>
      <c r="AB520" t="n">
        <v>21</v>
      </c>
      <c r="AC520" t="n">
        <v>76</v>
      </c>
      <c r="AD520" t="n">
        <v>1</v>
      </c>
      <c r="AE520" t="n">
        <v>1</v>
      </c>
      <c r="AF520" t="n">
        <v>0</v>
      </c>
      <c r="AG520" t="n">
        <v>2</v>
      </c>
      <c r="AH520" t="n">
        <v>0</v>
      </c>
      <c r="AI520" t="n">
        <v>2</v>
      </c>
      <c r="AJ520" t="n">
        <v>0</v>
      </c>
      <c r="AK520" t="n">
        <v>1</v>
      </c>
      <c r="AL520" t="n">
        <v>0</v>
      </c>
      <c r="AM520" t="n">
        <v>0</v>
      </c>
      <c r="AN520" t="n">
        <v>0</v>
      </c>
      <c r="AO520" t="n">
        <v>0</v>
      </c>
      <c r="AP520" t="n">
        <v>0</v>
      </c>
      <c r="AQ520" t="n">
        <v>0</v>
      </c>
      <c r="AR520" t="inlineStr">
        <is>
          <t>Yes</t>
        </is>
      </c>
      <c r="AS520" t="inlineStr">
        <is>
          <t>No</t>
        </is>
      </c>
      <c r="AT520">
        <f>HYPERLINK("http://catalog.hathitrust.org/Record/008905594","HathiTrust Record")</f>
        <v/>
      </c>
      <c r="AU520">
        <f>HYPERLINK("https://creighton-primo.hosted.exlibrisgroup.com/primo-explore/search?tab=default_tab&amp;search_scope=EVERYTHING&amp;vid=01CRU&amp;lang=en_US&amp;offset=0&amp;query=any,contains,991000964219702656","Catalog Record")</f>
        <v/>
      </c>
      <c r="AV520">
        <f>HYPERLINK("http://www.worldcat.org/oclc/3740581","WorldCat Record")</f>
        <v/>
      </c>
      <c r="AW520" t="inlineStr">
        <is>
          <t>3855510946:eng</t>
        </is>
      </c>
      <c r="AX520" t="inlineStr">
        <is>
          <t>3740581</t>
        </is>
      </c>
      <c r="AY520" t="inlineStr">
        <is>
          <t>991000964219702656</t>
        </is>
      </c>
      <c r="AZ520" t="inlineStr">
        <is>
          <t>991000964219702656</t>
        </is>
      </c>
      <c r="BA520" t="inlineStr">
        <is>
          <t>2269835130002656</t>
        </is>
      </c>
      <c r="BB520" t="inlineStr">
        <is>
          <t>BOOK</t>
        </is>
      </c>
      <c r="BE520" t="inlineStr">
        <is>
          <t>30001000199192</t>
        </is>
      </c>
      <c r="BF520" t="inlineStr">
        <is>
          <t>893643083</t>
        </is>
      </c>
    </row>
    <row r="521">
      <c r="B521" t="inlineStr">
        <is>
          <t>CUHSL</t>
        </is>
      </c>
      <c r="C521" t="inlineStr">
        <is>
          <t>SHELVES</t>
        </is>
      </c>
      <c r="D521" t="inlineStr">
        <is>
          <t>QV 704 R388p 1985</t>
        </is>
      </c>
      <c r="E521" t="inlineStr">
        <is>
          <t>0                      QV 0704000R  388p        1985</t>
        </is>
      </c>
      <c r="F521" t="inlineStr">
        <is>
          <t>Remington's Pharmaceutical sciences / Alfonso R. Gennaro, editor and chairman of the editorial board.</t>
        </is>
      </c>
      <c r="H521" t="inlineStr">
        <is>
          <t>No</t>
        </is>
      </c>
      <c r="I521" t="inlineStr">
        <is>
          <t>1</t>
        </is>
      </c>
      <c r="J521" t="inlineStr">
        <is>
          <t>No</t>
        </is>
      </c>
      <c r="K521" t="inlineStr">
        <is>
          <t>Yes</t>
        </is>
      </c>
      <c r="L521" t="inlineStr">
        <is>
          <t>0</t>
        </is>
      </c>
      <c r="M521" t="inlineStr">
        <is>
          <t>Remington, Joseph P. (Joseph Price), 1847-1918.</t>
        </is>
      </c>
      <c r="N521" t="inlineStr">
        <is>
          <t>Easton, Pa. : Mack, c1985.</t>
        </is>
      </c>
      <c r="O521" t="inlineStr">
        <is>
          <t>1985</t>
        </is>
      </c>
      <c r="P521" t="inlineStr">
        <is>
          <t>17th ed.</t>
        </is>
      </c>
      <c r="Q521" t="inlineStr">
        <is>
          <t>eng</t>
        </is>
      </c>
      <c r="R521" t="inlineStr">
        <is>
          <t>pau</t>
        </is>
      </c>
      <c r="T521" t="inlineStr">
        <is>
          <t xml:space="preserve">QV </t>
        </is>
      </c>
      <c r="U521" t="n">
        <v>92</v>
      </c>
      <c r="V521" t="n">
        <v>92</v>
      </c>
      <c r="W521" t="inlineStr">
        <is>
          <t>2000-07-26</t>
        </is>
      </c>
      <c r="X521" t="inlineStr">
        <is>
          <t>2000-07-26</t>
        </is>
      </c>
      <c r="Y521" t="inlineStr">
        <is>
          <t>1987-09-28</t>
        </is>
      </c>
      <c r="Z521" t="inlineStr">
        <is>
          <t>1987-09-28</t>
        </is>
      </c>
      <c r="AA521" t="n">
        <v>149</v>
      </c>
      <c r="AB521" t="n">
        <v>105</v>
      </c>
      <c r="AC521" t="n">
        <v>211</v>
      </c>
      <c r="AD521" t="n">
        <v>3</v>
      </c>
      <c r="AE521" t="n">
        <v>3</v>
      </c>
      <c r="AF521" t="n">
        <v>1</v>
      </c>
      <c r="AG521" t="n">
        <v>4</v>
      </c>
      <c r="AH521" t="n">
        <v>1</v>
      </c>
      <c r="AI521" t="n">
        <v>3</v>
      </c>
      <c r="AJ521" t="n">
        <v>0</v>
      </c>
      <c r="AK521" t="n">
        <v>0</v>
      </c>
      <c r="AL521" t="n">
        <v>1</v>
      </c>
      <c r="AM521" t="n">
        <v>3</v>
      </c>
      <c r="AN521" t="n">
        <v>0</v>
      </c>
      <c r="AO521" t="n">
        <v>0</v>
      </c>
      <c r="AP521" t="n">
        <v>0</v>
      </c>
      <c r="AQ521" t="n">
        <v>0</v>
      </c>
      <c r="AR521" t="inlineStr">
        <is>
          <t>No</t>
        </is>
      </c>
      <c r="AS521" t="inlineStr">
        <is>
          <t>No</t>
        </is>
      </c>
      <c r="AU521">
        <f>HYPERLINK("https://creighton-primo.hosted.exlibrisgroup.com/primo-explore/search?tab=default_tab&amp;search_scope=EVERYTHING&amp;vid=01CRU&amp;lang=en_US&amp;offset=0&amp;query=any,contains,991000748089702656","Catalog Record")</f>
        <v/>
      </c>
      <c r="AV521">
        <f>HYPERLINK("http://www.worldcat.org/oclc/12015935","WorldCat Record")</f>
        <v/>
      </c>
      <c r="AW521" t="inlineStr">
        <is>
          <t>3855364578:eng</t>
        </is>
      </c>
      <c r="AX521" t="inlineStr">
        <is>
          <t>12015935</t>
        </is>
      </c>
      <c r="AY521" t="inlineStr">
        <is>
          <t>991000748089702656</t>
        </is>
      </c>
      <c r="AZ521" t="inlineStr">
        <is>
          <t>991000748089702656</t>
        </is>
      </c>
      <c r="BA521" t="inlineStr">
        <is>
          <t>2257005800002656</t>
        </is>
      </c>
      <c r="BB521" t="inlineStr">
        <is>
          <t>BOOK</t>
        </is>
      </c>
      <c r="BD521" t="inlineStr">
        <is>
          <t>9780912734033</t>
        </is>
      </c>
      <c r="BE521" t="inlineStr">
        <is>
          <t>30001000046542</t>
        </is>
      </c>
      <c r="BF521" t="inlineStr">
        <is>
          <t>893148214</t>
        </is>
      </c>
    </row>
    <row r="522">
      <c r="B522" t="inlineStr">
        <is>
          <t>CUHSL</t>
        </is>
      </c>
      <c r="C522" t="inlineStr">
        <is>
          <t>SHELVES</t>
        </is>
      </c>
      <c r="D522" t="inlineStr">
        <is>
          <t>QV 704 R388p 1990</t>
        </is>
      </c>
      <c r="E522" t="inlineStr">
        <is>
          <t>0                      QV 0704000R  388p        1990</t>
        </is>
      </c>
      <c r="F522" t="inlineStr">
        <is>
          <t>Remington's pharmaceutical sciences / Alfonso Rl Gennaro, editor and chairman of the editorial board.</t>
        </is>
      </c>
      <c r="H522" t="inlineStr">
        <is>
          <t>No</t>
        </is>
      </c>
      <c r="I522" t="inlineStr">
        <is>
          <t>1</t>
        </is>
      </c>
      <c r="J522" t="inlineStr">
        <is>
          <t>No</t>
        </is>
      </c>
      <c r="K522" t="inlineStr">
        <is>
          <t>Yes</t>
        </is>
      </c>
      <c r="L522" t="inlineStr">
        <is>
          <t>0</t>
        </is>
      </c>
      <c r="M522" t="inlineStr">
        <is>
          <t>Remington, Joseph P. (Joseph Price), 1847-1918.</t>
        </is>
      </c>
      <c r="N522" t="inlineStr">
        <is>
          <t>Easton, Pa. : Mack Publishing Co. c1990.</t>
        </is>
      </c>
      <c r="O522" t="inlineStr">
        <is>
          <t>1990</t>
        </is>
      </c>
      <c r="P522" t="inlineStr">
        <is>
          <t>18th ed.</t>
        </is>
      </c>
      <c r="Q522" t="inlineStr">
        <is>
          <t>eng</t>
        </is>
      </c>
      <c r="R522" t="inlineStr">
        <is>
          <t>pau</t>
        </is>
      </c>
      <c r="T522" t="inlineStr">
        <is>
          <t xml:space="preserve">QV </t>
        </is>
      </c>
      <c r="U522" t="n">
        <v>158</v>
      </c>
      <c r="V522" t="n">
        <v>158</v>
      </c>
      <c r="W522" t="inlineStr">
        <is>
          <t>2002-10-27</t>
        </is>
      </c>
      <c r="X522" t="inlineStr">
        <is>
          <t>2002-10-27</t>
        </is>
      </c>
      <c r="Y522" t="inlineStr">
        <is>
          <t>1990-08-07</t>
        </is>
      </c>
      <c r="Z522" t="inlineStr">
        <is>
          <t>1990-08-07</t>
        </is>
      </c>
      <c r="AA522" t="n">
        <v>143</v>
      </c>
      <c r="AB522" t="n">
        <v>90</v>
      </c>
      <c r="AC522" t="n">
        <v>211</v>
      </c>
      <c r="AD522" t="n">
        <v>1</v>
      </c>
      <c r="AE522" t="n">
        <v>3</v>
      </c>
      <c r="AF522" t="n">
        <v>0</v>
      </c>
      <c r="AG522" t="n">
        <v>4</v>
      </c>
      <c r="AH522" t="n">
        <v>0</v>
      </c>
      <c r="AI522" t="n">
        <v>3</v>
      </c>
      <c r="AJ522" t="n">
        <v>0</v>
      </c>
      <c r="AK522" t="n">
        <v>0</v>
      </c>
      <c r="AL522" t="n">
        <v>0</v>
      </c>
      <c r="AM522" t="n">
        <v>3</v>
      </c>
      <c r="AN522" t="n">
        <v>0</v>
      </c>
      <c r="AO522" t="n">
        <v>0</v>
      </c>
      <c r="AP522" t="n">
        <v>0</v>
      </c>
      <c r="AQ522" t="n">
        <v>0</v>
      </c>
      <c r="AR522" t="inlineStr">
        <is>
          <t>No</t>
        </is>
      </c>
      <c r="AS522" t="inlineStr">
        <is>
          <t>No</t>
        </is>
      </c>
      <c r="AU522">
        <f>HYPERLINK("https://creighton-primo.hosted.exlibrisgroup.com/primo-explore/search?tab=default_tab&amp;search_scope=EVERYTHING&amp;vid=01CRU&amp;lang=en_US&amp;offset=0&amp;query=any,contains,991000501259702656","Catalog Record")</f>
        <v/>
      </c>
      <c r="AV522">
        <f>HYPERLINK("http://www.worldcat.org/oclc/24381485","WorldCat Record")</f>
        <v/>
      </c>
      <c r="AW522" t="inlineStr">
        <is>
          <t>3855364578:eng</t>
        </is>
      </c>
      <c r="AX522" t="inlineStr">
        <is>
          <t>24381485</t>
        </is>
      </c>
      <c r="AY522" t="inlineStr">
        <is>
          <t>991000501259702656</t>
        </is>
      </c>
      <c r="AZ522" t="inlineStr">
        <is>
          <t>991000501259702656</t>
        </is>
      </c>
      <c r="BA522" t="inlineStr">
        <is>
          <t>2269242750002656</t>
        </is>
      </c>
      <c r="BB522" t="inlineStr">
        <is>
          <t>BOOK</t>
        </is>
      </c>
      <c r="BD522" t="inlineStr">
        <is>
          <t>9780912734040</t>
        </is>
      </c>
      <c r="BE522" t="inlineStr">
        <is>
          <t>30001001883455</t>
        </is>
      </c>
      <c r="BF522" t="inlineStr">
        <is>
          <t>893817611</t>
        </is>
      </c>
    </row>
    <row r="523">
      <c r="B523" t="inlineStr">
        <is>
          <t>CUHSL</t>
        </is>
      </c>
      <c r="C523" t="inlineStr">
        <is>
          <t>SHELVES</t>
        </is>
      </c>
      <c r="D523" t="inlineStr">
        <is>
          <t>QV 704 S771p 1963</t>
        </is>
      </c>
      <c r="E523" t="inlineStr">
        <is>
          <t>0                      QV 0704000S  771p        1963</t>
        </is>
      </c>
      <c r="F523" t="inlineStr">
        <is>
          <t>Prescription pharmacy : dosage formulation and pharmaceutical adjuncts.</t>
        </is>
      </c>
      <c r="H523" t="inlineStr">
        <is>
          <t>No</t>
        </is>
      </c>
      <c r="I523" t="inlineStr">
        <is>
          <t>1</t>
        </is>
      </c>
      <c r="J523" t="inlineStr">
        <is>
          <t>No</t>
        </is>
      </c>
      <c r="K523" t="inlineStr">
        <is>
          <t>No</t>
        </is>
      </c>
      <c r="L523" t="inlineStr">
        <is>
          <t>0</t>
        </is>
      </c>
      <c r="M523" t="inlineStr">
        <is>
          <t>Sprowls, Joseph Barnett, editor.</t>
        </is>
      </c>
      <c r="N523" t="inlineStr">
        <is>
          <t>Philadelphia : Lippincott, c1963.</t>
        </is>
      </c>
      <c r="O523" t="inlineStr">
        <is>
          <t>1963</t>
        </is>
      </c>
      <c r="Q523" t="inlineStr">
        <is>
          <t>eng</t>
        </is>
      </c>
      <c r="R523" t="inlineStr">
        <is>
          <t xml:space="preserve">xx </t>
        </is>
      </c>
      <c r="T523" t="inlineStr">
        <is>
          <t xml:space="preserve">QV </t>
        </is>
      </c>
      <c r="U523" t="n">
        <v>10</v>
      </c>
      <c r="V523" t="n">
        <v>10</v>
      </c>
      <c r="W523" t="inlineStr">
        <is>
          <t>1991-11-14</t>
        </is>
      </c>
      <c r="X523" t="inlineStr">
        <is>
          <t>1991-11-14</t>
        </is>
      </c>
      <c r="Y523" t="inlineStr">
        <is>
          <t>1988-03-21</t>
        </is>
      </c>
      <c r="Z523" t="inlineStr">
        <is>
          <t>1988-03-21</t>
        </is>
      </c>
      <c r="AA523" t="n">
        <v>82</v>
      </c>
      <c r="AB523" t="n">
        <v>48</v>
      </c>
      <c r="AC523" t="n">
        <v>95</v>
      </c>
      <c r="AD523" t="n">
        <v>2</v>
      </c>
      <c r="AE523" t="n">
        <v>2</v>
      </c>
      <c r="AF523" t="n">
        <v>3</v>
      </c>
      <c r="AG523" t="n">
        <v>5</v>
      </c>
      <c r="AH523" t="n">
        <v>1</v>
      </c>
      <c r="AI523" t="n">
        <v>3</v>
      </c>
      <c r="AJ523" t="n">
        <v>2</v>
      </c>
      <c r="AK523" t="n">
        <v>2</v>
      </c>
      <c r="AL523" t="n">
        <v>0</v>
      </c>
      <c r="AM523" t="n">
        <v>0</v>
      </c>
      <c r="AN523" t="n">
        <v>1</v>
      </c>
      <c r="AO523" t="n">
        <v>1</v>
      </c>
      <c r="AP523" t="n">
        <v>0</v>
      </c>
      <c r="AQ523" t="n">
        <v>0</v>
      </c>
      <c r="AR523" t="inlineStr">
        <is>
          <t>No</t>
        </is>
      </c>
      <c r="AS523" t="inlineStr">
        <is>
          <t>No</t>
        </is>
      </c>
      <c r="AT523">
        <f>HYPERLINK("http://catalog.hathitrust.org/Record/001573639","HathiTrust Record")</f>
        <v/>
      </c>
      <c r="AU523">
        <f>HYPERLINK("https://creighton-primo.hosted.exlibrisgroup.com/primo-explore/search?tab=default_tab&amp;search_scope=EVERYTHING&amp;vid=01CRU&amp;lang=en_US&amp;offset=0&amp;query=any,contains,991000964959702656","Catalog Record")</f>
        <v/>
      </c>
      <c r="AV523">
        <f>HYPERLINK("http://www.worldcat.org/oclc/1620783","WorldCat Record")</f>
        <v/>
      </c>
      <c r="AW523" t="inlineStr">
        <is>
          <t>324345579:eng</t>
        </is>
      </c>
      <c r="AX523" t="inlineStr">
        <is>
          <t>1620783</t>
        </is>
      </c>
      <c r="AY523" t="inlineStr">
        <is>
          <t>991000964959702656</t>
        </is>
      </c>
      <c r="AZ523" t="inlineStr">
        <is>
          <t>991000964959702656</t>
        </is>
      </c>
      <c r="BA523" t="inlineStr">
        <is>
          <t>2269935420002656</t>
        </is>
      </c>
      <c r="BB523" t="inlineStr">
        <is>
          <t>BOOK</t>
        </is>
      </c>
      <c r="BE523" t="inlineStr">
        <is>
          <t>30001000199507</t>
        </is>
      </c>
      <c r="BF523" t="inlineStr">
        <is>
          <t>893368938</t>
        </is>
      </c>
    </row>
    <row r="524">
      <c r="B524" t="inlineStr">
        <is>
          <t>CUHSL</t>
        </is>
      </c>
      <c r="C524" t="inlineStr">
        <is>
          <t>SHELVES</t>
        </is>
      </c>
      <c r="D524" t="inlineStr">
        <is>
          <t>QV 704 W499p 1974</t>
        </is>
      </c>
      <c r="E524" t="inlineStr">
        <is>
          <t>0                      QV 0704000W  499p        1974</t>
        </is>
      </c>
      <c r="F524" t="inlineStr">
        <is>
          <t>Pharmacy practice : social and behavioral aspects / edited, with introductions, by Albert I. Wertheimer and Mickey C. Smith.</t>
        </is>
      </c>
      <c r="H524" t="inlineStr">
        <is>
          <t>No</t>
        </is>
      </c>
      <c r="I524" t="inlineStr">
        <is>
          <t>1</t>
        </is>
      </c>
      <c r="J524" t="inlineStr">
        <is>
          <t>No</t>
        </is>
      </c>
      <c r="K524" t="inlineStr">
        <is>
          <t>No</t>
        </is>
      </c>
      <c r="L524" t="inlineStr">
        <is>
          <t>0</t>
        </is>
      </c>
      <c r="M524" t="inlineStr">
        <is>
          <t>Wertheimer, Albert I., compiler.</t>
        </is>
      </c>
      <c r="N524" t="inlineStr">
        <is>
          <t>Baltimore : University Park Press, 1974.</t>
        </is>
      </c>
      <c r="O524" t="inlineStr">
        <is>
          <t>1974</t>
        </is>
      </c>
      <c r="Q524" t="inlineStr">
        <is>
          <t>eng</t>
        </is>
      </c>
      <c r="R524" t="inlineStr">
        <is>
          <t>mdu</t>
        </is>
      </c>
      <c r="T524" t="inlineStr">
        <is>
          <t xml:space="preserve">QV </t>
        </is>
      </c>
      <c r="U524" t="n">
        <v>7</v>
      </c>
      <c r="V524" t="n">
        <v>7</v>
      </c>
      <c r="W524" t="inlineStr">
        <is>
          <t>2006-09-22</t>
        </is>
      </c>
      <c r="X524" t="inlineStr">
        <is>
          <t>2006-09-22</t>
        </is>
      </c>
      <c r="Y524" t="inlineStr">
        <is>
          <t>1988-03-22</t>
        </is>
      </c>
      <c r="Z524" t="inlineStr">
        <is>
          <t>1988-03-22</t>
        </is>
      </c>
      <c r="AA524" t="n">
        <v>132</v>
      </c>
      <c r="AB524" t="n">
        <v>102</v>
      </c>
      <c r="AC524" t="n">
        <v>151</v>
      </c>
      <c r="AD524" t="n">
        <v>1</v>
      </c>
      <c r="AE524" t="n">
        <v>1</v>
      </c>
      <c r="AF524" t="n">
        <v>3</v>
      </c>
      <c r="AG524" t="n">
        <v>5</v>
      </c>
      <c r="AH524" t="n">
        <v>2</v>
      </c>
      <c r="AI524" t="n">
        <v>4</v>
      </c>
      <c r="AJ524" t="n">
        <v>1</v>
      </c>
      <c r="AK524" t="n">
        <v>1</v>
      </c>
      <c r="AL524" t="n">
        <v>0</v>
      </c>
      <c r="AM524" t="n">
        <v>1</v>
      </c>
      <c r="AN524" t="n">
        <v>0</v>
      </c>
      <c r="AO524" t="n">
        <v>0</v>
      </c>
      <c r="AP524" t="n">
        <v>0</v>
      </c>
      <c r="AQ524" t="n">
        <v>0</v>
      </c>
      <c r="AR524" t="inlineStr">
        <is>
          <t>No</t>
        </is>
      </c>
      <c r="AS524" t="inlineStr">
        <is>
          <t>Yes</t>
        </is>
      </c>
      <c r="AT524">
        <f>HYPERLINK("http://catalog.hathitrust.org/Record/002075378","HathiTrust Record")</f>
        <v/>
      </c>
      <c r="AU524">
        <f>HYPERLINK("https://creighton-primo.hosted.exlibrisgroup.com/primo-explore/search?tab=default_tab&amp;search_scope=EVERYTHING&amp;vid=01CRU&amp;lang=en_US&amp;offset=0&amp;query=any,contains,991000964879702656","Catalog Record")</f>
        <v/>
      </c>
      <c r="AV524">
        <f>HYPERLINK("http://www.worldcat.org/oclc/1046087","WorldCat Record")</f>
        <v/>
      </c>
      <c r="AW524" t="inlineStr">
        <is>
          <t>836703314:eng</t>
        </is>
      </c>
      <c r="AX524" t="inlineStr">
        <is>
          <t>1046087</t>
        </is>
      </c>
      <c r="AY524" t="inlineStr">
        <is>
          <t>991000964879702656</t>
        </is>
      </c>
      <c r="AZ524" t="inlineStr">
        <is>
          <t>991000964879702656</t>
        </is>
      </c>
      <c r="BA524" t="inlineStr">
        <is>
          <t>2266857730002656</t>
        </is>
      </c>
      <c r="BB524" t="inlineStr">
        <is>
          <t>BOOK</t>
        </is>
      </c>
      <c r="BE524" t="inlineStr">
        <is>
          <t>30001000199473</t>
        </is>
      </c>
      <c r="BF524" t="inlineStr">
        <is>
          <t>893167976</t>
        </is>
      </c>
    </row>
    <row r="525">
      <c r="B525" t="inlineStr">
        <is>
          <t>CUHSL</t>
        </is>
      </c>
      <c r="C525" t="inlineStr">
        <is>
          <t>SHELVES</t>
        </is>
      </c>
      <c r="D525" t="inlineStr">
        <is>
          <t>QV 704.3 T367p 1979</t>
        </is>
      </c>
      <c r="E525" t="inlineStr">
        <is>
          <t>0                      QV 0704300T  367p        1979</t>
        </is>
      </c>
      <c r="F525" t="inlineStr">
        <is>
          <t>Pharmacy management for students and practitioners / C. Patrick Tharp, Pedro J. Lecca.</t>
        </is>
      </c>
      <c r="H525" t="inlineStr">
        <is>
          <t>No</t>
        </is>
      </c>
      <c r="I525" t="inlineStr">
        <is>
          <t>1</t>
        </is>
      </c>
      <c r="J525" t="inlineStr">
        <is>
          <t>No</t>
        </is>
      </c>
      <c r="K525" t="inlineStr">
        <is>
          <t>No</t>
        </is>
      </c>
      <c r="L525" t="inlineStr">
        <is>
          <t>0</t>
        </is>
      </c>
      <c r="M525" t="inlineStr">
        <is>
          <t>Tharp, C. Patrick (Charles Patrick), 1939-</t>
        </is>
      </c>
      <c r="N525" t="inlineStr">
        <is>
          <t>Saint Louis : Mosby, 1979.</t>
        </is>
      </c>
      <c r="O525" t="inlineStr">
        <is>
          <t>1979</t>
        </is>
      </c>
      <c r="P525" t="inlineStr">
        <is>
          <t>-- 2d ed. --</t>
        </is>
      </c>
      <c r="Q525" t="inlineStr">
        <is>
          <t>eng</t>
        </is>
      </c>
      <c r="R525" t="inlineStr">
        <is>
          <t>mou</t>
        </is>
      </c>
      <c r="T525" t="inlineStr">
        <is>
          <t xml:space="preserve">QV </t>
        </is>
      </c>
      <c r="U525" t="n">
        <v>6</v>
      </c>
      <c r="V525" t="n">
        <v>6</v>
      </c>
      <c r="W525" t="inlineStr">
        <is>
          <t>1990-11-29</t>
        </is>
      </c>
      <c r="X525" t="inlineStr">
        <is>
          <t>1990-11-29</t>
        </is>
      </c>
      <c r="Y525" t="inlineStr">
        <is>
          <t>1988-02-09</t>
        </is>
      </c>
      <c r="Z525" t="inlineStr">
        <is>
          <t>1988-02-09</t>
        </is>
      </c>
      <c r="AA525" t="n">
        <v>59</v>
      </c>
      <c r="AB525" t="n">
        <v>42</v>
      </c>
      <c r="AC525" t="n">
        <v>69</v>
      </c>
      <c r="AD525" t="n">
        <v>2</v>
      </c>
      <c r="AE525" t="n">
        <v>2</v>
      </c>
      <c r="AF525" t="n">
        <v>2</v>
      </c>
      <c r="AG525" t="n">
        <v>4</v>
      </c>
      <c r="AH525" t="n">
        <v>0</v>
      </c>
      <c r="AI525" t="n">
        <v>1</v>
      </c>
      <c r="AJ525" t="n">
        <v>1</v>
      </c>
      <c r="AK525" t="n">
        <v>2</v>
      </c>
      <c r="AL525" t="n">
        <v>0</v>
      </c>
      <c r="AM525" t="n">
        <v>0</v>
      </c>
      <c r="AN525" t="n">
        <v>1</v>
      </c>
      <c r="AO525" t="n">
        <v>1</v>
      </c>
      <c r="AP525" t="n">
        <v>0</v>
      </c>
      <c r="AQ525" t="n">
        <v>0</v>
      </c>
      <c r="AR525" t="inlineStr">
        <is>
          <t>No</t>
        </is>
      </c>
      <c r="AS525" t="inlineStr">
        <is>
          <t>Yes</t>
        </is>
      </c>
      <c r="AT525">
        <f>HYPERLINK("http://catalog.hathitrust.org/Record/000716431","HathiTrust Record")</f>
        <v/>
      </c>
      <c r="AU525">
        <f>HYPERLINK("https://creighton-primo.hosted.exlibrisgroup.com/primo-explore/search?tab=default_tab&amp;search_scope=EVERYTHING&amp;vid=01CRU&amp;lang=en_US&amp;offset=0&amp;query=any,contains,991000964919702656","Catalog Record")</f>
        <v/>
      </c>
      <c r="AV525">
        <f>HYPERLINK("http://www.worldcat.org/oclc/4775095","WorldCat Record")</f>
        <v/>
      </c>
      <c r="AW525" t="inlineStr">
        <is>
          <t>1783794:eng</t>
        </is>
      </c>
      <c r="AX525" t="inlineStr">
        <is>
          <t>4775095</t>
        </is>
      </c>
      <c r="AY525" t="inlineStr">
        <is>
          <t>991000964919702656</t>
        </is>
      </c>
      <c r="AZ525" t="inlineStr">
        <is>
          <t>991000964919702656</t>
        </is>
      </c>
      <c r="BA525" t="inlineStr">
        <is>
          <t>2255458650002656</t>
        </is>
      </c>
      <c r="BB525" t="inlineStr">
        <is>
          <t>BOOK</t>
        </is>
      </c>
      <c r="BD525" t="inlineStr">
        <is>
          <t>9780801648984</t>
        </is>
      </c>
      <c r="BE525" t="inlineStr">
        <is>
          <t>30001000199499</t>
        </is>
      </c>
      <c r="BF525" t="inlineStr">
        <is>
          <t>893134132</t>
        </is>
      </c>
    </row>
    <row r="526">
      <c r="B526" t="inlineStr">
        <is>
          <t>CUHSL</t>
        </is>
      </c>
      <c r="C526" t="inlineStr">
        <is>
          <t>SHELVES</t>
        </is>
      </c>
      <c r="D526" t="inlineStr">
        <is>
          <t>QV 709 P467 1984</t>
        </is>
      </c>
      <c r="E526" t="inlineStr">
        <is>
          <t>0                      QV 0709000P  467         1984</t>
        </is>
      </c>
      <c r="F526" t="inlineStr">
        <is>
          <t>Perspectives in pharmacy : a series of addresses given at the University of Minnesota, College of Pharmacy, 1983-1984 / edited by Albert I. Wertheimer and Noreen L. Suntrup.</t>
        </is>
      </c>
      <c r="H526" t="inlineStr">
        <is>
          <t>No</t>
        </is>
      </c>
      <c r="I526" t="inlineStr">
        <is>
          <t>1</t>
        </is>
      </c>
      <c r="J526" t="inlineStr">
        <is>
          <t>No</t>
        </is>
      </c>
      <c r="K526" t="inlineStr">
        <is>
          <t>No</t>
        </is>
      </c>
      <c r="L526" t="inlineStr">
        <is>
          <t>0</t>
        </is>
      </c>
      <c r="N526" t="inlineStr">
        <is>
          <t>Minneapolis, Minn. : College of Pharmacy, University of Minnesota, [1984?]</t>
        </is>
      </c>
      <c r="O526" t="inlineStr">
        <is>
          <t>1984</t>
        </is>
      </c>
      <c r="Q526" t="inlineStr">
        <is>
          <t>eng</t>
        </is>
      </c>
      <c r="R526" t="inlineStr">
        <is>
          <t>mnu</t>
        </is>
      </c>
      <c r="T526" t="inlineStr">
        <is>
          <t xml:space="preserve">QV </t>
        </is>
      </c>
      <c r="U526" t="n">
        <v>2</v>
      </c>
      <c r="V526" t="n">
        <v>2</v>
      </c>
      <c r="W526" t="inlineStr">
        <is>
          <t>1995-01-24</t>
        </is>
      </c>
      <c r="X526" t="inlineStr">
        <is>
          <t>1995-01-24</t>
        </is>
      </c>
      <c r="Y526" t="inlineStr">
        <is>
          <t>1988-02-09</t>
        </is>
      </c>
      <c r="Z526" t="inlineStr">
        <is>
          <t>1988-02-09</t>
        </is>
      </c>
      <c r="AA526" t="n">
        <v>6</v>
      </c>
      <c r="AB526" t="n">
        <v>6</v>
      </c>
      <c r="AC526" t="n">
        <v>6</v>
      </c>
      <c r="AD526" t="n">
        <v>1</v>
      </c>
      <c r="AE526" t="n">
        <v>1</v>
      </c>
      <c r="AF526" t="n">
        <v>0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0</v>
      </c>
      <c r="AM526" t="n">
        <v>0</v>
      </c>
      <c r="AN526" t="n">
        <v>0</v>
      </c>
      <c r="AO526" t="n">
        <v>0</v>
      </c>
      <c r="AP526" t="n">
        <v>0</v>
      </c>
      <c r="AQ526" t="n">
        <v>0</v>
      </c>
      <c r="AR526" t="inlineStr">
        <is>
          <t>No</t>
        </is>
      </c>
      <c r="AS526" t="inlineStr">
        <is>
          <t>No</t>
        </is>
      </c>
      <c r="AU526">
        <f>HYPERLINK("https://creighton-primo.hosted.exlibrisgroup.com/primo-explore/search?tab=default_tab&amp;search_scope=EVERYTHING&amp;vid=01CRU&amp;lang=en_US&amp;offset=0&amp;query=any,contains,991000964819702656","Catalog Record")</f>
        <v/>
      </c>
      <c r="AV526">
        <f>HYPERLINK("http://www.worldcat.org/oclc/11644085","WorldCat Record")</f>
        <v/>
      </c>
      <c r="AW526" t="inlineStr">
        <is>
          <t>8907097015:eng</t>
        </is>
      </c>
      <c r="AX526" t="inlineStr">
        <is>
          <t>11644085</t>
        </is>
      </c>
      <c r="AY526" t="inlineStr">
        <is>
          <t>991000964819702656</t>
        </is>
      </c>
      <c r="AZ526" t="inlineStr">
        <is>
          <t>991000964819702656</t>
        </is>
      </c>
      <c r="BA526" t="inlineStr">
        <is>
          <t>2256743660002656</t>
        </is>
      </c>
      <c r="BB526" t="inlineStr">
        <is>
          <t>BOOK</t>
        </is>
      </c>
      <c r="BE526" t="inlineStr">
        <is>
          <t>30001000199424</t>
        </is>
      </c>
      <c r="BF526" t="inlineStr">
        <is>
          <t>893450654</t>
        </is>
      </c>
    </row>
    <row r="527">
      <c r="B527" t="inlineStr">
        <is>
          <t>CUHSL</t>
        </is>
      </c>
      <c r="C527" t="inlineStr">
        <is>
          <t>SHELVES</t>
        </is>
      </c>
      <c r="D527" t="inlineStr">
        <is>
          <t>QV 711 AA1 A6s 1995</t>
        </is>
      </c>
      <c r="E527" t="inlineStr">
        <is>
          <t>0                      QV 0711000AA 1                  A  6s          1995</t>
        </is>
      </c>
      <c r="F527" t="inlineStr">
        <is>
          <t>The spirit of voluntarism : a legacy of commitment and contribution : the United States pharmacopeia 1820-1995 / by Lee Anderson and Gregory J. Higby.</t>
        </is>
      </c>
      <c r="H527" t="inlineStr">
        <is>
          <t>No</t>
        </is>
      </c>
      <c r="I527" t="inlineStr">
        <is>
          <t>1</t>
        </is>
      </c>
      <c r="J527" t="inlineStr">
        <is>
          <t>No</t>
        </is>
      </c>
      <c r="K527" t="inlineStr">
        <is>
          <t>No</t>
        </is>
      </c>
      <c r="L527" t="inlineStr">
        <is>
          <t>0</t>
        </is>
      </c>
      <c r="M527" t="inlineStr">
        <is>
          <t>Anderson, Lee.</t>
        </is>
      </c>
      <c r="N527" t="inlineStr">
        <is>
          <t>Rockville, Md. : United States Pharmacopeial Convention, c1995.</t>
        </is>
      </c>
      <c r="O527" t="inlineStr">
        <is>
          <t>1995</t>
        </is>
      </c>
      <c r="Q527" t="inlineStr">
        <is>
          <t>eng</t>
        </is>
      </c>
      <c r="R527" t="inlineStr">
        <is>
          <t>xxu</t>
        </is>
      </c>
      <c r="T527" t="inlineStr">
        <is>
          <t xml:space="preserve">QV </t>
        </is>
      </c>
      <c r="U527" t="n">
        <v>1</v>
      </c>
      <c r="V527" t="n">
        <v>1</v>
      </c>
      <c r="W527" t="inlineStr">
        <is>
          <t>1996-06-07</t>
        </is>
      </c>
      <c r="X527" t="inlineStr">
        <is>
          <t>1996-06-07</t>
        </is>
      </c>
      <c r="Y527" t="inlineStr">
        <is>
          <t>1996-03-20</t>
        </is>
      </c>
      <c r="Z527" t="inlineStr">
        <is>
          <t>1996-03-20</t>
        </is>
      </c>
      <c r="AA527" t="n">
        <v>65</v>
      </c>
      <c r="AB527" t="n">
        <v>58</v>
      </c>
      <c r="AC527" t="n">
        <v>60</v>
      </c>
      <c r="AD527" t="n">
        <v>1</v>
      </c>
      <c r="AE527" t="n">
        <v>1</v>
      </c>
      <c r="AF527" t="n">
        <v>2</v>
      </c>
      <c r="AG527" t="n">
        <v>2</v>
      </c>
      <c r="AH527" t="n">
        <v>1</v>
      </c>
      <c r="AI527" t="n">
        <v>1</v>
      </c>
      <c r="AJ527" t="n">
        <v>0</v>
      </c>
      <c r="AK527" t="n">
        <v>0</v>
      </c>
      <c r="AL527" t="n">
        <v>2</v>
      </c>
      <c r="AM527" t="n">
        <v>2</v>
      </c>
      <c r="AN527" t="n">
        <v>0</v>
      </c>
      <c r="AO527" t="n">
        <v>0</v>
      </c>
      <c r="AP527" t="n">
        <v>0</v>
      </c>
      <c r="AQ527" t="n">
        <v>0</v>
      </c>
      <c r="AR527" t="inlineStr">
        <is>
          <t>No</t>
        </is>
      </c>
      <c r="AS527" t="inlineStr">
        <is>
          <t>Yes</t>
        </is>
      </c>
      <c r="AT527">
        <f>HYPERLINK("http://catalog.hathitrust.org/Record/003097626","HathiTrust Record")</f>
        <v/>
      </c>
      <c r="AU527">
        <f>HYPERLINK("https://creighton-primo.hosted.exlibrisgroup.com/primo-explore/search?tab=default_tab&amp;search_scope=EVERYTHING&amp;vid=01CRU&amp;lang=en_US&amp;offset=0&amp;query=any,contains,991001505299702656","Catalog Record")</f>
        <v/>
      </c>
      <c r="AV527">
        <f>HYPERLINK("http://www.worldcat.org/oclc/32281553","WorldCat Record")</f>
        <v/>
      </c>
      <c r="AW527" t="inlineStr">
        <is>
          <t>201970594:eng</t>
        </is>
      </c>
      <c r="AX527" t="inlineStr">
        <is>
          <t>32281553</t>
        </is>
      </c>
      <c r="AY527" t="inlineStr">
        <is>
          <t>991001505299702656</t>
        </is>
      </c>
      <c r="AZ527" t="inlineStr">
        <is>
          <t>991001505299702656</t>
        </is>
      </c>
      <c r="BA527" t="inlineStr">
        <is>
          <t>2265220690002656</t>
        </is>
      </c>
      <c r="BB527" t="inlineStr">
        <is>
          <t>BOOK</t>
        </is>
      </c>
      <c r="BD527" t="inlineStr">
        <is>
          <t>9780913595886</t>
        </is>
      </c>
      <c r="BE527" t="inlineStr">
        <is>
          <t>30001003264118</t>
        </is>
      </c>
      <c r="BF527" t="inlineStr">
        <is>
          <t>893652051</t>
        </is>
      </c>
    </row>
    <row r="528">
      <c r="B528" t="inlineStr">
        <is>
          <t>CUHSL</t>
        </is>
      </c>
      <c r="C528" t="inlineStr">
        <is>
          <t>SHELVES</t>
        </is>
      </c>
      <c r="D528" t="inlineStr">
        <is>
          <t>QV 711 AA1 C911p 1989</t>
        </is>
      </c>
      <c r="E528" t="inlineStr">
        <is>
          <t>0                      QV 0711000AA 1                  C  911p        1989</t>
        </is>
      </c>
      <c r="F528" t="inlineStr">
        <is>
          <t>The Pharmaceutical Manufacturers Association : the first 30 years / by William C. Cray.</t>
        </is>
      </c>
      <c r="H528" t="inlineStr">
        <is>
          <t>No</t>
        </is>
      </c>
      <c r="I528" t="inlineStr">
        <is>
          <t>1</t>
        </is>
      </c>
      <c r="J528" t="inlineStr">
        <is>
          <t>No</t>
        </is>
      </c>
      <c r="K528" t="inlineStr">
        <is>
          <t>No</t>
        </is>
      </c>
      <c r="L528" t="inlineStr">
        <is>
          <t>0</t>
        </is>
      </c>
      <c r="M528" t="inlineStr">
        <is>
          <t>Cray, William C.</t>
        </is>
      </c>
      <c r="N528" t="inlineStr">
        <is>
          <t>Washington, D.C. : Pharmaceutical Manufacturers Association, [1989].</t>
        </is>
      </c>
      <c r="O528" t="inlineStr">
        <is>
          <t>1989</t>
        </is>
      </c>
      <c r="Q528" t="inlineStr">
        <is>
          <t>eng</t>
        </is>
      </c>
      <c r="R528" t="inlineStr">
        <is>
          <t>dcu</t>
        </is>
      </c>
      <c r="T528" t="inlineStr">
        <is>
          <t xml:space="preserve">QV </t>
        </is>
      </c>
      <c r="U528" t="n">
        <v>3</v>
      </c>
      <c r="V528" t="n">
        <v>3</v>
      </c>
      <c r="W528" t="inlineStr">
        <is>
          <t>1990-01-20</t>
        </is>
      </c>
      <c r="X528" t="inlineStr">
        <is>
          <t>1990-01-20</t>
        </is>
      </c>
      <c r="Y528" t="inlineStr">
        <is>
          <t>1990-01-20</t>
        </is>
      </c>
      <c r="Z528" t="inlineStr">
        <is>
          <t>1990-01-20</t>
        </is>
      </c>
      <c r="AA528" t="n">
        <v>35</v>
      </c>
      <c r="AB528" t="n">
        <v>35</v>
      </c>
      <c r="AC528" t="n">
        <v>37</v>
      </c>
      <c r="AD528" t="n">
        <v>1</v>
      </c>
      <c r="AE528" t="n">
        <v>1</v>
      </c>
      <c r="AF528" t="n">
        <v>2</v>
      </c>
      <c r="AG528" t="n">
        <v>2</v>
      </c>
      <c r="AH528" t="n">
        <v>0</v>
      </c>
      <c r="AI528" t="n">
        <v>0</v>
      </c>
      <c r="AJ528" t="n">
        <v>1</v>
      </c>
      <c r="AK528" t="n">
        <v>1</v>
      </c>
      <c r="AL528" t="n">
        <v>1</v>
      </c>
      <c r="AM528" t="n">
        <v>1</v>
      </c>
      <c r="AN528" t="n">
        <v>0</v>
      </c>
      <c r="AO528" t="n">
        <v>0</v>
      </c>
      <c r="AP528" t="n">
        <v>0</v>
      </c>
      <c r="AQ528" t="n">
        <v>0</v>
      </c>
      <c r="AR528" t="inlineStr">
        <is>
          <t>No</t>
        </is>
      </c>
      <c r="AS528" t="inlineStr">
        <is>
          <t>Yes</t>
        </is>
      </c>
      <c r="AT528">
        <f>HYPERLINK("http://catalog.hathitrust.org/Record/002720264","HathiTrust Record")</f>
        <v/>
      </c>
      <c r="AU528">
        <f>HYPERLINK("https://creighton-primo.hosted.exlibrisgroup.com/primo-explore/search?tab=default_tab&amp;search_scope=EVERYTHING&amp;vid=01CRU&amp;lang=en_US&amp;offset=0&amp;query=any,contains,991001386279702656","Catalog Record")</f>
        <v/>
      </c>
      <c r="AV528">
        <f>HYPERLINK("http://www.worldcat.org/oclc/28345418","WorldCat Record")</f>
        <v/>
      </c>
      <c r="AW528" t="inlineStr">
        <is>
          <t>31009460:eng</t>
        </is>
      </c>
      <c r="AX528" t="inlineStr">
        <is>
          <t>28345418</t>
        </is>
      </c>
      <c r="AY528" t="inlineStr">
        <is>
          <t>991001386279702656</t>
        </is>
      </c>
      <c r="AZ528" t="inlineStr">
        <is>
          <t>991001386279702656</t>
        </is>
      </c>
      <c r="BA528" t="inlineStr">
        <is>
          <t>2264293150002656</t>
        </is>
      </c>
      <c r="BB528" t="inlineStr">
        <is>
          <t>BOOK</t>
        </is>
      </c>
      <c r="BE528" t="inlineStr">
        <is>
          <t>30001001799818</t>
        </is>
      </c>
      <c r="BF528" t="inlineStr">
        <is>
          <t>893741083</t>
        </is>
      </c>
    </row>
    <row r="529">
      <c r="B529" t="inlineStr">
        <is>
          <t>CUHSL</t>
        </is>
      </c>
      <c r="C529" t="inlineStr">
        <is>
          <t>SHELVES</t>
        </is>
      </c>
      <c r="D529" t="inlineStr">
        <is>
          <t>QV 711 AA1 K56s 1987</t>
        </is>
      </c>
      <c r="E529" t="inlineStr">
        <is>
          <t>0                      QV 0711000AA 1                  K  56s         1987</t>
        </is>
      </c>
      <c r="F529" t="inlineStr">
        <is>
          <t>A selection of primary sources for the history of pharmacy in the United States : books and trade catalogs from the colonial period to 1940 / by Nydia M. King.</t>
        </is>
      </c>
      <c r="H529" t="inlineStr">
        <is>
          <t>No</t>
        </is>
      </c>
      <c r="I529" t="inlineStr">
        <is>
          <t>1</t>
        </is>
      </c>
      <c r="J529" t="inlineStr">
        <is>
          <t>No</t>
        </is>
      </c>
      <c r="K529" t="inlineStr">
        <is>
          <t>No</t>
        </is>
      </c>
      <c r="L529" t="inlineStr">
        <is>
          <t>0</t>
        </is>
      </c>
      <c r="M529" t="inlineStr">
        <is>
          <t>King, Nydia M.</t>
        </is>
      </c>
      <c r="N529" t="inlineStr">
        <is>
          <t>Madison, Wis. : American Institute of the History of Pharmacy, 1987, c1985.</t>
        </is>
      </c>
      <c r="O529" t="inlineStr">
        <is>
          <t>1987</t>
        </is>
      </c>
      <c r="Q529" t="inlineStr">
        <is>
          <t>eng</t>
        </is>
      </c>
      <c r="R529" t="inlineStr">
        <is>
          <t>wiu</t>
        </is>
      </c>
      <c r="S529" t="inlineStr">
        <is>
          <t>Fischelis publication on recent history and trends of pharmacy ; 2nd</t>
        </is>
      </c>
      <c r="T529" t="inlineStr">
        <is>
          <t xml:space="preserve">QV </t>
        </is>
      </c>
      <c r="U529" t="n">
        <v>4</v>
      </c>
      <c r="V529" t="n">
        <v>4</v>
      </c>
      <c r="W529" t="inlineStr">
        <is>
          <t>2005-10-28</t>
        </is>
      </c>
      <c r="X529" t="inlineStr">
        <is>
          <t>2005-10-28</t>
        </is>
      </c>
      <c r="Y529" t="inlineStr">
        <is>
          <t>1990-10-23</t>
        </is>
      </c>
      <c r="Z529" t="inlineStr">
        <is>
          <t>1990-10-23</t>
        </is>
      </c>
      <c r="AA529" t="n">
        <v>150</v>
      </c>
      <c r="AB529" t="n">
        <v>119</v>
      </c>
      <c r="AC529" t="n">
        <v>130</v>
      </c>
      <c r="AD529" t="n">
        <v>1</v>
      </c>
      <c r="AE529" t="n">
        <v>2</v>
      </c>
      <c r="AF529" t="n">
        <v>6</v>
      </c>
      <c r="AG529" t="n">
        <v>8</v>
      </c>
      <c r="AH529" t="n">
        <v>3</v>
      </c>
      <c r="AI529" t="n">
        <v>3</v>
      </c>
      <c r="AJ529" t="n">
        <v>1</v>
      </c>
      <c r="AK529" t="n">
        <v>2</v>
      </c>
      <c r="AL529" t="n">
        <v>2</v>
      </c>
      <c r="AM529" t="n">
        <v>2</v>
      </c>
      <c r="AN529" t="n">
        <v>0</v>
      </c>
      <c r="AO529" t="n">
        <v>1</v>
      </c>
      <c r="AP529" t="n">
        <v>0</v>
      </c>
      <c r="AQ529" t="n">
        <v>0</v>
      </c>
      <c r="AR529" t="inlineStr">
        <is>
          <t>Yes</t>
        </is>
      </c>
      <c r="AS529" t="inlineStr">
        <is>
          <t>No</t>
        </is>
      </c>
      <c r="AT529">
        <f>HYPERLINK("http://catalog.hathitrust.org/Record/000830593","HathiTrust Record")</f>
        <v/>
      </c>
      <c r="AU529">
        <f>HYPERLINK("https://creighton-primo.hosted.exlibrisgroup.com/primo-explore/search?tab=default_tab&amp;search_scope=EVERYTHING&amp;vid=01CRU&amp;lang=en_US&amp;offset=0&amp;query=any,contains,991000770429702656","Catalog Record")</f>
        <v/>
      </c>
      <c r="AV529">
        <f>HYPERLINK("http://www.worldcat.org/oclc/23148183","WorldCat Record")</f>
        <v/>
      </c>
      <c r="AW529" t="inlineStr">
        <is>
          <t>365417394:eng</t>
        </is>
      </c>
      <c r="AX529" t="inlineStr">
        <is>
          <t>23148183</t>
        </is>
      </c>
      <c r="AY529" t="inlineStr">
        <is>
          <t>991000770429702656</t>
        </is>
      </c>
      <c r="AZ529" t="inlineStr">
        <is>
          <t>991000770429702656</t>
        </is>
      </c>
      <c r="BA529" t="inlineStr">
        <is>
          <t>2271014530002656</t>
        </is>
      </c>
      <c r="BB529" t="inlineStr">
        <is>
          <t>BOOK</t>
        </is>
      </c>
      <c r="BD529" t="inlineStr">
        <is>
          <t>9780931292163</t>
        </is>
      </c>
      <c r="BE529" t="inlineStr">
        <is>
          <t>30001002061994</t>
        </is>
      </c>
      <c r="BF529" t="inlineStr">
        <is>
          <t>893161120</t>
        </is>
      </c>
    </row>
    <row r="530">
      <c r="B530" t="inlineStr">
        <is>
          <t>CUHSL</t>
        </is>
      </c>
      <c r="C530" t="inlineStr">
        <is>
          <t>SHELVES</t>
        </is>
      </c>
      <c r="D530" t="inlineStr">
        <is>
          <t>QV 711 AA1 L716m 1987</t>
        </is>
      </c>
      <c r="E530" t="inlineStr">
        <is>
          <t>0                      QV 0711000AA 1                  L  716m        1987</t>
        </is>
      </c>
      <c r="F530" t="inlineStr">
        <is>
          <t>Medical science and medical industry : the formation of the American pharmaceutical industry / Jonathan Liebenau.</t>
        </is>
      </c>
      <c r="H530" t="inlineStr">
        <is>
          <t>No</t>
        </is>
      </c>
      <c r="I530" t="inlineStr">
        <is>
          <t>1</t>
        </is>
      </c>
      <c r="J530" t="inlineStr">
        <is>
          <t>No</t>
        </is>
      </c>
      <c r="K530" t="inlineStr">
        <is>
          <t>No</t>
        </is>
      </c>
      <c r="L530" t="inlineStr">
        <is>
          <t>0</t>
        </is>
      </c>
      <c r="M530" t="inlineStr">
        <is>
          <t>Liebenau, Jonathan.</t>
        </is>
      </c>
      <c r="N530" t="inlineStr">
        <is>
          <t>Baltimore : Johns Hopkins University Press, c1987.</t>
        </is>
      </c>
      <c r="O530" t="inlineStr">
        <is>
          <t>1987</t>
        </is>
      </c>
      <c r="Q530" t="inlineStr">
        <is>
          <t>eng</t>
        </is>
      </c>
      <c r="R530" t="inlineStr">
        <is>
          <t>xxu</t>
        </is>
      </c>
      <c r="T530" t="inlineStr">
        <is>
          <t xml:space="preserve">QV </t>
        </is>
      </c>
      <c r="U530" t="n">
        <v>1</v>
      </c>
      <c r="V530" t="n">
        <v>1</v>
      </c>
      <c r="W530" t="inlineStr">
        <is>
          <t>2002-01-06</t>
        </is>
      </c>
      <c r="X530" t="inlineStr">
        <is>
          <t>2002-01-06</t>
        </is>
      </c>
      <c r="Y530" t="inlineStr">
        <is>
          <t>1988-04-26</t>
        </is>
      </c>
      <c r="Z530" t="inlineStr">
        <is>
          <t>1988-04-26</t>
        </is>
      </c>
      <c r="AA530" t="n">
        <v>346</v>
      </c>
      <c r="AB530" t="n">
        <v>313</v>
      </c>
      <c r="AC530" t="n">
        <v>351</v>
      </c>
      <c r="AD530" t="n">
        <v>2</v>
      </c>
      <c r="AE530" t="n">
        <v>3</v>
      </c>
      <c r="AF530" t="n">
        <v>17</v>
      </c>
      <c r="AG530" t="n">
        <v>19</v>
      </c>
      <c r="AH530" t="n">
        <v>3</v>
      </c>
      <c r="AI530" t="n">
        <v>4</v>
      </c>
      <c r="AJ530" t="n">
        <v>5</v>
      </c>
      <c r="AK530" t="n">
        <v>5</v>
      </c>
      <c r="AL530" t="n">
        <v>10</v>
      </c>
      <c r="AM530" t="n">
        <v>11</v>
      </c>
      <c r="AN530" t="n">
        <v>1</v>
      </c>
      <c r="AO530" t="n">
        <v>2</v>
      </c>
      <c r="AP530" t="n">
        <v>1</v>
      </c>
      <c r="AQ530" t="n">
        <v>1</v>
      </c>
      <c r="AR530" t="inlineStr">
        <is>
          <t>No</t>
        </is>
      </c>
      <c r="AS530" t="inlineStr">
        <is>
          <t>Yes</t>
        </is>
      </c>
      <c r="AT530">
        <f>HYPERLINK("http://catalog.hathitrust.org/Record/000847110","HathiTrust Record")</f>
        <v/>
      </c>
      <c r="AU530">
        <f>HYPERLINK("https://creighton-primo.hosted.exlibrisgroup.com/primo-explore/search?tab=default_tab&amp;search_scope=EVERYTHING&amp;vid=01CRU&amp;lang=en_US&amp;offset=0&amp;query=any,contains,991001187249702656","Catalog Record")</f>
        <v/>
      </c>
      <c r="AV530">
        <f>HYPERLINK("http://www.worldcat.org/oclc/15017472","WorldCat Record")</f>
        <v/>
      </c>
      <c r="AW530" t="inlineStr">
        <is>
          <t>8573873:eng</t>
        </is>
      </c>
      <c r="AX530" t="inlineStr">
        <is>
          <t>15017472</t>
        </is>
      </c>
      <c r="AY530" t="inlineStr">
        <is>
          <t>991001187249702656</t>
        </is>
      </c>
      <c r="AZ530" t="inlineStr">
        <is>
          <t>991001187249702656</t>
        </is>
      </c>
      <c r="BA530" t="inlineStr">
        <is>
          <t>2265588920002656</t>
        </is>
      </c>
      <c r="BB530" t="inlineStr">
        <is>
          <t>BOOK</t>
        </is>
      </c>
      <c r="BD530" t="inlineStr">
        <is>
          <t>9780801833564</t>
        </is>
      </c>
      <c r="BE530" t="inlineStr">
        <is>
          <t>30001000978397</t>
        </is>
      </c>
      <c r="BF530" t="inlineStr">
        <is>
          <t>893736300</t>
        </is>
      </c>
    </row>
    <row r="531">
      <c r="B531" t="inlineStr">
        <is>
          <t>CUHSL</t>
        </is>
      </c>
      <c r="C531" t="inlineStr">
        <is>
          <t>SHELVES</t>
        </is>
      </c>
      <c r="D531" t="inlineStr">
        <is>
          <t>QV 711 F471 1931</t>
        </is>
      </c>
      <c r="E531" t="inlineStr">
        <is>
          <t>0                      QV 0711000F  471         1931</t>
        </is>
      </c>
      <c r="F531" t="inlineStr">
        <is>
          <t>Fighting disease with drugs : the story of pharmacy : a symposium / edited by John C. Krantz, jr. ; with an introduction by James H. Beal.</t>
        </is>
      </c>
      <c r="H531" t="inlineStr">
        <is>
          <t>No</t>
        </is>
      </c>
      <c r="I531" t="inlineStr">
        <is>
          <t>1</t>
        </is>
      </c>
      <c r="J531" t="inlineStr">
        <is>
          <t>No</t>
        </is>
      </c>
      <c r="K531" t="inlineStr">
        <is>
          <t>No</t>
        </is>
      </c>
      <c r="L531" t="inlineStr">
        <is>
          <t>0</t>
        </is>
      </c>
      <c r="N531" t="inlineStr">
        <is>
          <t>Baltimore : The Williams &amp; Wilkins company, c1931.</t>
        </is>
      </c>
      <c r="O531" t="inlineStr">
        <is>
          <t>1931</t>
        </is>
      </c>
      <c r="Q531" t="inlineStr">
        <is>
          <t>eng</t>
        </is>
      </c>
      <c r="R531" t="inlineStr">
        <is>
          <t>|||</t>
        </is>
      </c>
      <c r="T531" t="inlineStr">
        <is>
          <t xml:space="preserve">QV </t>
        </is>
      </c>
      <c r="U531" t="n">
        <v>5</v>
      </c>
      <c r="V531" t="n">
        <v>5</v>
      </c>
      <c r="W531" t="inlineStr">
        <is>
          <t>2007-03-20</t>
        </is>
      </c>
      <c r="X531" t="inlineStr">
        <is>
          <t>2007-03-20</t>
        </is>
      </c>
      <c r="Y531" t="inlineStr">
        <is>
          <t>1988-02-09</t>
        </is>
      </c>
      <c r="Z531" t="inlineStr">
        <is>
          <t>1988-02-09</t>
        </is>
      </c>
      <c r="AA531" t="n">
        <v>190</v>
      </c>
      <c r="AB531" t="n">
        <v>180</v>
      </c>
      <c r="AC531" t="n">
        <v>185</v>
      </c>
      <c r="AD531" t="n">
        <v>1</v>
      </c>
      <c r="AE531" t="n">
        <v>1</v>
      </c>
      <c r="AF531" t="n">
        <v>4</v>
      </c>
      <c r="AG531" t="n">
        <v>4</v>
      </c>
      <c r="AH531" t="n">
        <v>2</v>
      </c>
      <c r="AI531" t="n">
        <v>2</v>
      </c>
      <c r="AJ531" t="n">
        <v>2</v>
      </c>
      <c r="AK531" t="n">
        <v>2</v>
      </c>
      <c r="AL531" t="n">
        <v>1</v>
      </c>
      <c r="AM531" t="n">
        <v>1</v>
      </c>
      <c r="AN531" t="n">
        <v>0</v>
      </c>
      <c r="AO531" t="n">
        <v>0</v>
      </c>
      <c r="AP531" t="n">
        <v>0</v>
      </c>
      <c r="AQ531" t="n">
        <v>0</v>
      </c>
      <c r="AR531" t="inlineStr">
        <is>
          <t>No</t>
        </is>
      </c>
      <c r="AS531" t="inlineStr">
        <is>
          <t>Yes</t>
        </is>
      </c>
      <c r="AT531">
        <f>HYPERLINK("http://catalog.hathitrust.org/Record/001573506","HathiTrust Record")</f>
        <v/>
      </c>
      <c r="AU531">
        <f>HYPERLINK("https://creighton-primo.hosted.exlibrisgroup.com/primo-explore/search?tab=default_tab&amp;search_scope=EVERYTHING&amp;vid=01CRU&amp;lang=en_US&amp;offset=0&amp;query=any,contains,991000964739702656","Catalog Record")</f>
        <v/>
      </c>
      <c r="AV531">
        <f>HYPERLINK("http://www.worldcat.org/oclc/917999","WorldCat Record")</f>
        <v/>
      </c>
      <c r="AW531" t="inlineStr">
        <is>
          <t>1860944:eng</t>
        </is>
      </c>
      <c r="AX531" t="inlineStr">
        <is>
          <t>917999</t>
        </is>
      </c>
      <c r="AY531" t="inlineStr">
        <is>
          <t>991000964739702656</t>
        </is>
      </c>
      <c r="AZ531" t="inlineStr">
        <is>
          <t>991000964739702656</t>
        </is>
      </c>
      <c r="BA531" t="inlineStr">
        <is>
          <t>2259894450002656</t>
        </is>
      </c>
      <c r="BB531" t="inlineStr">
        <is>
          <t>BOOK</t>
        </is>
      </c>
      <c r="BE531" t="inlineStr">
        <is>
          <t>30001000199382</t>
        </is>
      </c>
      <c r="BF531" t="inlineStr">
        <is>
          <t>893121057</t>
        </is>
      </c>
    </row>
    <row r="532">
      <c r="B532" t="inlineStr">
        <is>
          <t>CUHSL</t>
        </is>
      </c>
      <c r="C532" t="inlineStr">
        <is>
          <t>SHELVES</t>
        </is>
      </c>
      <c r="D532" t="inlineStr">
        <is>
          <t>QV 711 FA1 T7p 1964</t>
        </is>
      </c>
      <c r="E532" t="inlineStr">
        <is>
          <t>0                      QV 0711000FA 1                  T  7p          1964</t>
        </is>
      </c>
      <c r="F532" t="inlineStr">
        <is>
          <t>Pharmacy in history.</t>
        </is>
      </c>
      <c r="H532" t="inlineStr">
        <is>
          <t>No</t>
        </is>
      </c>
      <c r="I532" t="inlineStr">
        <is>
          <t>1</t>
        </is>
      </c>
      <c r="J532" t="inlineStr">
        <is>
          <t>No</t>
        </is>
      </c>
      <c r="K532" t="inlineStr">
        <is>
          <t>No</t>
        </is>
      </c>
      <c r="L532" t="inlineStr">
        <is>
          <t>0</t>
        </is>
      </c>
      <c r="M532" t="inlineStr">
        <is>
          <t>Trease, George Edward, 1902-1986.</t>
        </is>
      </c>
      <c r="N532" t="inlineStr">
        <is>
          <t>London : Baillière, Tindall and Cox, [1964]</t>
        </is>
      </c>
      <c r="O532" t="inlineStr">
        <is>
          <t>1964</t>
        </is>
      </c>
      <c r="Q532" t="inlineStr">
        <is>
          <t>eng</t>
        </is>
      </c>
      <c r="R532" t="inlineStr">
        <is>
          <t xml:space="preserve">xx </t>
        </is>
      </c>
      <c r="T532" t="inlineStr">
        <is>
          <t xml:space="preserve">QV </t>
        </is>
      </c>
      <c r="U532" t="n">
        <v>11</v>
      </c>
      <c r="V532" t="n">
        <v>11</v>
      </c>
      <c r="W532" t="inlineStr">
        <is>
          <t>2007-02-20</t>
        </is>
      </c>
      <c r="X532" t="inlineStr">
        <is>
          <t>2007-02-20</t>
        </is>
      </c>
      <c r="Y532" t="inlineStr">
        <is>
          <t>1988-03-22</t>
        </is>
      </c>
      <c r="Z532" t="inlineStr">
        <is>
          <t>1988-03-22</t>
        </is>
      </c>
      <c r="AA532" t="n">
        <v>228</v>
      </c>
      <c r="AB532" t="n">
        <v>134</v>
      </c>
      <c r="AC532" t="n">
        <v>136</v>
      </c>
      <c r="AD532" t="n">
        <v>3</v>
      </c>
      <c r="AE532" t="n">
        <v>3</v>
      </c>
      <c r="AF532" t="n">
        <v>8</v>
      </c>
      <c r="AG532" t="n">
        <v>8</v>
      </c>
      <c r="AH532" t="n">
        <v>3</v>
      </c>
      <c r="AI532" t="n">
        <v>3</v>
      </c>
      <c r="AJ532" t="n">
        <v>1</v>
      </c>
      <c r="AK532" t="n">
        <v>1</v>
      </c>
      <c r="AL532" t="n">
        <v>3</v>
      </c>
      <c r="AM532" t="n">
        <v>3</v>
      </c>
      <c r="AN532" t="n">
        <v>2</v>
      </c>
      <c r="AO532" t="n">
        <v>2</v>
      </c>
      <c r="AP532" t="n">
        <v>0</v>
      </c>
      <c r="AQ532" t="n">
        <v>0</v>
      </c>
      <c r="AR532" t="inlineStr">
        <is>
          <t>No</t>
        </is>
      </c>
      <c r="AS532" t="inlineStr">
        <is>
          <t>Yes</t>
        </is>
      </c>
      <c r="AT532">
        <f>HYPERLINK("http://catalog.hathitrust.org/Record/001579342","HathiTrust Record")</f>
        <v/>
      </c>
      <c r="AU532">
        <f>HYPERLINK("https://creighton-primo.hosted.exlibrisgroup.com/primo-explore/search?tab=default_tab&amp;search_scope=EVERYTHING&amp;vid=01CRU&amp;lang=en_US&amp;offset=0&amp;query=any,contains,991000964699702656","Catalog Record")</f>
        <v/>
      </c>
      <c r="AV532">
        <f>HYPERLINK("http://www.worldcat.org/oclc/14618668","WorldCat Record")</f>
        <v/>
      </c>
      <c r="AW532" t="inlineStr">
        <is>
          <t>8476464:eng</t>
        </is>
      </c>
      <c r="AX532" t="inlineStr">
        <is>
          <t>14618668</t>
        </is>
      </c>
      <c r="AY532" t="inlineStr">
        <is>
          <t>991000964699702656</t>
        </is>
      </c>
      <c r="AZ532" t="inlineStr">
        <is>
          <t>991000964699702656</t>
        </is>
      </c>
      <c r="BA532" t="inlineStr">
        <is>
          <t>2269336780002656</t>
        </is>
      </c>
      <c r="BB532" t="inlineStr">
        <is>
          <t>BOOK</t>
        </is>
      </c>
      <c r="BE532" t="inlineStr">
        <is>
          <t>30001000199366</t>
        </is>
      </c>
      <c r="BF532" t="inlineStr">
        <is>
          <t>893267876</t>
        </is>
      </c>
    </row>
    <row r="533">
      <c r="B533" t="inlineStr">
        <is>
          <t>CUHSL</t>
        </is>
      </c>
      <c r="C533" t="inlineStr">
        <is>
          <t>SHELVES</t>
        </is>
      </c>
      <c r="D533" t="inlineStr">
        <is>
          <t>QV 711 R281c 1973</t>
        </is>
      </c>
      <c r="E533" t="inlineStr">
        <is>
          <t>0                      QV 0711000R  281c        1973</t>
        </is>
      </c>
      <c r="F533" t="inlineStr">
        <is>
          <t>Circa instans / C.B. Rea and J. Rea.</t>
        </is>
      </c>
      <c r="H533" t="inlineStr">
        <is>
          <t>No</t>
        </is>
      </c>
      <c r="I533" t="inlineStr">
        <is>
          <t>1</t>
        </is>
      </c>
      <c r="J533" t="inlineStr">
        <is>
          <t>No</t>
        </is>
      </c>
      <c r="K533" t="inlineStr">
        <is>
          <t>No</t>
        </is>
      </c>
      <c r="L533" t="inlineStr">
        <is>
          <t>0</t>
        </is>
      </c>
      <c r="M533" t="inlineStr">
        <is>
          <t>Rea, C. B.</t>
        </is>
      </c>
      <c r="O533" t="inlineStr">
        <is>
          <t>1973</t>
        </is>
      </c>
      <c r="Q533" t="inlineStr">
        <is>
          <t>eng</t>
        </is>
      </c>
      <c r="R533" t="inlineStr">
        <is>
          <t>txu</t>
        </is>
      </c>
      <c r="T533" t="inlineStr">
        <is>
          <t xml:space="preserve">QV </t>
        </is>
      </c>
      <c r="U533" t="n">
        <v>5</v>
      </c>
      <c r="V533" t="n">
        <v>5</v>
      </c>
      <c r="W533" t="inlineStr">
        <is>
          <t>2002-12-19</t>
        </is>
      </c>
      <c r="X533" t="inlineStr">
        <is>
          <t>2002-12-19</t>
        </is>
      </c>
      <c r="Y533" t="inlineStr">
        <is>
          <t>1988-02-09</t>
        </is>
      </c>
      <c r="Z533" t="inlineStr">
        <is>
          <t>1988-02-09</t>
        </is>
      </c>
      <c r="AA533" t="n">
        <v>123</v>
      </c>
      <c r="AB533" t="n">
        <v>116</v>
      </c>
      <c r="AC533" t="n">
        <v>118</v>
      </c>
      <c r="AD533" t="n">
        <v>1</v>
      </c>
      <c r="AE533" t="n">
        <v>1</v>
      </c>
      <c r="AF533" t="n">
        <v>2</v>
      </c>
      <c r="AG533" t="n">
        <v>2</v>
      </c>
      <c r="AH533" t="n">
        <v>1</v>
      </c>
      <c r="AI533" t="n">
        <v>1</v>
      </c>
      <c r="AJ533" t="n">
        <v>1</v>
      </c>
      <c r="AK533" t="n">
        <v>1</v>
      </c>
      <c r="AL533" t="n">
        <v>0</v>
      </c>
      <c r="AM533" t="n">
        <v>0</v>
      </c>
      <c r="AN533" t="n">
        <v>0</v>
      </c>
      <c r="AO533" t="n">
        <v>0</v>
      </c>
      <c r="AP533" t="n">
        <v>0</v>
      </c>
      <c r="AQ533" t="n">
        <v>0</v>
      </c>
      <c r="AR533" t="inlineStr">
        <is>
          <t>No</t>
        </is>
      </c>
      <c r="AS533" t="inlineStr">
        <is>
          <t>Yes</t>
        </is>
      </c>
      <c r="AT533">
        <f>HYPERLINK("http://catalog.hathitrust.org/Record/000145105","HathiTrust Record")</f>
        <v/>
      </c>
      <c r="AU533">
        <f>HYPERLINK("https://creighton-primo.hosted.exlibrisgroup.com/primo-explore/search?tab=default_tab&amp;search_scope=EVERYTHING&amp;vid=01CRU&amp;lang=en_US&amp;offset=0&amp;query=any,contains,991000964519702656","Catalog Record")</f>
        <v/>
      </c>
      <c r="AV533">
        <f>HYPERLINK("http://www.worldcat.org/oclc/794102","WorldCat Record")</f>
        <v/>
      </c>
      <c r="AW533" t="inlineStr">
        <is>
          <t>3944393793:eng</t>
        </is>
      </c>
      <c r="AX533" t="inlineStr">
        <is>
          <t>794102</t>
        </is>
      </c>
      <c r="AY533" t="inlineStr">
        <is>
          <t>991000964519702656</t>
        </is>
      </c>
      <c r="AZ533" t="inlineStr">
        <is>
          <t>991000964519702656</t>
        </is>
      </c>
      <c r="BA533" t="inlineStr">
        <is>
          <t>2263690690002656</t>
        </is>
      </c>
      <c r="BB533" t="inlineStr">
        <is>
          <t>BOOK</t>
        </is>
      </c>
      <c r="BE533" t="inlineStr">
        <is>
          <t>30001000199309</t>
        </is>
      </c>
      <c r="BF533" t="inlineStr">
        <is>
          <t>893377012</t>
        </is>
      </c>
    </row>
    <row r="534">
      <c r="B534" t="inlineStr">
        <is>
          <t>CUHSL</t>
        </is>
      </c>
      <c r="C534" t="inlineStr">
        <is>
          <t>SHELVES</t>
        </is>
      </c>
      <c r="D534" t="inlineStr">
        <is>
          <t>QV 711 S587m 1941</t>
        </is>
      </c>
      <c r="E534" t="inlineStr">
        <is>
          <t>0                      QV 0711000S  587m        1941</t>
        </is>
      </c>
      <c r="F534" t="inlineStr">
        <is>
          <t>Magic in a bottle / by Milton Silverman.</t>
        </is>
      </c>
      <c r="H534" t="inlineStr">
        <is>
          <t>No</t>
        </is>
      </c>
      <c r="I534" t="inlineStr">
        <is>
          <t>1</t>
        </is>
      </c>
      <c r="J534" t="inlineStr">
        <is>
          <t>No</t>
        </is>
      </c>
      <c r="K534" t="inlineStr">
        <is>
          <t>No</t>
        </is>
      </c>
      <c r="L534" t="inlineStr">
        <is>
          <t>0</t>
        </is>
      </c>
      <c r="M534" t="inlineStr">
        <is>
          <t>Silverman, Milton, 1910-1997.</t>
        </is>
      </c>
      <c r="N534" t="inlineStr">
        <is>
          <t>New York : The Macmillan Company, 1941.</t>
        </is>
      </c>
      <c r="O534" t="inlineStr">
        <is>
          <t>1941</t>
        </is>
      </c>
      <c r="Q534" t="inlineStr">
        <is>
          <t>eng</t>
        </is>
      </c>
      <c r="R534" t="inlineStr">
        <is>
          <t>nyu</t>
        </is>
      </c>
      <c r="T534" t="inlineStr">
        <is>
          <t xml:space="preserve">QV </t>
        </is>
      </c>
      <c r="U534" t="n">
        <v>1</v>
      </c>
      <c r="V534" t="n">
        <v>1</v>
      </c>
      <c r="W534" t="inlineStr">
        <is>
          <t>2003-01-28</t>
        </is>
      </c>
      <c r="X534" t="inlineStr">
        <is>
          <t>2003-01-28</t>
        </is>
      </c>
      <c r="Y534" t="inlineStr">
        <is>
          <t>1988-03-22</t>
        </is>
      </c>
      <c r="Z534" t="inlineStr">
        <is>
          <t>1988-03-22</t>
        </is>
      </c>
      <c r="AA534" t="n">
        <v>325</v>
      </c>
      <c r="AB534" t="n">
        <v>310</v>
      </c>
      <c r="AC534" t="n">
        <v>554</v>
      </c>
      <c r="AD534" t="n">
        <v>4</v>
      </c>
      <c r="AE534" t="n">
        <v>7</v>
      </c>
      <c r="AF534" t="n">
        <v>13</v>
      </c>
      <c r="AG534" t="n">
        <v>24</v>
      </c>
      <c r="AH534" t="n">
        <v>5</v>
      </c>
      <c r="AI534" t="n">
        <v>9</v>
      </c>
      <c r="AJ534" t="n">
        <v>3</v>
      </c>
      <c r="AK534" t="n">
        <v>3</v>
      </c>
      <c r="AL534" t="n">
        <v>7</v>
      </c>
      <c r="AM534" t="n">
        <v>12</v>
      </c>
      <c r="AN534" t="n">
        <v>3</v>
      </c>
      <c r="AO534" t="n">
        <v>6</v>
      </c>
      <c r="AP534" t="n">
        <v>0</v>
      </c>
      <c r="AQ534" t="n">
        <v>0</v>
      </c>
      <c r="AR534" t="inlineStr">
        <is>
          <t>No</t>
        </is>
      </c>
      <c r="AS534" t="inlineStr">
        <is>
          <t>Yes</t>
        </is>
      </c>
      <c r="AT534">
        <f>HYPERLINK("http://catalog.hathitrust.org/Record/001573558","HathiTrust Record")</f>
        <v/>
      </c>
      <c r="AU534">
        <f>HYPERLINK("https://creighton-primo.hosted.exlibrisgroup.com/primo-explore/search?tab=default_tab&amp;search_scope=EVERYTHING&amp;vid=01CRU&amp;lang=en_US&amp;offset=0&amp;query=any,contains,991000964449702656","Catalog Record")</f>
        <v/>
      </c>
      <c r="AV534">
        <f>HYPERLINK("http://www.worldcat.org/oclc/992904","WorldCat Record")</f>
        <v/>
      </c>
      <c r="AW534" t="inlineStr">
        <is>
          <t>1977803:eng</t>
        </is>
      </c>
      <c r="AX534" t="inlineStr">
        <is>
          <t>992904</t>
        </is>
      </c>
      <c r="AY534" t="inlineStr">
        <is>
          <t>991000964449702656</t>
        </is>
      </c>
      <c r="AZ534" t="inlineStr">
        <is>
          <t>991000964449702656</t>
        </is>
      </c>
      <c r="BA534" t="inlineStr">
        <is>
          <t>2255148400002656</t>
        </is>
      </c>
      <c r="BB534" t="inlineStr">
        <is>
          <t>BOOK</t>
        </is>
      </c>
      <c r="BE534" t="inlineStr">
        <is>
          <t>30001000199291</t>
        </is>
      </c>
      <c r="BF534" t="inlineStr">
        <is>
          <t>893551977</t>
        </is>
      </c>
    </row>
    <row r="535">
      <c r="B535" t="inlineStr">
        <is>
          <t>CUHSL</t>
        </is>
      </c>
      <c r="C535" t="inlineStr">
        <is>
          <t>SHELVES</t>
        </is>
      </c>
      <c r="D535" t="inlineStr">
        <is>
          <t>QV 711.1 I61 1940</t>
        </is>
      </c>
      <c r="E535" t="inlineStr">
        <is>
          <t>0                      QV 0711100I  61          1940</t>
        </is>
      </c>
      <c r="F535" t="inlineStr">
        <is>
          <t>Introductory essays on the history of pharmacy / selected and arranged by John Joseph Corcoran.</t>
        </is>
      </c>
      <c r="H535" t="inlineStr">
        <is>
          <t>No</t>
        </is>
      </c>
      <c r="I535" t="inlineStr">
        <is>
          <t>1</t>
        </is>
      </c>
      <c r="J535" t="inlineStr">
        <is>
          <t>No</t>
        </is>
      </c>
      <c r="K535" t="inlineStr">
        <is>
          <t>No</t>
        </is>
      </c>
      <c r="L535" t="inlineStr">
        <is>
          <t>0</t>
        </is>
      </c>
      <c r="N535" t="inlineStr">
        <is>
          <t>Minneapolis, Minn. : Burgess Publishing Co., 1940.</t>
        </is>
      </c>
      <c r="O535" t="inlineStr">
        <is>
          <t>1940</t>
        </is>
      </c>
      <c r="P535" t="inlineStr">
        <is>
          <t>1st ed.</t>
        </is>
      </c>
      <c r="Q535" t="inlineStr">
        <is>
          <t>eng</t>
        </is>
      </c>
      <c r="R535" t="inlineStr">
        <is>
          <t>mnu</t>
        </is>
      </c>
      <c r="T535" t="inlineStr">
        <is>
          <t xml:space="preserve">QV </t>
        </is>
      </c>
      <c r="U535" t="n">
        <v>2</v>
      </c>
      <c r="V535" t="n">
        <v>2</v>
      </c>
      <c r="W535" t="inlineStr">
        <is>
          <t>2005-10-28</t>
        </is>
      </c>
      <c r="X535" t="inlineStr">
        <is>
          <t>2005-10-28</t>
        </is>
      </c>
      <c r="Y535" t="inlineStr">
        <is>
          <t>1988-02-09</t>
        </is>
      </c>
      <c r="Z535" t="inlineStr">
        <is>
          <t>1988-02-09</t>
        </is>
      </c>
      <c r="AA535" t="n">
        <v>33</v>
      </c>
      <c r="AB535" t="n">
        <v>30</v>
      </c>
      <c r="AC535" t="n">
        <v>32</v>
      </c>
      <c r="AD535" t="n">
        <v>1</v>
      </c>
      <c r="AE535" t="n">
        <v>1</v>
      </c>
      <c r="AF535" t="n">
        <v>1</v>
      </c>
      <c r="AG535" t="n">
        <v>1</v>
      </c>
      <c r="AH535" t="n">
        <v>0</v>
      </c>
      <c r="AI535" t="n">
        <v>0</v>
      </c>
      <c r="AJ535" t="n">
        <v>1</v>
      </c>
      <c r="AK535" t="n">
        <v>1</v>
      </c>
      <c r="AL535" t="n">
        <v>0</v>
      </c>
      <c r="AM535" t="n">
        <v>0</v>
      </c>
      <c r="AN535" t="n">
        <v>0</v>
      </c>
      <c r="AO535" t="n">
        <v>0</v>
      </c>
      <c r="AP535" t="n">
        <v>0</v>
      </c>
      <c r="AQ535" t="n">
        <v>0</v>
      </c>
      <c r="AR535" t="inlineStr">
        <is>
          <t>No</t>
        </is>
      </c>
      <c r="AS535" t="inlineStr">
        <is>
          <t>Yes</t>
        </is>
      </c>
      <c r="AT535">
        <f>HYPERLINK("http://catalog.hathitrust.org/Record/001573545","HathiTrust Record")</f>
        <v/>
      </c>
      <c r="AU535">
        <f>HYPERLINK("https://creighton-primo.hosted.exlibrisgroup.com/primo-explore/search?tab=default_tab&amp;search_scope=EVERYTHING&amp;vid=01CRU&amp;lang=en_US&amp;offset=0&amp;query=any,contains,991000965269702656","Catalog Record")</f>
        <v/>
      </c>
      <c r="AV535">
        <f>HYPERLINK("http://www.worldcat.org/oclc/5813193","WorldCat Record")</f>
        <v/>
      </c>
      <c r="AW535" t="inlineStr">
        <is>
          <t>19732090:eng</t>
        </is>
      </c>
      <c r="AX535" t="inlineStr">
        <is>
          <t>5813193</t>
        </is>
      </c>
      <c r="AY535" t="inlineStr">
        <is>
          <t>991000965269702656</t>
        </is>
      </c>
      <c r="AZ535" t="inlineStr">
        <is>
          <t>991000965269702656</t>
        </is>
      </c>
      <c r="BA535" t="inlineStr">
        <is>
          <t>2261200390002656</t>
        </is>
      </c>
      <c r="BB535" t="inlineStr">
        <is>
          <t>BOOK</t>
        </is>
      </c>
      <c r="BE535" t="inlineStr">
        <is>
          <t>30001000199739</t>
        </is>
      </c>
      <c r="BF535" t="inlineStr">
        <is>
          <t>893637892</t>
        </is>
      </c>
    </row>
    <row r="536">
      <c r="B536" t="inlineStr">
        <is>
          <t>CUHSL</t>
        </is>
      </c>
      <c r="C536" t="inlineStr">
        <is>
          <t>SHELVES</t>
        </is>
      </c>
      <c r="D536" t="inlineStr">
        <is>
          <t>QV 722 P5789q 1995</t>
        </is>
      </c>
      <c r="E536" t="inlineStr">
        <is>
          <t>0                      QV 0722000P  5789q       1995</t>
        </is>
      </c>
      <c r="F536" t="inlineStr">
        <is>
          <t>1995 Physicians' genRx : the complete drug reference.</t>
        </is>
      </c>
      <c r="H536" t="inlineStr">
        <is>
          <t>No</t>
        </is>
      </c>
      <c r="I536" t="inlineStr">
        <is>
          <t>1</t>
        </is>
      </c>
      <c r="J536" t="inlineStr">
        <is>
          <t>No</t>
        </is>
      </c>
      <c r="K536" t="inlineStr">
        <is>
          <t>No</t>
        </is>
      </c>
      <c r="L536" t="inlineStr">
        <is>
          <t>0</t>
        </is>
      </c>
      <c r="N536" t="inlineStr">
        <is>
          <t>Riverside, CT : Denniston Publ. Inc., c1995.</t>
        </is>
      </c>
      <c r="O536" t="inlineStr">
        <is>
          <t>1995</t>
        </is>
      </c>
      <c r="Q536" t="inlineStr">
        <is>
          <t>eng</t>
        </is>
      </c>
      <c r="R536" t="inlineStr">
        <is>
          <t>ctu</t>
        </is>
      </c>
      <c r="T536" t="inlineStr">
        <is>
          <t xml:space="preserve">QV </t>
        </is>
      </c>
      <c r="U536" t="n">
        <v>6</v>
      </c>
      <c r="V536" t="n">
        <v>6</v>
      </c>
      <c r="W536" t="inlineStr">
        <is>
          <t>1995-12-12</t>
        </is>
      </c>
      <c r="X536" t="inlineStr">
        <is>
          <t>1995-12-12</t>
        </is>
      </c>
      <c r="Y536" t="inlineStr">
        <is>
          <t>1995-01-18</t>
        </is>
      </c>
      <c r="Z536" t="inlineStr">
        <is>
          <t>1995-01-18</t>
        </is>
      </c>
      <c r="AA536" t="n">
        <v>21</v>
      </c>
      <c r="AB536" t="n">
        <v>21</v>
      </c>
      <c r="AC536" t="n">
        <v>43</v>
      </c>
      <c r="AD536" t="n">
        <v>1</v>
      </c>
      <c r="AE536" t="n">
        <v>1</v>
      </c>
      <c r="AF536" t="n">
        <v>0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0</v>
      </c>
      <c r="AM536" t="n">
        <v>0</v>
      </c>
      <c r="AN536" t="n">
        <v>0</v>
      </c>
      <c r="AO536" t="n">
        <v>0</v>
      </c>
      <c r="AP536" t="n">
        <v>0</v>
      </c>
      <c r="AQ536" t="n">
        <v>0</v>
      </c>
      <c r="AR536" t="inlineStr">
        <is>
          <t>No</t>
        </is>
      </c>
      <c r="AS536" t="inlineStr">
        <is>
          <t>No</t>
        </is>
      </c>
      <c r="AU536">
        <f>HYPERLINK("https://creighton-primo.hosted.exlibrisgroup.com/primo-explore/search?tab=default_tab&amp;search_scope=EVERYTHING&amp;vid=01CRU&amp;lang=en_US&amp;offset=0&amp;query=any,contains,991001335839702656","Catalog Record")</f>
        <v/>
      </c>
      <c r="AV536">
        <f>HYPERLINK("http://www.worldcat.org/oclc/31733205","WorldCat Record")</f>
        <v/>
      </c>
      <c r="AW536" t="inlineStr">
        <is>
          <t>4989074146:eng</t>
        </is>
      </c>
      <c r="AX536" t="inlineStr">
        <is>
          <t>31733205</t>
        </is>
      </c>
      <c r="AY536" t="inlineStr">
        <is>
          <t>991001335839702656</t>
        </is>
      </c>
      <c r="AZ536" t="inlineStr">
        <is>
          <t>991001335839702656</t>
        </is>
      </c>
      <c r="BA536" t="inlineStr">
        <is>
          <t>2254877790002656</t>
        </is>
      </c>
      <c r="BB536" t="inlineStr">
        <is>
          <t>BOOK</t>
        </is>
      </c>
      <c r="BE536" t="inlineStr">
        <is>
          <t>30001003110972</t>
        </is>
      </c>
      <c r="BF536" t="inlineStr">
        <is>
          <t>893560980</t>
        </is>
      </c>
    </row>
    <row r="537">
      <c r="B537" t="inlineStr">
        <is>
          <t>CUHSL</t>
        </is>
      </c>
      <c r="C537" t="inlineStr">
        <is>
          <t>SHELVES</t>
        </is>
      </c>
      <c r="D537" t="inlineStr">
        <is>
          <t>QV 735 C641 1993</t>
        </is>
      </c>
      <c r="E537" t="inlineStr">
        <is>
          <t>0                      QV 0735000C  641         1993</t>
        </is>
      </c>
      <c r="F537" t="inlineStr">
        <is>
          <t>Clinical clerkship manual / edited by Larry E. Boh.</t>
        </is>
      </c>
      <c r="H537" t="inlineStr">
        <is>
          <t>No</t>
        </is>
      </c>
      <c r="I537" t="inlineStr">
        <is>
          <t>1</t>
        </is>
      </c>
      <c r="J537" t="inlineStr">
        <is>
          <t>No</t>
        </is>
      </c>
      <c r="K537" t="inlineStr">
        <is>
          <t>No</t>
        </is>
      </c>
      <c r="L537" t="inlineStr">
        <is>
          <t>0</t>
        </is>
      </c>
      <c r="N537" t="inlineStr">
        <is>
          <t>Vancouver, Wash. : Applied Therapeutics, c1993.</t>
        </is>
      </c>
      <c r="O537" t="inlineStr">
        <is>
          <t>1993</t>
        </is>
      </c>
      <c r="Q537" t="inlineStr">
        <is>
          <t>eng</t>
        </is>
      </c>
      <c r="R537" t="inlineStr">
        <is>
          <t>xxc</t>
        </is>
      </c>
      <c r="T537" t="inlineStr">
        <is>
          <t xml:space="preserve">QV </t>
        </is>
      </c>
      <c r="U537" t="n">
        <v>23</v>
      </c>
      <c r="V537" t="n">
        <v>23</v>
      </c>
      <c r="W537" t="inlineStr">
        <is>
          <t>2005-10-08</t>
        </is>
      </c>
      <c r="X537" t="inlineStr">
        <is>
          <t>2005-10-08</t>
        </is>
      </c>
      <c r="Y537" t="inlineStr">
        <is>
          <t>1993-08-31</t>
        </is>
      </c>
      <c r="Z537" t="inlineStr">
        <is>
          <t>1993-08-31</t>
        </is>
      </c>
      <c r="AA537" t="n">
        <v>46</v>
      </c>
      <c r="AB537" t="n">
        <v>38</v>
      </c>
      <c r="AC537" t="n">
        <v>43</v>
      </c>
      <c r="AD537" t="n">
        <v>1</v>
      </c>
      <c r="AE537" t="n">
        <v>1</v>
      </c>
      <c r="AF537" t="n">
        <v>2</v>
      </c>
      <c r="AG537" t="n">
        <v>2</v>
      </c>
      <c r="AH537" t="n">
        <v>2</v>
      </c>
      <c r="AI537" t="n">
        <v>2</v>
      </c>
      <c r="AJ537" t="n">
        <v>1</v>
      </c>
      <c r="AK537" t="n">
        <v>1</v>
      </c>
      <c r="AL537" t="n">
        <v>0</v>
      </c>
      <c r="AM537" t="n">
        <v>0</v>
      </c>
      <c r="AN537" t="n">
        <v>0</v>
      </c>
      <c r="AO537" t="n">
        <v>0</v>
      </c>
      <c r="AP537" t="n">
        <v>0</v>
      </c>
      <c r="AQ537" t="n">
        <v>0</v>
      </c>
      <c r="AR537" t="inlineStr">
        <is>
          <t>No</t>
        </is>
      </c>
      <c r="AS537" t="inlineStr">
        <is>
          <t>No</t>
        </is>
      </c>
      <c r="AU537">
        <f>HYPERLINK("https://creighton-primo.hosted.exlibrisgroup.com/primo-explore/search?tab=default_tab&amp;search_scope=EVERYTHING&amp;vid=01CRU&amp;lang=en_US&amp;offset=0&amp;query=any,contains,991001511869702656","Catalog Record")</f>
        <v/>
      </c>
      <c r="AV537">
        <f>HYPERLINK("http://www.worldcat.org/oclc/27097639","WorldCat Record")</f>
        <v/>
      </c>
      <c r="AW537" t="inlineStr">
        <is>
          <t>55651070:eng</t>
        </is>
      </c>
      <c r="AX537" t="inlineStr">
        <is>
          <t>27097639</t>
        </is>
      </c>
      <c r="AY537" t="inlineStr">
        <is>
          <t>991001511869702656</t>
        </is>
      </c>
      <c r="AZ537" t="inlineStr">
        <is>
          <t>991001511869702656</t>
        </is>
      </c>
      <c r="BA537" t="inlineStr">
        <is>
          <t>2256578420002656</t>
        </is>
      </c>
      <c r="BB537" t="inlineStr">
        <is>
          <t>BOOK</t>
        </is>
      </c>
      <c r="BD537" t="inlineStr">
        <is>
          <t>9780915486175</t>
        </is>
      </c>
      <c r="BE537" t="inlineStr">
        <is>
          <t>30001002600957</t>
        </is>
      </c>
      <c r="BF537" t="inlineStr">
        <is>
          <t>893121582</t>
        </is>
      </c>
    </row>
    <row r="538">
      <c r="B538" t="inlineStr">
        <is>
          <t>CUHSL</t>
        </is>
      </c>
      <c r="C538" t="inlineStr">
        <is>
          <t>SHELVES</t>
        </is>
      </c>
      <c r="D538" t="inlineStr">
        <is>
          <t>QV 735 P5365 2001</t>
        </is>
      </c>
      <c r="E538" t="inlineStr">
        <is>
          <t>0                      QV 0735000P  5365        2001</t>
        </is>
      </c>
      <c r="F538" t="inlineStr">
        <is>
          <t>Pharmacy practice manual : a guide to the clinical experience / editor, Larry E. Boh, consulting editor, Lloyd Y. Young.</t>
        </is>
      </c>
      <c r="H538" t="inlineStr">
        <is>
          <t>No</t>
        </is>
      </c>
      <c r="I538" t="inlineStr">
        <is>
          <t>1</t>
        </is>
      </c>
      <c r="J538" t="inlineStr">
        <is>
          <t>No</t>
        </is>
      </c>
      <c r="K538" t="inlineStr">
        <is>
          <t>No</t>
        </is>
      </c>
      <c r="L538" t="inlineStr">
        <is>
          <t>0</t>
        </is>
      </c>
      <c r="N538" t="inlineStr">
        <is>
          <t>Philadelphia : Lippincott Williams &amp; Wilkins, 2001.</t>
        </is>
      </c>
      <c r="O538" t="inlineStr">
        <is>
          <t>2001</t>
        </is>
      </c>
      <c r="P538" t="inlineStr">
        <is>
          <t>2nd ed.</t>
        </is>
      </c>
      <c r="Q538" t="inlineStr">
        <is>
          <t>eng</t>
        </is>
      </c>
      <c r="R538" t="inlineStr">
        <is>
          <t>mdu</t>
        </is>
      </c>
      <c r="T538" t="inlineStr">
        <is>
          <t xml:space="preserve">QV </t>
        </is>
      </c>
      <c r="U538" t="n">
        <v>9</v>
      </c>
      <c r="V538" t="n">
        <v>9</v>
      </c>
      <c r="W538" t="inlineStr">
        <is>
          <t>2009-02-16</t>
        </is>
      </c>
      <c r="X538" t="inlineStr">
        <is>
          <t>2009-02-16</t>
        </is>
      </c>
      <c r="Y538" t="inlineStr">
        <is>
          <t>2003-01-10</t>
        </is>
      </c>
      <c r="Z538" t="inlineStr">
        <is>
          <t>2003-01-10</t>
        </is>
      </c>
      <c r="AA538" t="n">
        <v>75</v>
      </c>
      <c r="AB538" t="n">
        <v>43</v>
      </c>
      <c r="AC538" t="n">
        <v>48</v>
      </c>
      <c r="AD538" t="n">
        <v>1</v>
      </c>
      <c r="AE538" t="n">
        <v>1</v>
      </c>
      <c r="AF538" t="n">
        <v>4</v>
      </c>
      <c r="AG538" t="n">
        <v>4</v>
      </c>
      <c r="AH538" t="n">
        <v>3</v>
      </c>
      <c r="AI538" t="n">
        <v>3</v>
      </c>
      <c r="AJ538" t="n">
        <v>2</v>
      </c>
      <c r="AK538" t="n">
        <v>2</v>
      </c>
      <c r="AL538" t="n">
        <v>0</v>
      </c>
      <c r="AM538" t="n">
        <v>0</v>
      </c>
      <c r="AN538" t="n">
        <v>0</v>
      </c>
      <c r="AO538" t="n">
        <v>0</v>
      </c>
      <c r="AP538" t="n">
        <v>0</v>
      </c>
      <c r="AQ538" t="n">
        <v>0</v>
      </c>
      <c r="AR538" t="inlineStr">
        <is>
          <t>No</t>
        </is>
      </c>
      <c r="AS538" t="inlineStr">
        <is>
          <t>No</t>
        </is>
      </c>
      <c r="AU538">
        <f>HYPERLINK("https://creighton-primo.hosted.exlibrisgroup.com/primo-explore/search?tab=default_tab&amp;search_scope=EVERYTHING&amp;vid=01CRU&amp;lang=en_US&amp;offset=0&amp;query=any,contains,991000335669702656","Catalog Record")</f>
        <v/>
      </c>
      <c r="AV538">
        <f>HYPERLINK("http://www.worldcat.org/oclc/45420291","WorldCat Record")</f>
        <v/>
      </c>
      <c r="AW538" t="inlineStr">
        <is>
          <t>3856867342:eng</t>
        </is>
      </c>
      <c r="AX538" t="inlineStr">
        <is>
          <t>45420291</t>
        </is>
      </c>
      <c r="AY538" t="inlineStr">
        <is>
          <t>991000335669702656</t>
        </is>
      </c>
      <c r="AZ538" t="inlineStr">
        <is>
          <t>991000335669702656</t>
        </is>
      </c>
      <c r="BA538" t="inlineStr">
        <is>
          <t>22101749230002656</t>
        </is>
      </c>
      <c r="BB538" t="inlineStr">
        <is>
          <t>BOOK</t>
        </is>
      </c>
      <c r="BD538" t="inlineStr">
        <is>
          <t>9780781725415</t>
        </is>
      </c>
      <c r="BE538" t="inlineStr">
        <is>
          <t>30001005382629</t>
        </is>
      </c>
      <c r="BF538" t="inlineStr">
        <is>
          <t>893365339</t>
        </is>
      </c>
    </row>
    <row r="539">
      <c r="B539" t="inlineStr">
        <is>
          <t>CUHSL</t>
        </is>
      </c>
      <c r="C539" t="inlineStr">
        <is>
          <t>SHELVES</t>
        </is>
      </c>
      <c r="D539" t="inlineStr">
        <is>
          <t>QV 735 S472g 2000</t>
        </is>
      </c>
      <c r="E539" t="inlineStr">
        <is>
          <t>0                      QV 0735000S  472g        2000</t>
        </is>
      </c>
      <c r="F539" t="inlineStr">
        <is>
          <t>Geriatric dosage handbook : including monitoring, clinical recommendations, and OBRA guidelines / Todd P. Selma, Judith L. Beizer, Martin D. Higbee.</t>
        </is>
      </c>
      <c r="H539" t="inlineStr">
        <is>
          <t>No</t>
        </is>
      </c>
      <c r="I539" t="inlineStr">
        <is>
          <t>1</t>
        </is>
      </c>
      <c r="J539" t="inlineStr">
        <is>
          <t>No</t>
        </is>
      </c>
      <c r="K539" t="inlineStr">
        <is>
          <t>Yes</t>
        </is>
      </c>
      <c r="L539" t="inlineStr">
        <is>
          <t>0</t>
        </is>
      </c>
      <c r="M539" t="inlineStr">
        <is>
          <t>Semla, Todd P.</t>
        </is>
      </c>
      <c r="N539" t="inlineStr">
        <is>
          <t>Hudson, OH : Lexi-Comp Inc., c2000.</t>
        </is>
      </c>
      <c r="O539" t="inlineStr">
        <is>
          <t>2000</t>
        </is>
      </c>
      <c r="P539" t="inlineStr">
        <is>
          <t>5th. ed.</t>
        </is>
      </c>
      <c r="Q539" t="inlineStr">
        <is>
          <t>eng</t>
        </is>
      </c>
      <c r="R539" t="inlineStr">
        <is>
          <t>ohu</t>
        </is>
      </c>
      <c r="T539" t="inlineStr">
        <is>
          <t xml:space="preserve">QV </t>
        </is>
      </c>
      <c r="U539" t="n">
        <v>44</v>
      </c>
      <c r="V539" t="n">
        <v>44</v>
      </c>
      <c r="W539" t="inlineStr">
        <is>
          <t>2003-01-21</t>
        </is>
      </c>
      <c r="X539" t="inlineStr">
        <is>
          <t>2003-01-21</t>
        </is>
      </c>
      <c r="Y539" t="inlineStr">
        <is>
          <t>2000-02-04</t>
        </is>
      </c>
      <c r="Z539" t="inlineStr">
        <is>
          <t>2000-02-04</t>
        </is>
      </c>
      <c r="AA539" t="n">
        <v>35</v>
      </c>
      <c r="AB539" t="n">
        <v>29</v>
      </c>
      <c r="AC539" t="n">
        <v>301</v>
      </c>
      <c r="AD539" t="n">
        <v>1</v>
      </c>
      <c r="AE539" t="n">
        <v>2</v>
      </c>
      <c r="AF539" t="n">
        <v>1</v>
      </c>
      <c r="AG539" t="n">
        <v>9</v>
      </c>
      <c r="AH539" t="n">
        <v>0</v>
      </c>
      <c r="AI539" t="n">
        <v>4</v>
      </c>
      <c r="AJ539" t="n">
        <v>1</v>
      </c>
      <c r="AK539" t="n">
        <v>3</v>
      </c>
      <c r="AL539" t="n">
        <v>0</v>
      </c>
      <c r="AM539" t="n">
        <v>2</v>
      </c>
      <c r="AN539" t="n">
        <v>0</v>
      </c>
      <c r="AO539" t="n">
        <v>1</v>
      </c>
      <c r="AP539" t="n">
        <v>0</v>
      </c>
      <c r="AQ539" t="n">
        <v>0</v>
      </c>
      <c r="AR539" t="inlineStr">
        <is>
          <t>No</t>
        </is>
      </c>
      <c r="AS539" t="inlineStr">
        <is>
          <t>Yes</t>
        </is>
      </c>
      <c r="AT539">
        <f>HYPERLINK("http://catalog.hathitrust.org/Record/004064787","HathiTrust Record")</f>
        <v/>
      </c>
      <c r="AU539">
        <f>HYPERLINK("https://creighton-primo.hosted.exlibrisgroup.com/primo-explore/search?tab=default_tab&amp;search_scope=EVERYTHING&amp;vid=01CRU&amp;lang=en_US&amp;offset=0&amp;query=any,contains,991001410399702656","Catalog Record")</f>
        <v/>
      </c>
      <c r="AV539">
        <f>HYPERLINK("http://www.worldcat.org/oclc/43273376","WorldCat Record")</f>
        <v/>
      </c>
      <c r="AW539" t="inlineStr">
        <is>
          <t>654593:eng</t>
        </is>
      </c>
      <c r="AX539" t="inlineStr">
        <is>
          <t>43273376</t>
        </is>
      </c>
      <c r="AY539" t="inlineStr">
        <is>
          <t>991001410399702656</t>
        </is>
      </c>
      <c r="AZ539" t="inlineStr">
        <is>
          <t>991001410399702656</t>
        </is>
      </c>
      <c r="BA539" t="inlineStr">
        <is>
          <t>2270253460002656</t>
        </is>
      </c>
      <c r="BB539" t="inlineStr">
        <is>
          <t>BOOK</t>
        </is>
      </c>
      <c r="BD539" t="inlineStr">
        <is>
          <t>9780916589882</t>
        </is>
      </c>
      <c r="BE539" t="inlineStr">
        <is>
          <t>30001003831171</t>
        </is>
      </c>
      <c r="BF539" t="inlineStr">
        <is>
          <t>893821187</t>
        </is>
      </c>
    </row>
    <row r="540">
      <c r="B540" t="inlineStr">
        <is>
          <t>CUHSL</t>
        </is>
      </c>
      <c r="C540" t="inlineStr">
        <is>
          <t>SHELVES</t>
        </is>
      </c>
      <c r="D540" t="inlineStr">
        <is>
          <t>QV 735 T473p 1998</t>
        </is>
      </c>
      <c r="E540" t="inlineStr">
        <is>
          <t>0                      QV 0735000T  473p        1998</t>
        </is>
      </c>
      <c r="F540" t="inlineStr">
        <is>
          <t>A practical guide to contemporary pharmacy practice / Judith E. Thompson.</t>
        </is>
      </c>
      <c r="H540" t="inlineStr">
        <is>
          <t>No</t>
        </is>
      </c>
      <c r="I540" t="inlineStr">
        <is>
          <t>1</t>
        </is>
      </c>
      <c r="J540" t="inlineStr">
        <is>
          <t>No</t>
        </is>
      </c>
      <c r="K540" t="inlineStr">
        <is>
          <t>Yes</t>
        </is>
      </c>
      <c r="L540" t="inlineStr">
        <is>
          <t>0</t>
        </is>
      </c>
      <c r="M540" t="inlineStr">
        <is>
          <t>Thompson, Judith E.</t>
        </is>
      </c>
      <c r="N540" t="inlineStr">
        <is>
          <t>Baltimore : Williams &amp; Wilkins, c1998.</t>
        </is>
      </c>
      <c r="O540" t="inlineStr">
        <is>
          <t>1998</t>
        </is>
      </c>
      <c r="P540" t="inlineStr">
        <is>
          <t>1st ed.</t>
        </is>
      </c>
      <c r="Q540" t="inlineStr">
        <is>
          <t>eng</t>
        </is>
      </c>
      <c r="R540" t="inlineStr">
        <is>
          <t>mdu</t>
        </is>
      </c>
      <c r="T540" t="inlineStr">
        <is>
          <t xml:space="preserve">QV </t>
        </is>
      </c>
      <c r="U540" t="n">
        <v>10</v>
      </c>
      <c r="V540" t="n">
        <v>10</v>
      </c>
      <c r="W540" t="inlineStr">
        <is>
          <t>2006-01-08</t>
        </is>
      </c>
      <c r="X540" t="inlineStr">
        <is>
          <t>2006-01-08</t>
        </is>
      </c>
      <c r="Y540" t="inlineStr">
        <is>
          <t>2000-02-18</t>
        </is>
      </c>
      <c r="Z540" t="inlineStr">
        <is>
          <t>2000-02-18</t>
        </is>
      </c>
      <c r="AA540" t="n">
        <v>61</v>
      </c>
      <c r="AB540" t="n">
        <v>40</v>
      </c>
      <c r="AC540" t="n">
        <v>142</v>
      </c>
      <c r="AD540" t="n">
        <v>1</v>
      </c>
      <c r="AE540" t="n">
        <v>2</v>
      </c>
      <c r="AF540" t="n">
        <v>2</v>
      </c>
      <c r="AG540" t="n">
        <v>9</v>
      </c>
      <c r="AH540" t="n">
        <v>1</v>
      </c>
      <c r="AI540" t="n">
        <v>5</v>
      </c>
      <c r="AJ540" t="n">
        <v>1</v>
      </c>
      <c r="AK540" t="n">
        <v>3</v>
      </c>
      <c r="AL540" t="n">
        <v>0</v>
      </c>
      <c r="AM540" t="n">
        <v>2</v>
      </c>
      <c r="AN540" t="n">
        <v>0</v>
      </c>
      <c r="AO540" t="n">
        <v>1</v>
      </c>
      <c r="AP540" t="n">
        <v>0</v>
      </c>
      <c r="AQ540" t="n">
        <v>0</v>
      </c>
      <c r="AR540" t="inlineStr">
        <is>
          <t>No</t>
        </is>
      </c>
      <c r="AS540" t="inlineStr">
        <is>
          <t>Yes</t>
        </is>
      </c>
      <c r="AT540">
        <f>HYPERLINK("http://catalog.hathitrust.org/Record/004012994","HathiTrust Record")</f>
        <v/>
      </c>
      <c r="AU540">
        <f>HYPERLINK("https://creighton-primo.hosted.exlibrisgroup.com/primo-explore/search?tab=default_tab&amp;search_scope=EVERYTHING&amp;vid=01CRU&amp;lang=en_US&amp;offset=0&amp;query=any,contains,991001440489702656","Catalog Record")</f>
        <v/>
      </c>
      <c r="AV540">
        <f>HYPERLINK("http://www.worldcat.org/oclc/38562176","WorldCat Record")</f>
        <v/>
      </c>
      <c r="AW540" t="inlineStr">
        <is>
          <t>766733:eng</t>
        </is>
      </c>
      <c r="AX540" t="inlineStr">
        <is>
          <t>38562176</t>
        </is>
      </c>
      <c r="AY540" t="inlineStr">
        <is>
          <t>991001440489702656</t>
        </is>
      </c>
      <c r="AZ540" t="inlineStr">
        <is>
          <t>991001440489702656</t>
        </is>
      </c>
      <c r="BA540" t="inlineStr">
        <is>
          <t>2265764450002656</t>
        </is>
      </c>
      <c r="BB540" t="inlineStr">
        <is>
          <t>BOOK</t>
        </is>
      </c>
      <c r="BD540" t="inlineStr">
        <is>
          <t>9780683305388</t>
        </is>
      </c>
      <c r="BE540" t="inlineStr">
        <is>
          <t>30001003882059</t>
        </is>
      </c>
      <c r="BF540" t="inlineStr">
        <is>
          <t>893161994</t>
        </is>
      </c>
    </row>
    <row r="541">
      <c r="B541" t="inlineStr">
        <is>
          <t>CUHSL</t>
        </is>
      </c>
      <c r="C541" t="inlineStr">
        <is>
          <t>SHELVES</t>
        </is>
      </c>
      <c r="D541" t="inlineStr">
        <is>
          <t>QV 736 B574f 1981</t>
        </is>
      </c>
      <c r="E541" t="inlineStr">
        <is>
          <t>0                      QV 0736000B  574f        1981</t>
        </is>
      </c>
      <c r="F541" t="inlineStr">
        <is>
          <t>The future of pharmaceuticals : the changing environment for the new drugs / Clement Bezold.</t>
        </is>
      </c>
      <c r="H541" t="inlineStr">
        <is>
          <t>No</t>
        </is>
      </c>
      <c r="I541" t="inlineStr">
        <is>
          <t>1</t>
        </is>
      </c>
      <c r="J541" t="inlineStr">
        <is>
          <t>No</t>
        </is>
      </c>
      <c r="K541" t="inlineStr">
        <is>
          <t>No</t>
        </is>
      </c>
      <c r="L541" t="inlineStr">
        <is>
          <t>0</t>
        </is>
      </c>
      <c r="M541" t="inlineStr">
        <is>
          <t>Bezold, Clement.</t>
        </is>
      </c>
      <c r="N541" t="inlineStr">
        <is>
          <t>New York : Wiley, c1981.</t>
        </is>
      </c>
      <c r="O541" t="inlineStr">
        <is>
          <t>1981</t>
        </is>
      </c>
      <c r="Q541" t="inlineStr">
        <is>
          <t>eng</t>
        </is>
      </c>
      <c r="R541" t="inlineStr">
        <is>
          <t>xxu</t>
        </is>
      </c>
      <c r="T541" t="inlineStr">
        <is>
          <t xml:space="preserve">QV </t>
        </is>
      </c>
      <c r="U541" t="n">
        <v>4</v>
      </c>
      <c r="V541" t="n">
        <v>4</v>
      </c>
      <c r="W541" t="inlineStr">
        <is>
          <t>2007-02-20</t>
        </is>
      </c>
      <c r="X541" t="inlineStr">
        <is>
          <t>2007-02-20</t>
        </is>
      </c>
      <c r="Y541" t="inlineStr">
        <is>
          <t>1988-02-09</t>
        </is>
      </c>
      <c r="Z541" t="inlineStr">
        <is>
          <t>1988-02-09</t>
        </is>
      </c>
      <c r="AA541" t="n">
        <v>9</v>
      </c>
      <c r="AB541" t="n">
        <v>7</v>
      </c>
      <c r="AC541" t="n">
        <v>188</v>
      </c>
      <c r="AD541" t="n">
        <v>1</v>
      </c>
      <c r="AE541" t="n">
        <v>2</v>
      </c>
      <c r="AF541" t="n">
        <v>0</v>
      </c>
      <c r="AG541" t="n">
        <v>5</v>
      </c>
      <c r="AH541" t="n">
        <v>0</v>
      </c>
      <c r="AI541" t="n">
        <v>2</v>
      </c>
      <c r="AJ541" t="n">
        <v>0</v>
      </c>
      <c r="AK541" t="n">
        <v>1</v>
      </c>
      <c r="AL541" t="n">
        <v>0</v>
      </c>
      <c r="AM541" t="n">
        <v>1</v>
      </c>
      <c r="AN541" t="n">
        <v>0</v>
      </c>
      <c r="AO541" t="n">
        <v>1</v>
      </c>
      <c r="AP541" t="n">
        <v>0</v>
      </c>
      <c r="AQ541" t="n">
        <v>1</v>
      </c>
      <c r="AR541" t="inlineStr">
        <is>
          <t>No</t>
        </is>
      </c>
      <c r="AS541" t="inlineStr">
        <is>
          <t>No</t>
        </is>
      </c>
      <c r="AU541">
        <f>HYPERLINK("https://creighton-primo.hosted.exlibrisgroup.com/primo-explore/search?tab=default_tab&amp;search_scope=EVERYTHING&amp;vid=01CRU&amp;lang=en_US&amp;offset=0&amp;query=any,contains,991000965199702656","Catalog Record")</f>
        <v/>
      </c>
      <c r="AV541">
        <f>HYPERLINK("http://www.worldcat.org/oclc/7716894","WorldCat Record")</f>
        <v/>
      </c>
      <c r="AW541" t="inlineStr">
        <is>
          <t>889809025:eng</t>
        </is>
      </c>
      <c r="AX541" t="inlineStr">
        <is>
          <t>7716894</t>
        </is>
      </c>
      <c r="AY541" t="inlineStr">
        <is>
          <t>991000965199702656</t>
        </is>
      </c>
      <c r="AZ541" t="inlineStr">
        <is>
          <t>991000965199702656</t>
        </is>
      </c>
      <c r="BA541" t="inlineStr">
        <is>
          <t>2270676120002656</t>
        </is>
      </c>
      <c r="BB541" t="inlineStr">
        <is>
          <t>BOOK</t>
        </is>
      </c>
      <c r="BD541" t="inlineStr">
        <is>
          <t>9780471083436</t>
        </is>
      </c>
      <c r="BE541" t="inlineStr">
        <is>
          <t>30001000199689</t>
        </is>
      </c>
      <c r="BF541" t="inlineStr">
        <is>
          <t>893455314</t>
        </is>
      </c>
    </row>
    <row r="542">
      <c r="B542" t="inlineStr">
        <is>
          <t>CUHSL</t>
        </is>
      </c>
      <c r="C542" t="inlineStr">
        <is>
          <t>SHELVES</t>
        </is>
      </c>
      <c r="D542" t="inlineStr">
        <is>
          <t>QV 736 B747c 1993</t>
        </is>
      </c>
      <c r="E542" t="inlineStr">
        <is>
          <t>0                      QV 0736000B  747c        1993</t>
        </is>
      </c>
      <c r="F542" t="inlineStr">
        <is>
          <t>The contribution of pharmaceutical companies : what's at stake for America : a report / prepared by The Boston Consulting Group, Inc.</t>
        </is>
      </c>
      <c r="H542" t="inlineStr">
        <is>
          <t>No</t>
        </is>
      </c>
      <c r="I542" t="inlineStr">
        <is>
          <t>1</t>
        </is>
      </c>
      <c r="J542" t="inlineStr">
        <is>
          <t>No</t>
        </is>
      </c>
      <c r="K542" t="inlineStr">
        <is>
          <t>No</t>
        </is>
      </c>
      <c r="L542" t="inlineStr">
        <is>
          <t>0</t>
        </is>
      </c>
      <c r="M542" t="inlineStr">
        <is>
          <t>Boston Consulting Group.</t>
        </is>
      </c>
      <c r="N542" t="inlineStr">
        <is>
          <t>[Boston] : Boston Consuting Group, [1993]</t>
        </is>
      </c>
      <c r="O542" t="inlineStr">
        <is>
          <t>1993</t>
        </is>
      </c>
      <c r="Q542" t="inlineStr">
        <is>
          <t>eng</t>
        </is>
      </c>
      <c r="R542" t="inlineStr">
        <is>
          <t>mau</t>
        </is>
      </c>
      <c r="T542" t="inlineStr">
        <is>
          <t xml:space="preserve">QV </t>
        </is>
      </c>
      <c r="U542" t="n">
        <v>3</v>
      </c>
      <c r="V542" t="n">
        <v>3</v>
      </c>
      <c r="W542" t="inlineStr">
        <is>
          <t>1993-10-26</t>
        </is>
      </c>
      <c r="X542" t="inlineStr">
        <is>
          <t>1993-10-26</t>
        </is>
      </c>
      <c r="Y542" t="inlineStr">
        <is>
          <t>1993-10-26</t>
        </is>
      </c>
      <c r="Z542" t="inlineStr">
        <is>
          <t>1993-10-26</t>
        </is>
      </c>
      <c r="AA542" t="n">
        <v>53</v>
      </c>
      <c r="AB542" t="n">
        <v>51</v>
      </c>
      <c r="AC542" t="n">
        <v>83</v>
      </c>
      <c r="AD542" t="n">
        <v>1</v>
      </c>
      <c r="AE542" t="n">
        <v>1</v>
      </c>
      <c r="AF542" t="n">
        <v>2</v>
      </c>
      <c r="AG542" t="n">
        <v>3</v>
      </c>
      <c r="AH542" t="n">
        <v>0</v>
      </c>
      <c r="AI542" t="n">
        <v>1</v>
      </c>
      <c r="AJ542" t="n">
        <v>1</v>
      </c>
      <c r="AK542" t="n">
        <v>1</v>
      </c>
      <c r="AL542" t="n">
        <v>0</v>
      </c>
      <c r="AM542" t="n">
        <v>0</v>
      </c>
      <c r="AN542" t="n">
        <v>0</v>
      </c>
      <c r="AO542" t="n">
        <v>0</v>
      </c>
      <c r="AP542" t="n">
        <v>1</v>
      </c>
      <c r="AQ542" t="n">
        <v>1</v>
      </c>
      <c r="AR542" t="inlineStr">
        <is>
          <t>No</t>
        </is>
      </c>
      <c r="AS542" t="inlineStr">
        <is>
          <t>No</t>
        </is>
      </c>
      <c r="AU542">
        <f>HYPERLINK("https://creighton-primo.hosted.exlibrisgroup.com/primo-explore/search?tab=default_tab&amp;search_scope=EVERYTHING&amp;vid=01CRU&amp;lang=en_US&amp;offset=0&amp;query=any,contains,991001515439702656","Catalog Record")</f>
        <v/>
      </c>
      <c r="AV542">
        <f>HYPERLINK("http://www.worldcat.org/oclc/28923860","WorldCat Record")</f>
        <v/>
      </c>
      <c r="AW542" t="inlineStr">
        <is>
          <t>4160727809:eng</t>
        </is>
      </c>
      <c r="AX542" t="inlineStr">
        <is>
          <t>28923860</t>
        </is>
      </c>
      <c r="AY542" t="inlineStr">
        <is>
          <t>991001515439702656</t>
        </is>
      </c>
      <c r="AZ542" t="inlineStr">
        <is>
          <t>991001515439702656</t>
        </is>
      </c>
      <c r="BA542" t="inlineStr">
        <is>
          <t>2272170370002656</t>
        </is>
      </c>
      <c r="BB542" t="inlineStr">
        <is>
          <t>BOOK</t>
        </is>
      </c>
      <c r="BE542" t="inlineStr">
        <is>
          <t>30001002601872</t>
        </is>
      </c>
      <c r="BF542" t="inlineStr">
        <is>
          <t>893821266</t>
        </is>
      </c>
    </row>
    <row r="543">
      <c r="B543" t="inlineStr">
        <is>
          <t>CUHSL</t>
        </is>
      </c>
      <c r="C543" t="inlineStr">
        <is>
          <t>SHELVES</t>
        </is>
      </c>
      <c r="D543" t="inlineStr">
        <is>
          <t>QV 736 C319f 1991</t>
        </is>
      </c>
      <c r="E543" t="inlineStr">
        <is>
          <t>0                      QV 0736000C  319f        1991</t>
        </is>
      </c>
      <c r="F543" t="inlineStr">
        <is>
          <t>Financial management for pharmacists : a decision-making approach / Norman V. Carroll.</t>
        </is>
      </c>
      <c r="H543" t="inlineStr">
        <is>
          <t>No</t>
        </is>
      </c>
      <c r="I543" t="inlineStr">
        <is>
          <t>1</t>
        </is>
      </c>
      <c r="J543" t="inlineStr">
        <is>
          <t>No</t>
        </is>
      </c>
      <c r="K543" t="inlineStr">
        <is>
          <t>No</t>
        </is>
      </c>
      <c r="L543" t="inlineStr">
        <is>
          <t>0</t>
        </is>
      </c>
      <c r="M543" t="inlineStr">
        <is>
          <t>Carroll, Norman V.</t>
        </is>
      </c>
      <c r="N543" t="inlineStr">
        <is>
          <t>Philadelphia : Lea &amp; Febiger, c1991.</t>
        </is>
      </c>
      <c r="O543" t="inlineStr">
        <is>
          <t>1991</t>
        </is>
      </c>
      <c r="Q543" t="inlineStr">
        <is>
          <t>eng</t>
        </is>
      </c>
      <c r="R543" t="inlineStr">
        <is>
          <t>pau</t>
        </is>
      </c>
      <c r="T543" t="inlineStr">
        <is>
          <t xml:space="preserve">QV </t>
        </is>
      </c>
      <c r="U543" t="n">
        <v>4</v>
      </c>
      <c r="V543" t="n">
        <v>4</v>
      </c>
      <c r="W543" t="inlineStr">
        <is>
          <t>1990-10-26</t>
        </is>
      </c>
      <c r="X543" t="inlineStr">
        <is>
          <t>1990-10-26</t>
        </is>
      </c>
      <c r="Y543" t="inlineStr">
        <is>
          <t>1990-10-26</t>
        </is>
      </c>
      <c r="Z543" t="inlineStr">
        <is>
          <t>1990-10-26</t>
        </is>
      </c>
      <c r="AA543" t="n">
        <v>46</v>
      </c>
      <c r="AB543" t="n">
        <v>32</v>
      </c>
      <c r="AC543" t="n">
        <v>88</v>
      </c>
      <c r="AD543" t="n">
        <v>1</v>
      </c>
      <c r="AE543" t="n">
        <v>1</v>
      </c>
      <c r="AF543" t="n">
        <v>2</v>
      </c>
      <c r="AG543" t="n">
        <v>6</v>
      </c>
      <c r="AH543" t="n">
        <v>2</v>
      </c>
      <c r="AI543" t="n">
        <v>5</v>
      </c>
      <c r="AJ543" t="n">
        <v>0</v>
      </c>
      <c r="AK543" t="n">
        <v>1</v>
      </c>
      <c r="AL543" t="n">
        <v>0</v>
      </c>
      <c r="AM543" t="n">
        <v>1</v>
      </c>
      <c r="AN543" t="n">
        <v>0</v>
      </c>
      <c r="AO543" t="n">
        <v>0</v>
      </c>
      <c r="AP543" t="n">
        <v>0</v>
      </c>
      <c r="AQ543" t="n">
        <v>0</v>
      </c>
      <c r="AR543" t="inlineStr">
        <is>
          <t>No</t>
        </is>
      </c>
      <c r="AS543" t="inlineStr">
        <is>
          <t>Yes</t>
        </is>
      </c>
      <c r="AT543">
        <f>HYPERLINK("http://catalog.hathitrust.org/Record/002235191","HathiTrust Record")</f>
        <v/>
      </c>
      <c r="AU543">
        <f>HYPERLINK("https://creighton-primo.hosted.exlibrisgroup.com/primo-explore/search?tab=default_tab&amp;search_scope=EVERYTHING&amp;vid=01CRU&amp;lang=en_US&amp;offset=0&amp;query=any,contains,991000772139702656","Catalog Record")</f>
        <v/>
      </c>
      <c r="AV543">
        <f>HYPERLINK("http://www.worldcat.org/oclc/21336618","WorldCat Record")</f>
        <v/>
      </c>
      <c r="AW543" t="inlineStr">
        <is>
          <t>571860:eng</t>
        </is>
      </c>
      <c r="AX543" t="inlineStr">
        <is>
          <t>21336618</t>
        </is>
      </c>
      <c r="AY543" t="inlineStr">
        <is>
          <t>991000772139702656</t>
        </is>
      </c>
      <c r="AZ543" t="inlineStr">
        <is>
          <t>991000772139702656</t>
        </is>
      </c>
      <c r="BA543" t="inlineStr">
        <is>
          <t>2263360840002656</t>
        </is>
      </c>
      <c r="BB543" t="inlineStr">
        <is>
          <t>BOOK</t>
        </is>
      </c>
      <c r="BD543" t="inlineStr">
        <is>
          <t>9780812113419</t>
        </is>
      </c>
      <c r="BE543" t="inlineStr">
        <is>
          <t>30001002062398</t>
        </is>
      </c>
      <c r="BF543" t="inlineStr">
        <is>
          <t>893368492</t>
        </is>
      </c>
    </row>
    <row r="544">
      <c r="B544" t="inlineStr">
        <is>
          <t>CUHSL</t>
        </is>
      </c>
      <c r="C544" t="inlineStr">
        <is>
          <t>SHELVES</t>
        </is>
      </c>
      <c r="D544" t="inlineStr">
        <is>
          <t>QV 736 C456 1993</t>
        </is>
      </c>
      <c r="E544" t="inlineStr">
        <is>
          <t>0                      QV 0736000C  456         1993</t>
        </is>
      </c>
      <c r="F544" t="inlineStr">
        <is>
          <t>The Changing environment for U.S. pharmaceuticals : the role of pharmaceutical companies in a systems approach to health care : a report / prepared by The Boston Consulting Group, Inc. ; sponsored by Pfizer Inc.</t>
        </is>
      </c>
      <c r="H544" t="inlineStr">
        <is>
          <t>No</t>
        </is>
      </c>
      <c r="I544" t="inlineStr">
        <is>
          <t>1</t>
        </is>
      </c>
      <c r="J544" t="inlineStr">
        <is>
          <t>No</t>
        </is>
      </c>
      <c r="K544" t="inlineStr">
        <is>
          <t>No</t>
        </is>
      </c>
      <c r="L544" t="inlineStr">
        <is>
          <t>0</t>
        </is>
      </c>
      <c r="N544" t="inlineStr">
        <is>
          <t>[Boston] : The Group, 1993.</t>
        </is>
      </c>
      <c r="O544" t="inlineStr">
        <is>
          <t>1993</t>
        </is>
      </c>
      <c r="Q544" t="inlineStr">
        <is>
          <t>eng</t>
        </is>
      </c>
      <c r="R544" t="inlineStr">
        <is>
          <t>mau</t>
        </is>
      </c>
      <c r="T544" t="inlineStr">
        <is>
          <t xml:space="preserve">QV </t>
        </is>
      </c>
      <c r="U544" t="n">
        <v>4</v>
      </c>
      <c r="V544" t="n">
        <v>4</v>
      </c>
      <c r="W544" t="inlineStr">
        <is>
          <t>2006-10-03</t>
        </is>
      </c>
      <c r="X544" t="inlineStr">
        <is>
          <t>2006-10-03</t>
        </is>
      </c>
      <c r="Y544" t="inlineStr">
        <is>
          <t>1993-06-03</t>
        </is>
      </c>
      <c r="Z544" t="inlineStr">
        <is>
          <t>1993-06-03</t>
        </is>
      </c>
      <c r="AA544" t="n">
        <v>147</v>
      </c>
      <c r="AB544" t="n">
        <v>144</v>
      </c>
      <c r="AC544" t="n">
        <v>144</v>
      </c>
      <c r="AD544" t="n">
        <v>1</v>
      </c>
      <c r="AE544" t="n">
        <v>1</v>
      </c>
      <c r="AF544" t="n">
        <v>12</v>
      </c>
      <c r="AG544" t="n">
        <v>12</v>
      </c>
      <c r="AH544" t="n">
        <v>3</v>
      </c>
      <c r="AI544" t="n">
        <v>3</v>
      </c>
      <c r="AJ544" t="n">
        <v>3</v>
      </c>
      <c r="AK544" t="n">
        <v>3</v>
      </c>
      <c r="AL544" t="n">
        <v>4</v>
      </c>
      <c r="AM544" t="n">
        <v>4</v>
      </c>
      <c r="AN544" t="n">
        <v>0</v>
      </c>
      <c r="AO544" t="n">
        <v>0</v>
      </c>
      <c r="AP544" t="n">
        <v>4</v>
      </c>
      <c r="AQ544" t="n">
        <v>4</v>
      </c>
      <c r="AR544" t="inlineStr">
        <is>
          <t>No</t>
        </is>
      </c>
      <c r="AS544" t="inlineStr">
        <is>
          <t>No</t>
        </is>
      </c>
      <c r="AU544">
        <f>HYPERLINK("https://creighton-primo.hosted.exlibrisgroup.com/primo-explore/search?tab=default_tab&amp;search_scope=EVERYTHING&amp;vid=01CRU&amp;lang=en_US&amp;offset=0&amp;query=any,contains,991001508909702656","Catalog Record")</f>
        <v/>
      </c>
      <c r="AV544">
        <f>HYPERLINK("http://www.worldcat.org/oclc/28132018","WorldCat Record")</f>
        <v/>
      </c>
      <c r="AW544" t="inlineStr">
        <is>
          <t>2287772501:eng</t>
        </is>
      </c>
      <c r="AX544" t="inlineStr">
        <is>
          <t>28132018</t>
        </is>
      </c>
      <c r="AY544" t="inlineStr">
        <is>
          <t>991001508909702656</t>
        </is>
      </c>
      <c r="AZ544" t="inlineStr">
        <is>
          <t>991001508909702656</t>
        </is>
      </c>
      <c r="BA544" t="inlineStr">
        <is>
          <t>2255919130002656</t>
        </is>
      </c>
      <c r="BB544" t="inlineStr">
        <is>
          <t>BOOK</t>
        </is>
      </c>
      <c r="BE544" t="inlineStr">
        <is>
          <t>30001002600353</t>
        </is>
      </c>
      <c r="BF544" t="inlineStr">
        <is>
          <t>893727717</t>
        </is>
      </c>
    </row>
    <row r="545">
      <c r="B545" t="inlineStr">
        <is>
          <t>CUHSL</t>
        </is>
      </c>
      <c r="C545" t="inlineStr">
        <is>
          <t>SHELVES</t>
        </is>
      </c>
      <c r="D545" t="inlineStr">
        <is>
          <t>QV 736 G273m</t>
        </is>
      </c>
      <c r="E545" t="inlineStr">
        <is>
          <t>0                      QV 0736000G  273m</t>
        </is>
      </c>
      <c r="F545" t="inlineStr">
        <is>
          <t>Medicines for the masses : a window on pharmaceutical industry / by Madan Gaur.</t>
        </is>
      </c>
      <c r="H545" t="inlineStr">
        <is>
          <t>No</t>
        </is>
      </c>
      <c r="I545" t="inlineStr">
        <is>
          <t>1</t>
        </is>
      </c>
      <c r="J545" t="inlineStr">
        <is>
          <t>No</t>
        </is>
      </c>
      <c r="K545" t="inlineStr">
        <is>
          <t>No</t>
        </is>
      </c>
      <c r="L545" t="inlineStr">
        <is>
          <t>0</t>
        </is>
      </c>
      <c r="M545" t="inlineStr">
        <is>
          <t>Gaur, Madan, 1933-</t>
        </is>
      </c>
      <c r="N545" t="inlineStr">
        <is>
          <t>Bombay : Press &amp; P.R. Services, [1981?].</t>
        </is>
      </c>
      <c r="O545" t="inlineStr">
        <is>
          <t>1981</t>
        </is>
      </c>
      <c r="Q545" t="inlineStr">
        <is>
          <t>eng</t>
        </is>
      </c>
      <c r="R545" t="inlineStr">
        <is>
          <t xml:space="preserve">ii </t>
        </is>
      </c>
      <c r="T545" t="inlineStr">
        <is>
          <t xml:space="preserve">QV </t>
        </is>
      </c>
      <c r="U545" t="n">
        <v>3</v>
      </c>
      <c r="V545" t="n">
        <v>3</v>
      </c>
      <c r="W545" t="inlineStr">
        <is>
          <t>2002-07-08</t>
        </is>
      </c>
      <c r="X545" t="inlineStr">
        <is>
          <t>2002-07-08</t>
        </is>
      </c>
      <c r="Y545" t="inlineStr">
        <is>
          <t>1988-02-09</t>
        </is>
      </c>
      <c r="Z545" t="inlineStr">
        <is>
          <t>1988-02-09</t>
        </is>
      </c>
      <c r="AA545" t="n">
        <v>32</v>
      </c>
      <c r="AB545" t="n">
        <v>27</v>
      </c>
      <c r="AC545" t="n">
        <v>29</v>
      </c>
      <c r="AD545" t="n">
        <v>1</v>
      </c>
      <c r="AE545" t="n">
        <v>1</v>
      </c>
      <c r="AF545" t="n">
        <v>0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0</v>
      </c>
      <c r="AM545" t="n">
        <v>0</v>
      </c>
      <c r="AN545" t="n">
        <v>0</v>
      </c>
      <c r="AO545" t="n">
        <v>0</v>
      </c>
      <c r="AP545" t="n">
        <v>0</v>
      </c>
      <c r="AQ545" t="n">
        <v>0</v>
      </c>
      <c r="AR545" t="inlineStr">
        <is>
          <t>No</t>
        </is>
      </c>
      <c r="AS545" t="inlineStr">
        <is>
          <t>Yes</t>
        </is>
      </c>
      <c r="AT545">
        <f>HYPERLINK("http://catalog.hathitrust.org/Record/000486286","HathiTrust Record")</f>
        <v/>
      </c>
      <c r="AU545">
        <f>HYPERLINK("https://creighton-primo.hosted.exlibrisgroup.com/primo-explore/search?tab=default_tab&amp;search_scope=EVERYTHING&amp;vid=01CRU&amp;lang=en_US&amp;offset=0&amp;query=any,contains,991000965119702656","Catalog Record")</f>
        <v/>
      </c>
      <c r="AV545">
        <f>HYPERLINK("http://www.worldcat.org/oclc/9206403","WorldCat Record")</f>
        <v/>
      </c>
      <c r="AW545" t="inlineStr">
        <is>
          <t>42849178:eng</t>
        </is>
      </c>
      <c r="AX545" t="inlineStr">
        <is>
          <t>9206403</t>
        </is>
      </c>
      <c r="AY545" t="inlineStr">
        <is>
          <t>991000965119702656</t>
        </is>
      </c>
      <c r="AZ545" t="inlineStr">
        <is>
          <t>991000965119702656</t>
        </is>
      </c>
      <c r="BA545" t="inlineStr">
        <is>
          <t>2267145210002656</t>
        </is>
      </c>
      <c r="BB545" t="inlineStr">
        <is>
          <t>BOOK</t>
        </is>
      </c>
      <c r="BE545" t="inlineStr">
        <is>
          <t>30001000199598</t>
        </is>
      </c>
      <c r="BF545" t="inlineStr">
        <is>
          <t>893643084</t>
        </is>
      </c>
    </row>
    <row r="546">
      <c r="B546" t="inlineStr">
        <is>
          <t>CUHSL</t>
        </is>
      </c>
      <c r="C546" t="inlineStr">
        <is>
          <t>SHELVES</t>
        </is>
      </c>
      <c r="D546" t="inlineStr">
        <is>
          <t>QV 736 L439r 2003</t>
        </is>
      </c>
      <c r="E546" t="inlineStr">
        <is>
          <t>0                      QV 0736000L  439r        2003</t>
        </is>
      </c>
      <c r="F546" t="inlineStr">
        <is>
          <t>The real drug abusers / Fred Leavitt.</t>
        </is>
      </c>
      <c r="H546" t="inlineStr">
        <is>
          <t>No</t>
        </is>
      </c>
      <c r="I546" t="inlineStr">
        <is>
          <t>1</t>
        </is>
      </c>
      <c r="J546" t="inlineStr">
        <is>
          <t>No</t>
        </is>
      </c>
      <c r="K546" t="inlineStr">
        <is>
          <t>No</t>
        </is>
      </c>
      <c r="L546" t="inlineStr">
        <is>
          <t>1</t>
        </is>
      </c>
      <c r="M546" t="inlineStr">
        <is>
          <t>Leavitt, Fred.</t>
        </is>
      </c>
      <c r="N546" t="inlineStr">
        <is>
          <t>Lanham, Md. : Rowman &amp; Littlefield Publishers, c2003.</t>
        </is>
      </c>
      <c r="O546" t="inlineStr">
        <is>
          <t>2003</t>
        </is>
      </c>
      <c r="Q546" t="inlineStr">
        <is>
          <t>eng</t>
        </is>
      </c>
      <c r="R546" t="inlineStr">
        <is>
          <t>mdu</t>
        </is>
      </c>
      <c r="T546" t="inlineStr">
        <is>
          <t xml:space="preserve">QV </t>
        </is>
      </c>
      <c r="U546" t="n">
        <v>0</v>
      </c>
      <c r="V546" t="n">
        <v>0</v>
      </c>
      <c r="W546" t="inlineStr">
        <is>
          <t>2004-09-24</t>
        </is>
      </c>
      <c r="X546" t="inlineStr">
        <is>
          <t>2004-09-24</t>
        </is>
      </c>
      <c r="Y546" t="inlineStr">
        <is>
          <t>2004-09-24</t>
        </is>
      </c>
      <c r="Z546" t="inlineStr">
        <is>
          <t>2004-09-24</t>
        </is>
      </c>
      <c r="AA546" t="n">
        <v>347</v>
      </c>
      <c r="AB546" t="n">
        <v>309</v>
      </c>
      <c r="AC546" t="n">
        <v>777</v>
      </c>
      <c r="AD546" t="n">
        <v>1</v>
      </c>
      <c r="AE546" t="n">
        <v>12</v>
      </c>
      <c r="AF546" t="n">
        <v>10</v>
      </c>
      <c r="AG546" t="n">
        <v>32</v>
      </c>
      <c r="AH546" t="n">
        <v>5</v>
      </c>
      <c r="AI546" t="n">
        <v>11</v>
      </c>
      <c r="AJ546" t="n">
        <v>3</v>
      </c>
      <c r="AK546" t="n">
        <v>8</v>
      </c>
      <c r="AL546" t="n">
        <v>6</v>
      </c>
      <c r="AM546" t="n">
        <v>9</v>
      </c>
      <c r="AN546" t="n">
        <v>0</v>
      </c>
      <c r="AO546" t="n">
        <v>10</v>
      </c>
      <c r="AP546" t="n">
        <v>1</v>
      </c>
      <c r="AQ546" t="n">
        <v>2</v>
      </c>
      <c r="AR546" t="inlineStr">
        <is>
          <t>No</t>
        </is>
      </c>
      <c r="AS546" t="inlineStr">
        <is>
          <t>Yes</t>
        </is>
      </c>
      <c r="AT546">
        <f>HYPERLINK("http://catalog.hathitrust.org/Record/004324306","HathiTrust Record")</f>
        <v/>
      </c>
      <c r="AU546">
        <f>HYPERLINK("https://creighton-primo.hosted.exlibrisgroup.com/primo-explore/search?tab=default_tab&amp;search_scope=EVERYTHING&amp;vid=01CRU&amp;lang=en_US&amp;offset=0&amp;query=any,contains,991000395799702656","Catalog Record")</f>
        <v/>
      </c>
      <c r="AV546">
        <f>HYPERLINK("http://www.worldcat.org/oclc/51216484","WorldCat Record")</f>
        <v/>
      </c>
      <c r="AW546" t="inlineStr">
        <is>
          <t>740250:eng</t>
        </is>
      </c>
      <c r="AX546" t="inlineStr">
        <is>
          <t>51216484</t>
        </is>
      </c>
      <c r="AY546" t="inlineStr">
        <is>
          <t>991000395799702656</t>
        </is>
      </c>
      <c r="AZ546" t="inlineStr">
        <is>
          <t>991000395799702656</t>
        </is>
      </c>
      <c r="BA546" t="inlineStr">
        <is>
          <t>2270482050002656</t>
        </is>
      </c>
      <c r="BB546" t="inlineStr">
        <is>
          <t>BOOK</t>
        </is>
      </c>
      <c r="BD546" t="inlineStr">
        <is>
          <t>9780742525177</t>
        </is>
      </c>
      <c r="BE546" t="inlineStr">
        <is>
          <t>30001004978740</t>
        </is>
      </c>
      <c r="BF546" t="inlineStr">
        <is>
          <t>893817069</t>
        </is>
      </c>
    </row>
    <row r="547">
      <c r="B547" t="inlineStr">
        <is>
          <t>CUHSL</t>
        </is>
      </c>
      <c r="C547" t="inlineStr">
        <is>
          <t>SHELVES</t>
        </is>
      </c>
      <c r="D547" t="inlineStr">
        <is>
          <t>QV 736 M339p 1980</t>
        </is>
      </c>
      <c r="E547" t="inlineStr">
        <is>
          <t>0                      QV 0736000M  339p        1980</t>
        </is>
      </c>
      <c r="F547" t="inlineStr">
        <is>
          <t>Principles of pharmaceutical accounting / Francis A. Marino, Edward J. Zabloski, Colman M. Herman.</t>
        </is>
      </c>
      <c r="H547" t="inlineStr">
        <is>
          <t>No</t>
        </is>
      </c>
      <c r="I547" t="inlineStr">
        <is>
          <t>1</t>
        </is>
      </c>
      <c r="J547" t="inlineStr">
        <is>
          <t>No</t>
        </is>
      </c>
      <c r="K547" t="inlineStr">
        <is>
          <t>No</t>
        </is>
      </c>
      <c r="L547" t="inlineStr">
        <is>
          <t>0</t>
        </is>
      </c>
      <c r="M547" t="inlineStr">
        <is>
          <t>Marino, Francis A.</t>
        </is>
      </c>
      <c r="N547" t="inlineStr">
        <is>
          <t>Philadelphia : Lea &amp; Febiger, c1980.</t>
        </is>
      </c>
      <c r="O547" t="inlineStr">
        <is>
          <t>1980</t>
        </is>
      </c>
      <c r="Q547" t="inlineStr">
        <is>
          <t>eng</t>
        </is>
      </c>
      <c r="R547" t="inlineStr">
        <is>
          <t>xxu</t>
        </is>
      </c>
      <c r="T547" t="inlineStr">
        <is>
          <t xml:space="preserve">QV </t>
        </is>
      </c>
      <c r="U547" t="n">
        <v>7</v>
      </c>
      <c r="V547" t="n">
        <v>7</v>
      </c>
      <c r="W547" t="inlineStr">
        <is>
          <t>1989-11-04</t>
        </is>
      </c>
      <c r="X547" t="inlineStr">
        <is>
          <t>1989-11-04</t>
        </is>
      </c>
      <c r="Y547" t="inlineStr">
        <is>
          <t>1987-09-28</t>
        </is>
      </c>
      <c r="Z547" t="inlineStr">
        <is>
          <t>1987-09-28</t>
        </is>
      </c>
      <c r="AA547" t="n">
        <v>92</v>
      </c>
      <c r="AB547" t="n">
        <v>70</v>
      </c>
      <c r="AC547" t="n">
        <v>74</v>
      </c>
      <c r="AD547" t="n">
        <v>1</v>
      </c>
      <c r="AE547" t="n">
        <v>1</v>
      </c>
      <c r="AF547" t="n">
        <v>3</v>
      </c>
      <c r="AG547" t="n">
        <v>3</v>
      </c>
      <c r="AH547" t="n">
        <v>1</v>
      </c>
      <c r="AI547" t="n">
        <v>1</v>
      </c>
      <c r="AJ547" t="n">
        <v>1</v>
      </c>
      <c r="AK547" t="n">
        <v>1</v>
      </c>
      <c r="AL547" t="n">
        <v>1</v>
      </c>
      <c r="AM547" t="n">
        <v>1</v>
      </c>
      <c r="AN547" t="n">
        <v>0</v>
      </c>
      <c r="AO547" t="n">
        <v>0</v>
      </c>
      <c r="AP547" t="n">
        <v>0</v>
      </c>
      <c r="AQ547" t="n">
        <v>0</v>
      </c>
      <c r="AR547" t="inlineStr">
        <is>
          <t>No</t>
        </is>
      </c>
      <c r="AS547" t="inlineStr">
        <is>
          <t>Yes</t>
        </is>
      </c>
      <c r="AT547">
        <f>HYPERLINK("http://catalog.hathitrust.org/Record/000740517","HathiTrust Record")</f>
        <v/>
      </c>
      <c r="AU547">
        <f>HYPERLINK("https://creighton-primo.hosted.exlibrisgroup.com/primo-explore/search?tab=default_tab&amp;search_scope=EVERYTHING&amp;vid=01CRU&amp;lang=en_US&amp;offset=0&amp;query=any,contains,991000748209702656","Catalog Record")</f>
        <v/>
      </c>
      <c r="AV547">
        <f>HYPERLINK("http://www.worldcat.org/oclc/5353409","WorldCat Record")</f>
        <v/>
      </c>
      <c r="AW547" t="inlineStr">
        <is>
          <t>17125861:eng</t>
        </is>
      </c>
      <c r="AX547" t="inlineStr">
        <is>
          <t>5353409</t>
        </is>
      </c>
      <c r="AY547" t="inlineStr">
        <is>
          <t>991000748209702656</t>
        </is>
      </c>
      <c r="AZ547" t="inlineStr">
        <is>
          <t>991000748209702656</t>
        </is>
      </c>
      <c r="BA547" t="inlineStr">
        <is>
          <t>2256440110002656</t>
        </is>
      </c>
      <c r="BB547" t="inlineStr">
        <is>
          <t>BOOK</t>
        </is>
      </c>
      <c r="BD547" t="inlineStr">
        <is>
          <t>9780812106343</t>
        </is>
      </c>
      <c r="BE547" t="inlineStr">
        <is>
          <t>30001000046575</t>
        </is>
      </c>
      <c r="BF547" t="inlineStr">
        <is>
          <t>893459777</t>
        </is>
      </c>
    </row>
    <row r="548">
      <c r="B548" t="inlineStr">
        <is>
          <t>CUHSL</t>
        </is>
      </c>
      <c r="C548" t="inlineStr">
        <is>
          <t>SHELVES</t>
        </is>
      </c>
      <c r="D548" t="inlineStr">
        <is>
          <t>QV 736 N717d 1941</t>
        </is>
      </c>
      <c r="E548" t="inlineStr">
        <is>
          <t>0                      QV 0736000N  717d        1941</t>
        </is>
      </c>
      <c r="F548" t="inlineStr">
        <is>
          <t>Drug store management / by Herman C. Nolen and Harold H. Maynard.</t>
        </is>
      </c>
      <c r="H548" t="inlineStr">
        <is>
          <t>No</t>
        </is>
      </c>
      <c r="I548" t="inlineStr">
        <is>
          <t>1</t>
        </is>
      </c>
      <c r="J548" t="inlineStr">
        <is>
          <t>No</t>
        </is>
      </c>
      <c r="K548" t="inlineStr">
        <is>
          <t>No</t>
        </is>
      </c>
      <c r="L548" t="inlineStr">
        <is>
          <t>0</t>
        </is>
      </c>
      <c r="M548" t="inlineStr">
        <is>
          <t>Nolen, Herman C. (Herman Christian), 1901-1993.</t>
        </is>
      </c>
      <c r="N548" t="inlineStr">
        <is>
          <t>New York : McGraw-Hill, c1941.</t>
        </is>
      </c>
      <c r="O548" t="inlineStr">
        <is>
          <t>1941</t>
        </is>
      </c>
      <c r="P548" t="inlineStr">
        <is>
          <t>1st ed.</t>
        </is>
      </c>
      <c r="Q548" t="inlineStr">
        <is>
          <t>eng</t>
        </is>
      </c>
      <c r="R548" t="inlineStr">
        <is>
          <t>nyu</t>
        </is>
      </c>
      <c r="T548" t="inlineStr">
        <is>
          <t xml:space="preserve">QV </t>
        </is>
      </c>
      <c r="U548" t="n">
        <v>1</v>
      </c>
      <c r="V548" t="n">
        <v>1</v>
      </c>
      <c r="W548" t="inlineStr">
        <is>
          <t>1988-12-07</t>
        </is>
      </c>
      <c r="X548" t="inlineStr">
        <is>
          <t>1988-12-07</t>
        </is>
      </c>
      <c r="Y548" t="inlineStr">
        <is>
          <t>1988-02-09</t>
        </is>
      </c>
      <c r="Z548" t="inlineStr">
        <is>
          <t>1988-02-09</t>
        </is>
      </c>
      <c r="AA548" t="n">
        <v>119</v>
      </c>
      <c r="AB548" t="n">
        <v>104</v>
      </c>
      <c r="AC548" t="n">
        <v>112</v>
      </c>
      <c r="AD548" t="n">
        <v>1</v>
      </c>
      <c r="AE548" t="n">
        <v>1</v>
      </c>
      <c r="AF548" t="n">
        <v>3</v>
      </c>
      <c r="AG548" t="n">
        <v>3</v>
      </c>
      <c r="AH548" t="n">
        <v>1</v>
      </c>
      <c r="AI548" t="n">
        <v>1</v>
      </c>
      <c r="AJ548" t="n">
        <v>1</v>
      </c>
      <c r="AK548" t="n">
        <v>1</v>
      </c>
      <c r="AL548" t="n">
        <v>2</v>
      </c>
      <c r="AM548" t="n">
        <v>2</v>
      </c>
      <c r="AN548" t="n">
        <v>0</v>
      </c>
      <c r="AO548" t="n">
        <v>0</v>
      </c>
      <c r="AP548" t="n">
        <v>0</v>
      </c>
      <c r="AQ548" t="n">
        <v>0</v>
      </c>
      <c r="AR548" t="inlineStr">
        <is>
          <t>Yes</t>
        </is>
      </c>
      <c r="AS548" t="inlineStr">
        <is>
          <t>No</t>
        </is>
      </c>
      <c r="AT548">
        <f>HYPERLINK("http://catalog.hathitrust.org/Record/001573684","HathiTrust Record")</f>
        <v/>
      </c>
      <c r="AU548">
        <f>HYPERLINK("https://creighton-primo.hosted.exlibrisgroup.com/primo-explore/search?tab=default_tab&amp;search_scope=EVERYTHING&amp;vid=01CRU&amp;lang=en_US&amp;offset=0&amp;query=any,contains,991000965299702656","Catalog Record")</f>
        <v/>
      </c>
      <c r="AV548">
        <f>HYPERLINK("http://www.worldcat.org/oclc/2545598","WorldCat Record")</f>
        <v/>
      </c>
      <c r="AW548" t="inlineStr">
        <is>
          <t>5676289:eng</t>
        </is>
      </c>
      <c r="AX548" t="inlineStr">
        <is>
          <t>2545598</t>
        </is>
      </c>
      <c r="AY548" t="inlineStr">
        <is>
          <t>991000965299702656</t>
        </is>
      </c>
      <c r="AZ548" t="inlineStr">
        <is>
          <t>991000965299702656</t>
        </is>
      </c>
      <c r="BA548" t="inlineStr">
        <is>
          <t>2270658990002656</t>
        </is>
      </c>
      <c r="BB548" t="inlineStr">
        <is>
          <t>BOOK</t>
        </is>
      </c>
      <c r="BE548" t="inlineStr">
        <is>
          <t>30001000199762</t>
        </is>
      </c>
      <c r="BF548" t="inlineStr">
        <is>
          <t>893643085</t>
        </is>
      </c>
    </row>
    <row r="549">
      <c r="B549" t="inlineStr">
        <is>
          <t>CUHSL</t>
        </is>
      </c>
      <c r="C549" t="inlineStr">
        <is>
          <t>SHELVES</t>
        </is>
      </c>
      <c r="D549" t="inlineStr">
        <is>
          <t>QV736 P142p 2005</t>
        </is>
      </c>
      <c r="E549" t="inlineStr">
        <is>
          <t>0                      QV 0736000P  142p        2005</t>
        </is>
      </c>
      <c r="F549" t="inlineStr">
        <is>
          <t>Pharmaceutical product strategy : using dynamic modeling for effective brand planning / Mark Paich, Corey Peck, and Jason Valant.</t>
        </is>
      </c>
      <c r="H549" t="inlineStr">
        <is>
          <t>No</t>
        </is>
      </c>
      <c r="I549" t="inlineStr">
        <is>
          <t>1</t>
        </is>
      </c>
      <c r="J549" t="inlineStr">
        <is>
          <t>No</t>
        </is>
      </c>
      <c r="K549" t="inlineStr">
        <is>
          <t>No</t>
        </is>
      </c>
      <c r="L549" t="inlineStr">
        <is>
          <t>0</t>
        </is>
      </c>
      <c r="M549" t="inlineStr">
        <is>
          <t>Paich, Mark.</t>
        </is>
      </c>
      <c r="N549" t="inlineStr">
        <is>
          <t>Boca Raton, FL : Interpharm/CRC 2004.</t>
        </is>
      </c>
      <c r="O549" t="inlineStr">
        <is>
          <t>2005</t>
        </is>
      </c>
      <c r="Q549" t="inlineStr">
        <is>
          <t>eng</t>
        </is>
      </c>
      <c r="R549" t="inlineStr">
        <is>
          <t>nyu</t>
        </is>
      </c>
      <c r="T549" t="inlineStr">
        <is>
          <t xml:space="preserve">QV </t>
        </is>
      </c>
      <c r="U549" t="n">
        <v>0</v>
      </c>
      <c r="V549" t="n">
        <v>0</v>
      </c>
      <c r="W549" t="inlineStr">
        <is>
          <t>2006-02-07</t>
        </is>
      </c>
      <c r="X549" t="inlineStr">
        <is>
          <t>2006-02-07</t>
        </is>
      </c>
      <c r="Y549" t="inlineStr">
        <is>
          <t>2006-02-06</t>
        </is>
      </c>
      <c r="Z549" t="inlineStr">
        <is>
          <t>2006-02-06</t>
        </is>
      </c>
      <c r="AA549" t="n">
        <v>96</v>
      </c>
      <c r="AB549" t="n">
        <v>69</v>
      </c>
      <c r="AC549" t="n">
        <v>96</v>
      </c>
      <c r="AD549" t="n">
        <v>2</v>
      </c>
      <c r="AE549" t="n">
        <v>2</v>
      </c>
      <c r="AF549" t="n">
        <v>2</v>
      </c>
      <c r="AG549" t="n">
        <v>2</v>
      </c>
      <c r="AH549" t="n">
        <v>0</v>
      </c>
      <c r="AI549" t="n">
        <v>0</v>
      </c>
      <c r="AJ549" t="n">
        <v>1</v>
      </c>
      <c r="AK549" t="n">
        <v>1</v>
      </c>
      <c r="AL549" t="n">
        <v>1</v>
      </c>
      <c r="AM549" t="n">
        <v>1</v>
      </c>
      <c r="AN549" t="n">
        <v>1</v>
      </c>
      <c r="AO549" t="n">
        <v>1</v>
      </c>
      <c r="AP549" t="n">
        <v>0</v>
      </c>
      <c r="AQ549" t="n">
        <v>0</v>
      </c>
      <c r="AR549" t="inlineStr">
        <is>
          <t>No</t>
        </is>
      </c>
      <c r="AS549" t="inlineStr">
        <is>
          <t>No</t>
        </is>
      </c>
      <c r="AU549">
        <f>HYPERLINK("https://creighton-primo.hosted.exlibrisgroup.com/primo-explore/search?tab=default_tab&amp;search_scope=EVERYTHING&amp;vid=01CRU&amp;lang=en_US&amp;offset=0&amp;query=any,contains,991000462989702656","Catalog Record")</f>
        <v/>
      </c>
      <c r="AV549">
        <f>HYPERLINK("http://www.worldcat.org/oclc/56068953","WorldCat Record")</f>
        <v/>
      </c>
      <c r="AW549" t="inlineStr">
        <is>
          <t>970780:eng</t>
        </is>
      </c>
      <c r="AX549" t="inlineStr">
        <is>
          <t>56068953</t>
        </is>
      </c>
      <c r="AY549" t="inlineStr">
        <is>
          <t>991000462989702656</t>
        </is>
      </c>
      <c r="AZ549" t="inlineStr">
        <is>
          <t>991000462989702656</t>
        </is>
      </c>
      <c r="BA549" t="inlineStr">
        <is>
          <t>2272148030002656</t>
        </is>
      </c>
      <c r="BB549" t="inlineStr">
        <is>
          <t>BOOK</t>
        </is>
      </c>
      <c r="BD549" t="inlineStr">
        <is>
          <t>9780849327292</t>
        </is>
      </c>
      <c r="BE549" t="inlineStr">
        <is>
          <t>30001004913408</t>
        </is>
      </c>
      <c r="BF549" t="inlineStr">
        <is>
          <t>893354378</t>
        </is>
      </c>
    </row>
    <row r="550">
      <c r="B550" t="inlineStr">
        <is>
          <t>CUHSL</t>
        </is>
      </c>
      <c r="C550" t="inlineStr">
        <is>
          <t>SHELVES</t>
        </is>
      </c>
      <c r="D550" t="inlineStr">
        <is>
          <t>QV 736 P361d 1926</t>
        </is>
      </c>
      <c r="E550" t="inlineStr">
        <is>
          <t>0                      QV 0736000P  361d        1926</t>
        </is>
      </c>
      <c r="F550" t="inlineStr">
        <is>
          <t>Drug store business methods : a text-book on commercial pharmacy / by Charles W. Pearson.</t>
        </is>
      </c>
      <c r="H550" t="inlineStr">
        <is>
          <t>No</t>
        </is>
      </c>
      <c r="I550" t="inlineStr">
        <is>
          <t>1</t>
        </is>
      </c>
      <c r="J550" t="inlineStr">
        <is>
          <t>No</t>
        </is>
      </c>
      <c r="K550" t="inlineStr">
        <is>
          <t>No</t>
        </is>
      </c>
      <c r="L550" t="inlineStr">
        <is>
          <t>0</t>
        </is>
      </c>
      <c r="M550" t="inlineStr">
        <is>
          <t>Pearson, Charles W.</t>
        </is>
      </c>
      <c r="N550" t="inlineStr">
        <is>
          <t>Philadelphia ; New York : Lea &amp; Febiger, 1926.</t>
        </is>
      </c>
      <c r="O550" t="inlineStr">
        <is>
          <t>1926</t>
        </is>
      </c>
      <c r="Q550" t="inlineStr">
        <is>
          <t>eng</t>
        </is>
      </c>
      <c r="R550" t="inlineStr">
        <is>
          <t>pau</t>
        </is>
      </c>
      <c r="T550" t="inlineStr">
        <is>
          <t xml:space="preserve">QV </t>
        </is>
      </c>
      <c r="U550" t="n">
        <v>3</v>
      </c>
      <c r="V550" t="n">
        <v>3</v>
      </c>
      <c r="W550" t="inlineStr">
        <is>
          <t>2002-07-08</t>
        </is>
      </c>
      <c r="X550" t="inlineStr">
        <is>
          <t>2002-07-08</t>
        </is>
      </c>
      <c r="Y550" t="inlineStr">
        <is>
          <t>1988-03-22</t>
        </is>
      </c>
      <c r="Z550" t="inlineStr">
        <is>
          <t>1988-03-22</t>
        </is>
      </c>
      <c r="AA550" t="n">
        <v>24</v>
      </c>
      <c r="AB550" t="n">
        <v>20</v>
      </c>
      <c r="AC550" t="n">
        <v>47</v>
      </c>
      <c r="AD550" t="n">
        <v>1</v>
      </c>
      <c r="AE550" t="n">
        <v>1</v>
      </c>
      <c r="AF550" t="n">
        <v>0</v>
      </c>
      <c r="AG550" t="n">
        <v>1</v>
      </c>
      <c r="AH550" t="n">
        <v>0</v>
      </c>
      <c r="AI550" t="n">
        <v>1</v>
      </c>
      <c r="AJ550" t="n">
        <v>0</v>
      </c>
      <c r="AK550" t="n">
        <v>0</v>
      </c>
      <c r="AL550" t="n">
        <v>0</v>
      </c>
      <c r="AM550" t="n">
        <v>0</v>
      </c>
      <c r="AN550" t="n">
        <v>0</v>
      </c>
      <c r="AO550" t="n">
        <v>0</v>
      </c>
      <c r="AP550" t="n">
        <v>0</v>
      </c>
      <c r="AQ550" t="n">
        <v>0</v>
      </c>
      <c r="AR550" t="inlineStr">
        <is>
          <t>Yes</t>
        </is>
      </c>
      <c r="AS550" t="inlineStr">
        <is>
          <t>No</t>
        </is>
      </c>
      <c r="AT550">
        <f>HYPERLINK("http://catalog.hathitrust.org/Record/001573685","HathiTrust Record")</f>
        <v/>
      </c>
      <c r="AU550">
        <f>HYPERLINK("https://creighton-primo.hosted.exlibrisgroup.com/primo-explore/search?tab=default_tab&amp;search_scope=EVERYTHING&amp;vid=01CRU&amp;lang=en_US&amp;offset=0&amp;query=any,contains,991000965329702656","Catalog Record")</f>
        <v/>
      </c>
      <c r="AV550">
        <f>HYPERLINK("http://www.worldcat.org/oclc/3734394","WorldCat Record")</f>
        <v/>
      </c>
      <c r="AW550" t="inlineStr">
        <is>
          <t>5583530:eng</t>
        </is>
      </c>
      <c r="AX550" t="inlineStr">
        <is>
          <t>3734394</t>
        </is>
      </c>
      <c r="AY550" t="inlineStr">
        <is>
          <t>991000965329702656</t>
        </is>
      </c>
      <c r="AZ550" t="inlineStr">
        <is>
          <t>991000965329702656</t>
        </is>
      </c>
      <c r="BA550" t="inlineStr">
        <is>
          <t>2270154250002656</t>
        </is>
      </c>
      <c r="BB550" t="inlineStr">
        <is>
          <t>BOOK</t>
        </is>
      </c>
      <c r="BE550" t="inlineStr">
        <is>
          <t>30001000199796</t>
        </is>
      </c>
      <c r="BF550" t="inlineStr">
        <is>
          <t>893632574</t>
        </is>
      </c>
    </row>
    <row r="551">
      <c r="B551" t="inlineStr">
        <is>
          <t>CUHSL</t>
        </is>
      </c>
      <c r="C551" t="inlineStr">
        <is>
          <t>SHELVES</t>
        </is>
      </c>
      <c r="D551" t="inlineStr">
        <is>
          <t>QV 736 P536 1990</t>
        </is>
      </c>
      <c r="E551" t="inlineStr">
        <is>
          <t>0                      QV 0736000P  536         1990</t>
        </is>
      </c>
      <c r="F551" t="inlineStr">
        <is>
          <t>The Pharmaceutical industry : transition to the 1990s : speeches from the Annual Meeting, 1990.</t>
        </is>
      </c>
      <c r="H551" t="inlineStr">
        <is>
          <t>No</t>
        </is>
      </c>
      <c r="I551" t="inlineStr">
        <is>
          <t>1</t>
        </is>
      </c>
      <c r="J551" t="inlineStr">
        <is>
          <t>No</t>
        </is>
      </c>
      <c r="K551" t="inlineStr">
        <is>
          <t>No</t>
        </is>
      </c>
      <c r="L551" t="inlineStr">
        <is>
          <t>0</t>
        </is>
      </c>
      <c r="N551" t="inlineStr">
        <is>
          <t>Washington, D.C. : Pharmaceutical Manufacturers Association, [1990]</t>
        </is>
      </c>
      <c r="O551" t="inlineStr">
        <is>
          <t>1990</t>
        </is>
      </c>
      <c r="Q551" t="inlineStr">
        <is>
          <t>eng</t>
        </is>
      </c>
      <c r="R551" t="inlineStr">
        <is>
          <t>dcu</t>
        </is>
      </c>
      <c r="T551" t="inlineStr">
        <is>
          <t xml:space="preserve">QV </t>
        </is>
      </c>
      <c r="U551" t="n">
        <v>1</v>
      </c>
      <c r="V551" t="n">
        <v>1</v>
      </c>
      <c r="W551" t="inlineStr">
        <is>
          <t>1990-10-09</t>
        </is>
      </c>
      <c r="X551" t="inlineStr">
        <is>
          <t>1990-10-09</t>
        </is>
      </c>
      <c r="Y551" t="inlineStr">
        <is>
          <t>1990-10-09</t>
        </is>
      </c>
      <c r="Z551" t="inlineStr">
        <is>
          <t>1990-10-09</t>
        </is>
      </c>
      <c r="AA551" t="n">
        <v>7</v>
      </c>
      <c r="AB551" t="n">
        <v>7</v>
      </c>
      <c r="AC551" t="n">
        <v>7</v>
      </c>
      <c r="AD551" t="n">
        <v>1</v>
      </c>
      <c r="AE551" t="n">
        <v>1</v>
      </c>
      <c r="AF551" t="n">
        <v>0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0</v>
      </c>
      <c r="AM551" t="n">
        <v>0</v>
      </c>
      <c r="AN551" t="n">
        <v>0</v>
      </c>
      <c r="AO551" t="n">
        <v>0</v>
      </c>
      <c r="AP551" t="n">
        <v>0</v>
      </c>
      <c r="AQ551" t="n">
        <v>0</v>
      </c>
      <c r="AR551" t="inlineStr">
        <is>
          <t>No</t>
        </is>
      </c>
      <c r="AS551" t="inlineStr">
        <is>
          <t>No</t>
        </is>
      </c>
      <c r="AU551">
        <f>HYPERLINK("https://creighton-primo.hosted.exlibrisgroup.com/primo-explore/search?tab=default_tab&amp;search_scope=EVERYTHING&amp;vid=01CRU&amp;lang=en_US&amp;offset=0&amp;query=any,contains,991000767269702656","Catalog Record")</f>
        <v/>
      </c>
      <c r="AV551">
        <f>HYPERLINK("http://www.worldcat.org/oclc/22174943","WorldCat Record")</f>
        <v/>
      </c>
      <c r="AW551" t="inlineStr">
        <is>
          <t>23344572:eng</t>
        </is>
      </c>
      <c r="AX551" t="inlineStr">
        <is>
          <t>22174943</t>
        </is>
      </c>
      <c r="AY551" t="inlineStr">
        <is>
          <t>991000767269702656</t>
        </is>
      </c>
      <c r="AZ551" t="inlineStr">
        <is>
          <t>991000767269702656</t>
        </is>
      </c>
      <c r="BA551" t="inlineStr">
        <is>
          <t>2257827840002656</t>
        </is>
      </c>
      <c r="BB551" t="inlineStr">
        <is>
          <t>BOOK</t>
        </is>
      </c>
      <c r="BE551" t="inlineStr">
        <is>
          <t>30001002061200</t>
        </is>
      </c>
      <c r="BF551" t="inlineStr">
        <is>
          <t>893148240</t>
        </is>
      </c>
    </row>
    <row r="552">
      <c r="B552" t="inlineStr">
        <is>
          <t>CUHSL</t>
        </is>
      </c>
      <c r="C552" t="inlineStr">
        <is>
          <t>SHELVES</t>
        </is>
      </c>
      <c r="D552" t="inlineStr">
        <is>
          <t>QV 736 P5365 1982</t>
        </is>
      </c>
      <c r="E552" t="inlineStr">
        <is>
          <t>0                      QV 0736000P  5365        1982</t>
        </is>
      </c>
      <c r="F552" t="inlineStr">
        <is>
          <t>Pharmaceuticals in the year 2000 : the changing context for drug R&amp;D / Clement Bezold, editor.</t>
        </is>
      </c>
      <c r="H552" t="inlineStr">
        <is>
          <t>No</t>
        </is>
      </c>
      <c r="I552" t="inlineStr">
        <is>
          <t>1</t>
        </is>
      </c>
      <c r="J552" t="inlineStr">
        <is>
          <t>No</t>
        </is>
      </c>
      <c r="K552" t="inlineStr">
        <is>
          <t>No</t>
        </is>
      </c>
      <c r="L552" t="inlineStr">
        <is>
          <t>0</t>
        </is>
      </c>
      <c r="N552" t="inlineStr">
        <is>
          <t>Alexandria, Va. : Institute for Alternative Futures, c1983.</t>
        </is>
      </c>
      <c r="O552" t="inlineStr">
        <is>
          <t>1983</t>
        </is>
      </c>
      <c r="Q552" t="inlineStr">
        <is>
          <t>eng</t>
        </is>
      </c>
      <c r="R552" t="inlineStr">
        <is>
          <t>xxu</t>
        </is>
      </c>
      <c r="T552" t="inlineStr">
        <is>
          <t xml:space="preserve">QV </t>
        </is>
      </c>
      <c r="U552" t="n">
        <v>7</v>
      </c>
      <c r="V552" t="n">
        <v>7</v>
      </c>
      <c r="W552" t="inlineStr">
        <is>
          <t>2006-10-03</t>
        </is>
      </c>
      <c r="X552" t="inlineStr">
        <is>
          <t>2006-10-03</t>
        </is>
      </c>
      <c r="Y552" t="inlineStr">
        <is>
          <t>1988-02-09</t>
        </is>
      </c>
      <c r="Z552" t="inlineStr">
        <is>
          <t>1988-02-09</t>
        </is>
      </c>
      <c r="AA552" t="n">
        <v>222</v>
      </c>
      <c r="AB552" t="n">
        <v>196</v>
      </c>
      <c r="AC552" t="n">
        <v>198</v>
      </c>
      <c r="AD552" t="n">
        <v>1</v>
      </c>
      <c r="AE552" t="n">
        <v>1</v>
      </c>
      <c r="AF552" t="n">
        <v>7</v>
      </c>
      <c r="AG552" t="n">
        <v>7</v>
      </c>
      <c r="AH552" t="n">
        <v>3</v>
      </c>
      <c r="AI552" t="n">
        <v>3</v>
      </c>
      <c r="AJ552" t="n">
        <v>3</v>
      </c>
      <c r="AK552" t="n">
        <v>3</v>
      </c>
      <c r="AL552" t="n">
        <v>2</v>
      </c>
      <c r="AM552" t="n">
        <v>2</v>
      </c>
      <c r="AN552" t="n">
        <v>0</v>
      </c>
      <c r="AO552" t="n">
        <v>0</v>
      </c>
      <c r="AP552" t="n">
        <v>1</v>
      </c>
      <c r="AQ552" t="n">
        <v>1</v>
      </c>
      <c r="AR552" t="inlineStr">
        <is>
          <t>No</t>
        </is>
      </c>
      <c r="AS552" t="inlineStr">
        <is>
          <t>Yes</t>
        </is>
      </c>
      <c r="AT552">
        <f>HYPERLINK("http://catalog.hathitrust.org/Record/000245654","HathiTrust Record")</f>
        <v/>
      </c>
      <c r="AU552">
        <f>HYPERLINK("https://creighton-primo.hosted.exlibrisgroup.com/primo-explore/search?tab=default_tab&amp;search_scope=EVERYTHING&amp;vid=01CRU&amp;lang=en_US&amp;offset=0&amp;query=any,contains,991000965159702656","Catalog Record")</f>
        <v/>
      </c>
      <c r="AV552">
        <f>HYPERLINK("http://www.worldcat.org/oclc/9442036","WorldCat Record")</f>
        <v/>
      </c>
      <c r="AW552" t="inlineStr">
        <is>
          <t>42981095:eng</t>
        </is>
      </c>
      <c r="AX552" t="inlineStr">
        <is>
          <t>9442036</t>
        </is>
      </c>
      <c r="AY552" t="inlineStr">
        <is>
          <t>991000965159702656</t>
        </is>
      </c>
      <c r="AZ552" t="inlineStr">
        <is>
          <t>991000965159702656</t>
        </is>
      </c>
      <c r="BA552" t="inlineStr">
        <is>
          <t>2263634070002656</t>
        </is>
      </c>
      <c r="BB552" t="inlineStr">
        <is>
          <t>BOOK</t>
        </is>
      </c>
      <c r="BE552" t="inlineStr">
        <is>
          <t>30001000199622</t>
        </is>
      </c>
      <c r="BF552" t="inlineStr">
        <is>
          <t>893284186</t>
        </is>
      </c>
    </row>
    <row r="553">
      <c r="B553" t="inlineStr">
        <is>
          <t>CUHSL</t>
        </is>
      </c>
      <c r="C553" t="inlineStr">
        <is>
          <t>SHELVES</t>
        </is>
      </c>
      <c r="D553" t="inlineStr">
        <is>
          <t>QV 736 S655p 1968</t>
        </is>
      </c>
      <c r="E553" t="inlineStr">
        <is>
          <t>0                      QV 0736000S  655p        1968</t>
        </is>
      </c>
      <c r="F553" t="inlineStr">
        <is>
          <t>Principles of pharmaceutical marketing / Mickey C. Smith ; with chapters contributed by Max A. Fern ... [et al.].</t>
        </is>
      </c>
      <c r="H553" t="inlineStr">
        <is>
          <t>No</t>
        </is>
      </c>
      <c r="I553" t="inlineStr">
        <is>
          <t>1</t>
        </is>
      </c>
      <c r="J553" t="inlineStr">
        <is>
          <t>No</t>
        </is>
      </c>
      <c r="K553" t="inlineStr">
        <is>
          <t>No</t>
        </is>
      </c>
      <c r="L553" t="inlineStr">
        <is>
          <t>0</t>
        </is>
      </c>
      <c r="M553" t="inlineStr">
        <is>
          <t>Smith, Mickey C.</t>
        </is>
      </c>
      <c r="N553" t="inlineStr">
        <is>
          <t>Philadelphia : Lea &amp; Febiger, 1968.</t>
        </is>
      </c>
      <c r="O553" t="inlineStr">
        <is>
          <t>1968</t>
        </is>
      </c>
      <c r="Q553" t="inlineStr">
        <is>
          <t>eng</t>
        </is>
      </c>
      <c r="R553" t="inlineStr">
        <is>
          <t>pau</t>
        </is>
      </c>
      <c r="T553" t="inlineStr">
        <is>
          <t xml:space="preserve">QV </t>
        </is>
      </c>
      <c r="U553" t="n">
        <v>4</v>
      </c>
      <c r="V553" t="n">
        <v>4</v>
      </c>
      <c r="W553" t="inlineStr">
        <is>
          <t>2000-11-10</t>
        </is>
      </c>
      <c r="X553" t="inlineStr">
        <is>
          <t>2000-11-10</t>
        </is>
      </c>
      <c r="Y553" t="inlineStr">
        <is>
          <t>1988-03-22</t>
        </is>
      </c>
      <c r="Z553" t="inlineStr">
        <is>
          <t>1988-03-22</t>
        </is>
      </c>
      <c r="AA553" t="n">
        <v>167</v>
      </c>
      <c r="AB553" t="n">
        <v>135</v>
      </c>
      <c r="AC553" t="n">
        <v>285</v>
      </c>
      <c r="AD553" t="n">
        <v>2</v>
      </c>
      <c r="AE553" t="n">
        <v>2</v>
      </c>
      <c r="AF553" t="n">
        <v>5</v>
      </c>
      <c r="AG553" t="n">
        <v>9</v>
      </c>
      <c r="AH553" t="n">
        <v>2</v>
      </c>
      <c r="AI553" t="n">
        <v>2</v>
      </c>
      <c r="AJ553" t="n">
        <v>2</v>
      </c>
      <c r="AK553" t="n">
        <v>4</v>
      </c>
      <c r="AL553" t="n">
        <v>2</v>
      </c>
      <c r="AM553" t="n">
        <v>5</v>
      </c>
      <c r="AN553" t="n">
        <v>1</v>
      </c>
      <c r="AO553" t="n">
        <v>1</v>
      </c>
      <c r="AP553" t="n">
        <v>0</v>
      </c>
      <c r="AQ553" t="n">
        <v>0</v>
      </c>
      <c r="AR553" t="inlineStr">
        <is>
          <t>No</t>
        </is>
      </c>
      <c r="AS553" t="inlineStr">
        <is>
          <t>Yes</t>
        </is>
      </c>
      <c r="AT553">
        <f>HYPERLINK("http://catalog.hathitrust.org/Record/006703256","HathiTrust Record")</f>
        <v/>
      </c>
      <c r="AU553">
        <f>HYPERLINK("https://creighton-primo.hosted.exlibrisgroup.com/primo-explore/search?tab=default_tab&amp;search_scope=EVERYTHING&amp;vid=01CRU&amp;lang=en_US&amp;offset=0&amp;query=any,contains,991000965369702656","Catalog Record")</f>
        <v/>
      </c>
      <c r="AV553">
        <f>HYPERLINK("http://www.worldcat.org/oclc/546665","WorldCat Record")</f>
        <v/>
      </c>
      <c r="AW553" t="inlineStr">
        <is>
          <t>1579639:eng</t>
        </is>
      </c>
      <c r="AX553" t="inlineStr">
        <is>
          <t>546665</t>
        </is>
      </c>
      <c r="AY553" t="inlineStr">
        <is>
          <t>991000965369702656</t>
        </is>
      </c>
      <c r="AZ553" t="inlineStr">
        <is>
          <t>991000965369702656</t>
        </is>
      </c>
      <c r="BA553" t="inlineStr">
        <is>
          <t>2265034680002656</t>
        </is>
      </c>
      <c r="BB553" t="inlineStr">
        <is>
          <t>BOOK</t>
        </is>
      </c>
      <c r="BE553" t="inlineStr">
        <is>
          <t>30001000199838</t>
        </is>
      </c>
      <c r="BF553" t="inlineStr">
        <is>
          <t>893278531</t>
        </is>
      </c>
    </row>
    <row r="554">
      <c r="B554" t="inlineStr">
        <is>
          <t>CUHSL</t>
        </is>
      </c>
      <c r="C554" t="inlineStr">
        <is>
          <t>SHELVES</t>
        </is>
      </c>
      <c r="D554" t="inlineStr">
        <is>
          <t>QV 736 S655pa 1981</t>
        </is>
      </c>
      <c r="E554" t="inlineStr">
        <is>
          <t>0                      QV 0736000S  655pa       1981</t>
        </is>
      </c>
      <c r="F554" t="inlineStr">
        <is>
          <t>Pharmacy, drugs, and medical care / Mickey C. Smith, David A. Knapp.</t>
        </is>
      </c>
      <c r="H554" t="inlineStr">
        <is>
          <t>No</t>
        </is>
      </c>
      <c r="I554" t="inlineStr">
        <is>
          <t>1</t>
        </is>
      </c>
      <c r="J554" t="inlineStr">
        <is>
          <t>No</t>
        </is>
      </c>
      <c r="K554" t="inlineStr">
        <is>
          <t>No</t>
        </is>
      </c>
      <c r="L554" t="inlineStr">
        <is>
          <t>0</t>
        </is>
      </c>
      <c r="M554" t="inlineStr">
        <is>
          <t>Smith, Mickey C.</t>
        </is>
      </c>
      <c r="N554" t="inlineStr">
        <is>
          <t>Baltimore : Williams &amp; Wilkins, c1981.</t>
        </is>
      </c>
      <c r="O554" t="inlineStr">
        <is>
          <t>1981</t>
        </is>
      </c>
      <c r="P554" t="inlineStr">
        <is>
          <t>3d ed.</t>
        </is>
      </c>
      <c r="Q554" t="inlineStr">
        <is>
          <t>eng</t>
        </is>
      </c>
      <c r="R554" t="inlineStr">
        <is>
          <t>xxu</t>
        </is>
      </c>
      <c r="T554" t="inlineStr">
        <is>
          <t xml:space="preserve">QV </t>
        </is>
      </c>
      <c r="U554" t="n">
        <v>2</v>
      </c>
      <c r="V554" t="n">
        <v>2</v>
      </c>
      <c r="W554" t="inlineStr">
        <is>
          <t>1995-10-06</t>
        </is>
      </c>
      <c r="X554" t="inlineStr">
        <is>
          <t>1995-10-06</t>
        </is>
      </c>
      <c r="Y554" t="inlineStr">
        <is>
          <t>1988-02-09</t>
        </is>
      </c>
      <c r="Z554" t="inlineStr">
        <is>
          <t>1988-02-09</t>
        </is>
      </c>
      <c r="AA554" t="n">
        <v>85</v>
      </c>
      <c r="AB554" t="n">
        <v>61</v>
      </c>
      <c r="AC554" t="n">
        <v>207</v>
      </c>
      <c r="AD554" t="n">
        <v>1</v>
      </c>
      <c r="AE554" t="n">
        <v>3</v>
      </c>
      <c r="AF554" t="n">
        <v>1</v>
      </c>
      <c r="AG554" t="n">
        <v>6</v>
      </c>
      <c r="AH554" t="n">
        <v>0</v>
      </c>
      <c r="AI554" t="n">
        <v>3</v>
      </c>
      <c r="AJ554" t="n">
        <v>1</v>
      </c>
      <c r="AK554" t="n">
        <v>1</v>
      </c>
      <c r="AL554" t="n">
        <v>0</v>
      </c>
      <c r="AM554" t="n">
        <v>1</v>
      </c>
      <c r="AN554" t="n">
        <v>0</v>
      </c>
      <c r="AO554" t="n">
        <v>2</v>
      </c>
      <c r="AP554" t="n">
        <v>0</v>
      </c>
      <c r="AQ554" t="n">
        <v>0</v>
      </c>
      <c r="AR554" t="inlineStr">
        <is>
          <t>No</t>
        </is>
      </c>
      <c r="AS554" t="inlineStr">
        <is>
          <t>Yes</t>
        </is>
      </c>
      <c r="AT554">
        <f>HYPERLINK("http://catalog.hathitrust.org/Record/000303758","HathiTrust Record")</f>
        <v/>
      </c>
      <c r="AU554">
        <f>HYPERLINK("https://creighton-primo.hosted.exlibrisgroup.com/primo-explore/search?tab=default_tab&amp;search_scope=EVERYTHING&amp;vid=01CRU&amp;lang=en_US&amp;offset=0&amp;query=any,contains,991000965399702656","Catalog Record")</f>
        <v/>
      </c>
      <c r="AV554">
        <f>HYPERLINK("http://www.worldcat.org/oclc/6889343","WorldCat Record")</f>
        <v/>
      </c>
      <c r="AW554" t="inlineStr">
        <is>
          <t>432582:eng</t>
        </is>
      </c>
      <c r="AX554" t="inlineStr">
        <is>
          <t>6889343</t>
        </is>
      </c>
      <c r="AY554" t="inlineStr">
        <is>
          <t>991000965399702656</t>
        </is>
      </c>
      <c r="AZ554" t="inlineStr">
        <is>
          <t>991000965399702656</t>
        </is>
      </c>
      <c r="BA554" t="inlineStr">
        <is>
          <t>2269278230002656</t>
        </is>
      </c>
      <c r="BB554" t="inlineStr">
        <is>
          <t>BOOK</t>
        </is>
      </c>
      <c r="BD554" t="inlineStr">
        <is>
          <t>9780683077612</t>
        </is>
      </c>
      <c r="BE554" t="inlineStr">
        <is>
          <t>30001000199853</t>
        </is>
      </c>
      <c r="BF554" t="inlineStr">
        <is>
          <t>893546250</t>
        </is>
      </c>
    </row>
    <row r="555">
      <c r="B555" t="inlineStr">
        <is>
          <t>CUHSL</t>
        </is>
      </c>
      <c r="C555" t="inlineStr">
        <is>
          <t>SHELVES</t>
        </is>
      </c>
      <c r="D555" t="inlineStr">
        <is>
          <t>QV 736 S756m 1994</t>
        </is>
      </c>
      <c r="E555" t="inlineStr">
        <is>
          <t>0                      QV 0736000S  756m        1994</t>
        </is>
      </c>
      <c r="F555" t="inlineStr">
        <is>
          <t>Multinational pharmaceutical companies : principles and practices / Bert Spilker.</t>
        </is>
      </c>
      <c r="H555" t="inlineStr">
        <is>
          <t>No</t>
        </is>
      </c>
      <c r="I555" t="inlineStr">
        <is>
          <t>1</t>
        </is>
      </c>
      <c r="J555" t="inlineStr">
        <is>
          <t>No</t>
        </is>
      </c>
      <c r="K555" t="inlineStr">
        <is>
          <t>No</t>
        </is>
      </c>
      <c r="L555" t="inlineStr">
        <is>
          <t>0</t>
        </is>
      </c>
      <c r="M555" t="inlineStr">
        <is>
          <t>Spilker, Bert.</t>
        </is>
      </c>
      <c r="N555" t="inlineStr">
        <is>
          <t>New York : Raven Press, c1994.</t>
        </is>
      </c>
      <c r="O555" t="inlineStr">
        <is>
          <t>1994</t>
        </is>
      </c>
      <c r="P555" t="inlineStr">
        <is>
          <t>2nd ed.</t>
        </is>
      </c>
      <c r="Q555" t="inlineStr">
        <is>
          <t>eng</t>
        </is>
      </c>
      <c r="R555" t="inlineStr">
        <is>
          <t>nyu</t>
        </is>
      </c>
      <c r="T555" t="inlineStr">
        <is>
          <t xml:space="preserve">QV </t>
        </is>
      </c>
      <c r="U555" t="n">
        <v>12</v>
      </c>
      <c r="V555" t="n">
        <v>12</v>
      </c>
      <c r="W555" t="inlineStr">
        <is>
          <t>2006-10-03</t>
        </is>
      </c>
      <c r="X555" t="inlineStr">
        <is>
          <t>2006-10-03</t>
        </is>
      </c>
      <c r="Y555" t="inlineStr">
        <is>
          <t>1994-06-08</t>
        </is>
      </c>
      <c r="Z555" t="inlineStr">
        <is>
          <t>1994-06-08</t>
        </is>
      </c>
      <c r="AA555" t="n">
        <v>173</v>
      </c>
      <c r="AB555" t="n">
        <v>128</v>
      </c>
      <c r="AC555" t="n">
        <v>131</v>
      </c>
      <c r="AD555" t="n">
        <v>2</v>
      </c>
      <c r="AE555" t="n">
        <v>2</v>
      </c>
      <c r="AF555" t="n">
        <v>7</v>
      </c>
      <c r="AG555" t="n">
        <v>7</v>
      </c>
      <c r="AH555" t="n">
        <v>3</v>
      </c>
      <c r="AI555" t="n">
        <v>3</v>
      </c>
      <c r="AJ555" t="n">
        <v>3</v>
      </c>
      <c r="AK555" t="n">
        <v>3</v>
      </c>
      <c r="AL555" t="n">
        <v>3</v>
      </c>
      <c r="AM555" t="n">
        <v>3</v>
      </c>
      <c r="AN555" t="n">
        <v>1</v>
      </c>
      <c r="AO555" t="n">
        <v>1</v>
      </c>
      <c r="AP555" t="n">
        <v>0</v>
      </c>
      <c r="AQ555" t="n">
        <v>0</v>
      </c>
      <c r="AR555" t="inlineStr">
        <is>
          <t>No</t>
        </is>
      </c>
      <c r="AS555" t="inlineStr">
        <is>
          <t>Yes</t>
        </is>
      </c>
      <c r="AT555">
        <f>HYPERLINK("http://catalog.hathitrust.org/Record/002865289","HathiTrust Record")</f>
        <v/>
      </c>
      <c r="AU555">
        <f>HYPERLINK("https://creighton-primo.hosted.exlibrisgroup.com/primo-explore/search?tab=default_tab&amp;search_scope=EVERYTHING&amp;vid=01CRU&amp;lang=en_US&amp;offset=0&amp;query=any,contains,991001193719702656","Catalog Record")</f>
        <v/>
      </c>
      <c r="AV555">
        <f>HYPERLINK("http://www.worldcat.org/oclc/28587230","WorldCat Record")</f>
        <v/>
      </c>
      <c r="AW555" t="inlineStr">
        <is>
          <t>20612850:eng</t>
        </is>
      </c>
      <c r="AX555" t="inlineStr">
        <is>
          <t>28587230</t>
        </is>
      </c>
      <c r="AY555" t="inlineStr">
        <is>
          <t>991001193719702656</t>
        </is>
      </c>
      <c r="AZ555" t="inlineStr">
        <is>
          <t>991001193719702656</t>
        </is>
      </c>
      <c r="BA555" t="inlineStr">
        <is>
          <t>2263106150002656</t>
        </is>
      </c>
      <c r="BB555" t="inlineStr">
        <is>
          <t>BOOK</t>
        </is>
      </c>
      <c r="BD555" t="inlineStr">
        <is>
          <t>9780781701006</t>
        </is>
      </c>
      <c r="BE555" t="inlineStr">
        <is>
          <t>30001002983874</t>
        </is>
      </c>
      <c r="BF555" t="inlineStr">
        <is>
          <t>893546440</t>
        </is>
      </c>
    </row>
    <row r="556">
      <c r="B556" t="inlineStr">
        <is>
          <t>CUHSL</t>
        </is>
      </c>
      <c r="C556" t="inlineStr">
        <is>
          <t>SHELVES</t>
        </is>
      </c>
      <c r="D556" t="inlineStr">
        <is>
          <t>QV 737 D257p 1967</t>
        </is>
      </c>
      <c r="E556" t="inlineStr">
        <is>
          <t>0                      QV 0737000D  257p        1967</t>
        </is>
      </c>
      <c r="F556" t="inlineStr">
        <is>
          <t>The Pharmaceutical industry : a personal study : a medical, economic, and political survey of the world-wide pharmaceutical industry.</t>
        </is>
      </c>
      <c r="H556" t="inlineStr">
        <is>
          <t>No</t>
        </is>
      </c>
      <c r="I556" t="inlineStr">
        <is>
          <t>1</t>
        </is>
      </c>
      <c r="J556" t="inlineStr">
        <is>
          <t>No</t>
        </is>
      </c>
      <c r="K556" t="inlineStr">
        <is>
          <t>No</t>
        </is>
      </c>
      <c r="L556" t="inlineStr">
        <is>
          <t>0</t>
        </is>
      </c>
      <c r="M556" t="inlineStr">
        <is>
          <t>Davies, Wyndham, 1926-1984</t>
        </is>
      </c>
      <c r="N556" t="inlineStr">
        <is>
          <t>Oxford ; New York : Pergamon Press, 1967.</t>
        </is>
      </c>
      <c r="O556" t="inlineStr">
        <is>
          <t>1967</t>
        </is>
      </c>
      <c r="P556" t="inlineStr">
        <is>
          <t>[1st ed.]</t>
        </is>
      </c>
      <c r="Q556" t="inlineStr">
        <is>
          <t>eng</t>
        </is>
      </c>
      <c r="R556" t="inlineStr">
        <is>
          <t>enk</t>
        </is>
      </c>
      <c r="T556" t="inlineStr">
        <is>
          <t xml:space="preserve">QV </t>
        </is>
      </c>
      <c r="U556" t="n">
        <v>4</v>
      </c>
      <c r="V556" t="n">
        <v>4</v>
      </c>
      <c r="W556" t="inlineStr">
        <is>
          <t>2002-07-08</t>
        </is>
      </c>
      <c r="X556" t="inlineStr">
        <is>
          <t>2002-07-08</t>
        </is>
      </c>
      <c r="Y556" t="inlineStr">
        <is>
          <t>1988-03-27</t>
        </is>
      </c>
      <c r="Z556" t="inlineStr">
        <is>
          <t>1988-03-27</t>
        </is>
      </c>
      <c r="AA556" t="n">
        <v>275</v>
      </c>
      <c r="AB556" t="n">
        <v>192</v>
      </c>
      <c r="AC556" t="n">
        <v>195</v>
      </c>
      <c r="AD556" t="n">
        <v>2</v>
      </c>
      <c r="AE556" t="n">
        <v>2</v>
      </c>
      <c r="AF556" t="n">
        <v>7</v>
      </c>
      <c r="AG556" t="n">
        <v>7</v>
      </c>
      <c r="AH556" t="n">
        <v>3</v>
      </c>
      <c r="AI556" t="n">
        <v>3</v>
      </c>
      <c r="AJ556" t="n">
        <v>2</v>
      </c>
      <c r="AK556" t="n">
        <v>2</v>
      </c>
      <c r="AL556" t="n">
        <v>2</v>
      </c>
      <c r="AM556" t="n">
        <v>2</v>
      </c>
      <c r="AN556" t="n">
        <v>1</v>
      </c>
      <c r="AO556" t="n">
        <v>1</v>
      </c>
      <c r="AP556" t="n">
        <v>0</v>
      </c>
      <c r="AQ556" t="n">
        <v>0</v>
      </c>
      <c r="AR556" t="inlineStr">
        <is>
          <t>No</t>
        </is>
      </c>
      <c r="AS556" t="inlineStr">
        <is>
          <t>Yes</t>
        </is>
      </c>
      <c r="AT556">
        <f>HYPERLINK("http://catalog.hathitrust.org/Record/001108536","HathiTrust Record")</f>
        <v/>
      </c>
      <c r="AU556">
        <f>HYPERLINK("https://creighton-primo.hosted.exlibrisgroup.com/primo-explore/search?tab=default_tab&amp;search_scope=EVERYTHING&amp;vid=01CRU&amp;lang=en_US&amp;offset=0&amp;query=any,contains,991000965429702656","Catalog Record")</f>
        <v/>
      </c>
      <c r="AV556">
        <f>HYPERLINK("http://www.worldcat.org/oclc/489576","WorldCat Record")</f>
        <v/>
      </c>
      <c r="AW556" t="inlineStr">
        <is>
          <t>430513214:eng</t>
        </is>
      </c>
      <c r="AX556" t="inlineStr">
        <is>
          <t>489576</t>
        </is>
      </c>
      <c r="AY556" t="inlineStr">
        <is>
          <t>991000965429702656</t>
        </is>
      </c>
      <c r="AZ556" t="inlineStr">
        <is>
          <t>991000965429702656</t>
        </is>
      </c>
      <c r="BA556" t="inlineStr">
        <is>
          <t>2255544450002656</t>
        </is>
      </c>
      <c r="BB556" t="inlineStr">
        <is>
          <t>BOOK</t>
        </is>
      </c>
      <c r="BE556" t="inlineStr">
        <is>
          <t>30001000199937</t>
        </is>
      </c>
      <c r="BF556" t="inlineStr">
        <is>
          <t>893551978</t>
        </is>
      </c>
    </row>
    <row r="557">
      <c r="B557" t="inlineStr">
        <is>
          <t>CUHSL</t>
        </is>
      </c>
      <c r="C557" t="inlineStr">
        <is>
          <t>SHELVES</t>
        </is>
      </c>
      <c r="D557" t="inlineStr">
        <is>
          <t>QV737 D475p 2005</t>
        </is>
      </c>
      <c r="E557" t="inlineStr">
        <is>
          <t>0                      QV 0737000D  475p        2005</t>
        </is>
      </c>
      <c r="F557" t="inlineStr">
        <is>
          <t>Pharmacy management : essentials for all practice settings / Shane P. Desselle and David P. Zgarrick.</t>
        </is>
      </c>
      <c r="H557" t="inlineStr">
        <is>
          <t>No</t>
        </is>
      </c>
      <c r="I557" t="inlineStr">
        <is>
          <t>1</t>
        </is>
      </c>
      <c r="J557" t="inlineStr">
        <is>
          <t>Yes</t>
        </is>
      </c>
      <c r="K557" t="inlineStr">
        <is>
          <t>Yes</t>
        </is>
      </c>
      <c r="L557" t="inlineStr">
        <is>
          <t>3</t>
        </is>
      </c>
      <c r="M557" t="inlineStr">
        <is>
          <t>Desselle, Shane P.</t>
        </is>
      </c>
      <c r="N557" t="inlineStr">
        <is>
          <t>New York : McGraw-Hill, c2005.</t>
        </is>
      </c>
      <c r="O557" t="inlineStr">
        <is>
          <t>2005</t>
        </is>
      </c>
      <c r="Q557" t="inlineStr">
        <is>
          <t>eng</t>
        </is>
      </c>
      <c r="R557" t="inlineStr">
        <is>
          <t>nyu</t>
        </is>
      </c>
      <c r="T557" t="inlineStr">
        <is>
          <t xml:space="preserve">QV </t>
        </is>
      </c>
      <c r="U557" t="n">
        <v>88</v>
      </c>
      <c r="V557" t="n">
        <v>102</v>
      </c>
      <c r="W557" t="inlineStr">
        <is>
          <t>2008-05-05</t>
        </is>
      </c>
      <c r="X557" t="inlineStr">
        <is>
          <t>2009-05-02</t>
        </is>
      </c>
      <c r="Y557" t="inlineStr">
        <is>
          <t>2005-01-14</t>
        </is>
      </c>
      <c r="Z557" t="inlineStr">
        <is>
          <t>2005-02-03</t>
        </is>
      </c>
      <c r="AA557" t="n">
        <v>100</v>
      </c>
      <c r="AB557" t="n">
        <v>54</v>
      </c>
      <c r="AC557" t="n">
        <v>546</v>
      </c>
      <c r="AD557" t="n">
        <v>1</v>
      </c>
      <c r="AE557" t="n">
        <v>22</v>
      </c>
      <c r="AF557" t="n">
        <v>1</v>
      </c>
      <c r="AG557" t="n">
        <v>19</v>
      </c>
      <c r="AH557" t="n">
        <v>0</v>
      </c>
      <c r="AI557" t="n">
        <v>6</v>
      </c>
      <c r="AJ557" t="n">
        <v>1</v>
      </c>
      <c r="AK557" t="n">
        <v>3</v>
      </c>
      <c r="AL557" t="n">
        <v>0</v>
      </c>
      <c r="AM557" t="n">
        <v>2</v>
      </c>
      <c r="AN557" t="n">
        <v>0</v>
      </c>
      <c r="AO557" t="n">
        <v>10</v>
      </c>
      <c r="AP557" t="n">
        <v>0</v>
      </c>
      <c r="AQ557" t="n">
        <v>0</v>
      </c>
      <c r="AR557" t="inlineStr">
        <is>
          <t>No</t>
        </is>
      </c>
      <c r="AS557" t="inlineStr">
        <is>
          <t>Yes</t>
        </is>
      </c>
      <c r="AT557">
        <f>HYPERLINK("http://catalog.hathitrust.org/Record/004929869","HathiTrust Record")</f>
        <v/>
      </c>
      <c r="AU557">
        <f>HYPERLINK("https://creighton-primo.hosted.exlibrisgroup.com/primo-explore/search?tab=default_tab&amp;search_scope=EVERYTHING&amp;vid=01CRU&amp;lang=en_US&amp;offset=0&amp;query=any,contains,991000422859702656","Catalog Record")</f>
        <v/>
      </c>
      <c r="AV557">
        <f>HYPERLINK("http://www.worldcat.org/oclc/56011324","WorldCat Record")</f>
        <v/>
      </c>
      <c r="AW557" t="inlineStr">
        <is>
          <t>803186762:eng</t>
        </is>
      </c>
      <c r="AX557" t="inlineStr">
        <is>
          <t>56011324</t>
        </is>
      </c>
      <c r="AY557" t="inlineStr">
        <is>
          <t>991000422859702656</t>
        </is>
      </c>
      <c r="AZ557" t="inlineStr">
        <is>
          <t>991000422859702656</t>
        </is>
      </c>
      <c r="BA557" t="inlineStr">
        <is>
          <t>2254849930002656</t>
        </is>
      </c>
      <c r="BB557" t="inlineStr">
        <is>
          <t>BOOK</t>
        </is>
      </c>
      <c r="BD557" t="inlineStr">
        <is>
          <t>9780071418690</t>
        </is>
      </c>
      <c r="BE557" t="inlineStr">
        <is>
          <t>30001004926194</t>
        </is>
      </c>
      <c r="BF557" t="inlineStr">
        <is>
          <t>893163410</t>
        </is>
      </c>
    </row>
    <row r="558">
      <c r="B558" t="inlineStr">
        <is>
          <t>CUHSL</t>
        </is>
      </c>
      <c r="C558" t="inlineStr">
        <is>
          <t>SHELVES</t>
        </is>
      </c>
      <c r="D558" t="inlineStr">
        <is>
          <t>QV 737 M2648 1999</t>
        </is>
      </c>
      <c r="E558" t="inlineStr">
        <is>
          <t>0                      QV 0737000M  2648        1999</t>
        </is>
      </c>
      <c r="F558" t="inlineStr">
        <is>
          <t>Managed care pharmacy practice / [edited by] Robert P. Navarro.</t>
        </is>
      </c>
      <c r="H558" t="inlineStr">
        <is>
          <t>No</t>
        </is>
      </c>
      <c r="I558" t="inlineStr">
        <is>
          <t>1</t>
        </is>
      </c>
      <c r="J558" t="inlineStr">
        <is>
          <t>No</t>
        </is>
      </c>
      <c r="K558" t="inlineStr">
        <is>
          <t>No</t>
        </is>
      </c>
      <c r="L558" t="inlineStr">
        <is>
          <t>0</t>
        </is>
      </c>
      <c r="N558" t="inlineStr">
        <is>
          <t>Gaithersburg, Md. : Aspen Publishers, c1999.</t>
        </is>
      </c>
      <c r="O558" t="inlineStr">
        <is>
          <t>1999</t>
        </is>
      </c>
      <c r="Q558" t="inlineStr">
        <is>
          <t>eng</t>
        </is>
      </c>
      <c r="R558" t="inlineStr">
        <is>
          <t>mdu</t>
        </is>
      </c>
      <c r="T558" t="inlineStr">
        <is>
          <t xml:space="preserve">QV </t>
        </is>
      </c>
      <c r="U558" t="n">
        <v>33</v>
      </c>
      <c r="V558" t="n">
        <v>33</v>
      </c>
      <c r="W558" t="inlineStr">
        <is>
          <t>2005-09-13</t>
        </is>
      </c>
      <c r="X558" t="inlineStr">
        <is>
          <t>2005-09-13</t>
        </is>
      </c>
      <c r="Y558" t="inlineStr">
        <is>
          <t>1999-08-26</t>
        </is>
      </c>
      <c r="Z558" t="inlineStr">
        <is>
          <t>1999-08-26</t>
        </is>
      </c>
      <c r="AA558" t="n">
        <v>61</v>
      </c>
      <c r="AB558" t="n">
        <v>55</v>
      </c>
      <c r="AC558" t="n">
        <v>120</v>
      </c>
      <c r="AD558" t="n">
        <v>1</v>
      </c>
      <c r="AE558" t="n">
        <v>1</v>
      </c>
      <c r="AF558" t="n">
        <v>2</v>
      </c>
      <c r="AG558" t="n">
        <v>7</v>
      </c>
      <c r="AH558" t="n">
        <v>1</v>
      </c>
      <c r="AI558" t="n">
        <v>4</v>
      </c>
      <c r="AJ558" t="n">
        <v>1</v>
      </c>
      <c r="AK558" t="n">
        <v>1</v>
      </c>
      <c r="AL558" t="n">
        <v>0</v>
      </c>
      <c r="AM558" t="n">
        <v>3</v>
      </c>
      <c r="AN558" t="n">
        <v>0</v>
      </c>
      <c r="AO558" t="n">
        <v>0</v>
      </c>
      <c r="AP558" t="n">
        <v>0</v>
      </c>
      <c r="AQ558" t="n">
        <v>0</v>
      </c>
      <c r="AR558" t="inlineStr">
        <is>
          <t>No</t>
        </is>
      </c>
      <c r="AS558" t="inlineStr">
        <is>
          <t>Yes</t>
        </is>
      </c>
      <c r="AT558">
        <f>HYPERLINK("http://catalog.hathitrust.org/Record/004059522","HathiTrust Record")</f>
        <v/>
      </c>
      <c r="AU558">
        <f>HYPERLINK("https://creighton-primo.hosted.exlibrisgroup.com/primo-explore/search?tab=default_tab&amp;search_scope=EVERYTHING&amp;vid=01CRU&amp;lang=en_US&amp;offset=0&amp;query=any,contains,991000797549702656","Catalog Record")</f>
        <v/>
      </c>
      <c r="AV558">
        <f>HYPERLINK("http://www.worldcat.org/oclc/41482478","WorldCat Record")</f>
        <v/>
      </c>
      <c r="AW558" t="inlineStr">
        <is>
          <t>476321650:eng</t>
        </is>
      </c>
      <c r="AX558" t="inlineStr">
        <is>
          <t>41482478</t>
        </is>
      </c>
      <c r="AY558" t="inlineStr">
        <is>
          <t>991000797549702656</t>
        </is>
      </c>
      <c r="AZ558" t="inlineStr">
        <is>
          <t>991000797549702656</t>
        </is>
      </c>
      <c r="BA558" t="inlineStr">
        <is>
          <t>2263941820002656</t>
        </is>
      </c>
      <c r="BB558" t="inlineStr">
        <is>
          <t>BOOK</t>
        </is>
      </c>
      <c r="BD558" t="inlineStr">
        <is>
          <t>9780834212053</t>
        </is>
      </c>
      <c r="BE558" t="inlineStr">
        <is>
          <t>30001004080125</t>
        </is>
      </c>
      <c r="BF558" t="inlineStr">
        <is>
          <t>893743455</t>
        </is>
      </c>
    </row>
    <row r="559">
      <c r="B559" t="inlineStr">
        <is>
          <t>CUHSL</t>
        </is>
      </c>
      <c r="C559" t="inlineStr">
        <is>
          <t>SHELVES</t>
        </is>
      </c>
      <c r="D559" t="inlineStr">
        <is>
          <t>QV 737 M265 1999</t>
        </is>
      </c>
      <c r="E559" t="inlineStr">
        <is>
          <t>0                      QV 0737000M  265         1999</t>
        </is>
      </c>
      <c r="F559" t="inlineStr">
        <is>
          <t>Managed care pharmacy : principles and practice / Albert I. Wertheimer, Robert Navarro, editors.</t>
        </is>
      </c>
      <c r="H559" t="inlineStr">
        <is>
          <t>No</t>
        </is>
      </c>
      <c r="I559" t="inlineStr">
        <is>
          <t>1</t>
        </is>
      </c>
      <c r="J559" t="inlineStr">
        <is>
          <t>No</t>
        </is>
      </c>
      <c r="K559" t="inlineStr">
        <is>
          <t>No</t>
        </is>
      </c>
      <c r="L559" t="inlineStr">
        <is>
          <t>0</t>
        </is>
      </c>
      <c r="N559" t="inlineStr">
        <is>
          <t>New York : Pharmaceutical Products Press, c1999.</t>
        </is>
      </c>
      <c r="O559" t="inlineStr">
        <is>
          <t>1999</t>
        </is>
      </c>
      <c r="Q559" t="inlineStr">
        <is>
          <t>eng</t>
        </is>
      </c>
      <c r="R559" t="inlineStr">
        <is>
          <t>nyu</t>
        </is>
      </c>
      <c r="T559" t="inlineStr">
        <is>
          <t xml:space="preserve">QV </t>
        </is>
      </c>
      <c r="U559" t="n">
        <v>13</v>
      </c>
      <c r="V559" t="n">
        <v>13</v>
      </c>
      <c r="W559" t="inlineStr">
        <is>
          <t>2006-12-05</t>
        </is>
      </c>
      <c r="X559" t="inlineStr">
        <is>
          <t>2006-12-05</t>
        </is>
      </c>
      <c r="Y559" t="inlineStr">
        <is>
          <t>1999-09-09</t>
        </is>
      </c>
      <c r="Z559" t="inlineStr">
        <is>
          <t>1999-09-09</t>
        </is>
      </c>
      <c r="AA559" t="n">
        <v>87</v>
      </c>
      <c r="AB559" t="n">
        <v>68</v>
      </c>
      <c r="AC559" t="n">
        <v>75</v>
      </c>
      <c r="AD559" t="n">
        <v>1</v>
      </c>
      <c r="AE559" t="n">
        <v>1</v>
      </c>
      <c r="AF559" t="n">
        <v>2</v>
      </c>
      <c r="AG559" t="n">
        <v>2</v>
      </c>
      <c r="AH559" t="n">
        <v>0</v>
      </c>
      <c r="AI559" t="n">
        <v>0</v>
      </c>
      <c r="AJ559" t="n">
        <v>1</v>
      </c>
      <c r="AK559" t="n">
        <v>1</v>
      </c>
      <c r="AL559" t="n">
        <v>1</v>
      </c>
      <c r="AM559" t="n">
        <v>1</v>
      </c>
      <c r="AN559" t="n">
        <v>0</v>
      </c>
      <c r="AO559" t="n">
        <v>0</v>
      </c>
      <c r="AP559" t="n">
        <v>0</v>
      </c>
      <c r="AQ559" t="n">
        <v>0</v>
      </c>
      <c r="AR559" t="inlineStr">
        <is>
          <t>No</t>
        </is>
      </c>
      <c r="AS559" t="inlineStr">
        <is>
          <t>Yes</t>
        </is>
      </c>
      <c r="AT559">
        <f>HYPERLINK("http://catalog.hathitrust.org/Record/004026770","HathiTrust Record")</f>
        <v/>
      </c>
      <c r="AU559">
        <f>HYPERLINK("https://creighton-primo.hosted.exlibrisgroup.com/primo-explore/search?tab=default_tab&amp;search_scope=EVERYTHING&amp;vid=01CRU&amp;lang=en_US&amp;offset=0&amp;query=any,contains,991001564409702656","Catalog Record")</f>
        <v/>
      </c>
      <c r="AV559">
        <f>HYPERLINK("http://www.worldcat.org/oclc/40200352","WorldCat Record")</f>
        <v/>
      </c>
      <c r="AW559" t="inlineStr">
        <is>
          <t>3856750155:eng</t>
        </is>
      </c>
      <c r="AX559" t="inlineStr">
        <is>
          <t>40200352</t>
        </is>
      </c>
      <c r="AY559" t="inlineStr">
        <is>
          <t>991001564409702656</t>
        </is>
      </c>
      <c r="AZ559" t="inlineStr">
        <is>
          <t>991001564409702656</t>
        </is>
      </c>
      <c r="BA559" t="inlineStr">
        <is>
          <t>2267086560002656</t>
        </is>
      </c>
      <c r="BB559" t="inlineStr">
        <is>
          <t>BOOK</t>
        </is>
      </c>
      <c r="BD559" t="inlineStr">
        <is>
          <t>9780789006394</t>
        </is>
      </c>
      <c r="BE559" t="inlineStr">
        <is>
          <t>30001004063824</t>
        </is>
      </c>
      <c r="BF559" t="inlineStr">
        <is>
          <t>893121640</t>
        </is>
      </c>
    </row>
    <row r="560">
      <c r="B560" t="inlineStr">
        <is>
          <t>CUHSL</t>
        </is>
      </c>
      <c r="C560" t="inlineStr">
        <is>
          <t>SHELVES</t>
        </is>
      </c>
      <c r="D560" t="inlineStr">
        <is>
          <t>QV 737 P534 1996</t>
        </is>
      </c>
      <c r="E560" t="inlineStr">
        <is>
          <t>0                      QV 0737000P  534         1996</t>
        </is>
      </c>
      <c r="F560" t="inlineStr">
        <is>
          <t>Pharmaceutical care / edited by Calvin H. Knowlton &amp; Richard P. Penna.</t>
        </is>
      </c>
      <c r="H560" t="inlineStr">
        <is>
          <t>No</t>
        </is>
      </c>
      <c r="I560" t="inlineStr">
        <is>
          <t>1</t>
        </is>
      </c>
      <c r="J560" t="inlineStr">
        <is>
          <t>No</t>
        </is>
      </c>
      <c r="K560" t="inlineStr">
        <is>
          <t>Yes</t>
        </is>
      </c>
      <c r="L560" t="inlineStr">
        <is>
          <t>0</t>
        </is>
      </c>
      <c r="N560" t="inlineStr">
        <is>
          <t>New York : Chapman &amp; Hall, c1996.</t>
        </is>
      </c>
      <c r="O560" t="inlineStr">
        <is>
          <t>1996</t>
        </is>
      </c>
      <c r="Q560" t="inlineStr">
        <is>
          <t>eng</t>
        </is>
      </c>
      <c r="R560" t="inlineStr">
        <is>
          <t>nyu</t>
        </is>
      </c>
      <c r="T560" t="inlineStr">
        <is>
          <t xml:space="preserve">QV </t>
        </is>
      </c>
      <c r="U560" t="n">
        <v>20</v>
      </c>
      <c r="V560" t="n">
        <v>20</v>
      </c>
      <c r="W560" t="inlineStr">
        <is>
          <t>2002-09-27</t>
        </is>
      </c>
      <c r="X560" t="inlineStr">
        <is>
          <t>2002-09-27</t>
        </is>
      </c>
      <c r="Y560" t="inlineStr">
        <is>
          <t>2000-03-30</t>
        </is>
      </c>
      <c r="Z560" t="inlineStr">
        <is>
          <t>2000-03-30</t>
        </is>
      </c>
      <c r="AA560" t="n">
        <v>76</v>
      </c>
      <c r="AB560" t="n">
        <v>55</v>
      </c>
      <c r="AC560" t="n">
        <v>111</v>
      </c>
      <c r="AD560" t="n">
        <v>1</v>
      </c>
      <c r="AE560" t="n">
        <v>1</v>
      </c>
      <c r="AF560" t="n">
        <v>3</v>
      </c>
      <c r="AG560" t="n">
        <v>7</v>
      </c>
      <c r="AH560" t="n">
        <v>2</v>
      </c>
      <c r="AI560" t="n">
        <v>5</v>
      </c>
      <c r="AJ560" t="n">
        <v>1</v>
      </c>
      <c r="AK560" t="n">
        <v>2</v>
      </c>
      <c r="AL560" t="n">
        <v>0</v>
      </c>
      <c r="AM560" t="n">
        <v>2</v>
      </c>
      <c r="AN560" t="n">
        <v>0</v>
      </c>
      <c r="AO560" t="n">
        <v>0</v>
      </c>
      <c r="AP560" t="n">
        <v>0</v>
      </c>
      <c r="AQ560" t="n">
        <v>0</v>
      </c>
      <c r="AR560" t="inlineStr">
        <is>
          <t>No</t>
        </is>
      </c>
      <c r="AS560" t="inlineStr">
        <is>
          <t>No</t>
        </is>
      </c>
      <c r="AU560">
        <f>HYPERLINK("https://creighton-primo.hosted.exlibrisgroup.com/primo-explore/search?tab=default_tab&amp;search_scope=EVERYTHING&amp;vid=01CRU&amp;lang=en_US&amp;offset=0&amp;query=any,contains,991001442619702656","Catalog Record")</f>
        <v/>
      </c>
      <c r="AV560">
        <f>HYPERLINK("http://www.worldcat.org/oclc/32351943","WorldCat Record")</f>
        <v/>
      </c>
      <c r="AW560" t="inlineStr">
        <is>
          <t>354639471:eng</t>
        </is>
      </c>
      <c r="AX560" t="inlineStr">
        <is>
          <t>32351943</t>
        </is>
      </c>
      <c r="AY560" t="inlineStr">
        <is>
          <t>991001442619702656</t>
        </is>
      </c>
      <c r="AZ560" t="inlineStr">
        <is>
          <t>991001442619702656</t>
        </is>
      </c>
      <c r="BA560" t="inlineStr">
        <is>
          <t>2272743870002656</t>
        </is>
      </c>
      <c r="BB560" t="inlineStr">
        <is>
          <t>BOOK</t>
        </is>
      </c>
      <c r="BD560" t="inlineStr">
        <is>
          <t>9780412069819</t>
        </is>
      </c>
      <c r="BE560" t="inlineStr">
        <is>
          <t>30001003883057</t>
        </is>
      </c>
      <c r="BF560" t="inlineStr">
        <is>
          <t>893816420</t>
        </is>
      </c>
    </row>
    <row r="561">
      <c r="B561" t="inlineStr">
        <is>
          <t>CUHSL</t>
        </is>
      </c>
      <c r="C561" t="inlineStr">
        <is>
          <t>SHELVES</t>
        </is>
      </c>
      <c r="D561" t="inlineStr">
        <is>
          <t>QV737 P534 2003</t>
        </is>
      </c>
      <c r="E561" t="inlineStr">
        <is>
          <t>0                      QV 0737000P  534         2003</t>
        </is>
      </c>
      <c r="F561" t="inlineStr">
        <is>
          <t>Pharmaceutical care / [edited by] Calvin H. Knowlton, Richard P. Penna.</t>
        </is>
      </c>
      <c r="H561" t="inlineStr">
        <is>
          <t>No</t>
        </is>
      </c>
      <c r="I561" t="inlineStr">
        <is>
          <t>1</t>
        </is>
      </c>
      <c r="J561" t="inlineStr">
        <is>
          <t>No</t>
        </is>
      </c>
      <c r="K561" t="inlineStr">
        <is>
          <t>Yes</t>
        </is>
      </c>
      <c r="L561" t="inlineStr">
        <is>
          <t>0</t>
        </is>
      </c>
      <c r="N561" t="inlineStr">
        <is>
          <t>Bethesda, MD : American Society of Health-System Pharmacists, c2003.</t>
        </is>
      </c>
      <c r="O561" t="inlineStr">
        <is>
          <t>2003</t>
        </is>
      </c>
      <c r="P561" t="inlineStr">
        <is>
          <t>2nd ed.</t>
        </is>
      </c>
      <c r="Q561" t="inlineStr">
        <is>
          <t>eng</t>
        </is>
      </c>
      <c r="R561" t="inlineStr">
        <is>
          <t>mdu</t>
        </is>
      </c>
      <c r="T561" t="inlineStr">
        <is>
          <t xml:space="preserve">QV </t>
        </is>
      </c>
      <c r="U561" t="n">
        <v>3</v>
      </c>
      <c r="V561" t="n">
        <v>3</v>
      </c>
      <c r="W561" t="inlineStr">
        <is>
          <t>2006-02-09</t>
        </is>
      </c>
      <c r="X561" t="inlineStr">
        <is>
          <t>2006-02-09</t>
        </is>
      </c>
      <c r="Y561" t="inlineStr">
        <is>
          <t>2003-01-27</t>
        </is>
      </c>
      <c r="Z561" t="inlineStr">
        <is>
          <t>2003-01-27</t>
        </is>
      </c>
      <c r="AA561" t="n">
        <v>99</v>
      </c>
      <c r="AB561" t="n">
        <v>69</v>
      </c>
      <c r="AC561" t="n">
        <v>111</v>
      </c>
      <c r="AD561" t="n">
        <v>1</v>
      </c>
      <c r="AE561" t="n">
        <v>1</v>
      </c>
      <c r="AF561" t="n">
        <v>4</v>
      </c>
      <c r="AG561" t="n">
        <v>7</v>
      </c>
      <c r="AH561" t="n">
        <v>3</v>
      </c>
      <c r="AI561" t="n">
        <v>5</v>
      </c>
      <c r="AJ561" t="n">
        <v>1</v>
      </c>
      <c r="AK561" t="n">
        <v>2</v>
      </c>
      <c r="AL561" t="n">
        <v>2</v>
      </c>
      <c r="AM561" t="n">
        <v>2</v>
      </c>
      <c r="AN561" t="n">
        <v>0</v>
      </c>
      <c r="AO561" t="n">
        <v>0</v>
      </c>
      <c r="AP561" t="n">
        <v>0</v>
      </c>
      <c r="AQ561" t="n">
        <v>0</v>
      </c>
      <c r="AR561" t="inlineStr">
        <is>
          <t>No</t>
        </is>
      </c>
      <c r="AS561" t="inlineStr">
        <is>
          <t>Yes</t>
        </is>
      </c>
      <c r="AT561">
        <f>HYPERLINK("http://catalog.hathitrust.org/Record/003816985","HathiTrust Record")</f>
        <v/>
      </c>
      <c r="AU561">
        <f>HYPERLINK("https://creighton-primo.hosted.exlibrisgroup.com/primo-explore/search?tab=default_tab&amp;search_scope=EVERYTHING&amp;vid=01CRU&amp;lang=en_US&amp;offset=0&amp;query=any,contains,991000337629702656","Catalog Record")</f>
        <v/>
      </c>
      <c r="AV561">
        <f>HYPERLINK("http://www.worldcat.org/oclc/50680535","WorldCat Record")</f>
        <v/>
      </c>
      <c r="AW561" t="inlineStr">
        <is>
          <t>354639471:eng</t>
        </is>
      </c>
      <c r="AX561" t="inlineStr">
        <is>
          <t>50680535</t>
        </is>
      </c>
      <c r="AY561" t="inlineStr">
        <is>
          <t>991000337629702656</t>
        </is>
      </c>
      <c r="AZ561" t="inlineStr">
        <is>
          <t>991000337629702656</t>
        </is>
      </c>
      <c r="BA561" t="inlineStr">
        <is>
          <t>2255125850002656</t>
        </is>
      </c>
      <c r="BB561" t="inlineStr">
        <is>
          <t>BOOK</t>
        </is>
      </c>
      <c r="BD561" t="inlineStr">
        <is>
          <t>9781585280377</t>
        </is>
      </c>
      <c r="BE561" t="inlineStr">
        <is>
          <t>30001004501450</t>
        </is>
      </c>
      <c r="BF561" t="inlineStr">
        <is>
          <t>893822077</t>
        </is>
      </c>
    </row>
    <row r="562">
      <c r="B562" t="inlineStr">
        <is>
          <t>CUHSL</t>
        </is>
      </c>
      <c r="C562" t="inlineStr">
        <is>
          <t>SHELVES</t>
        </is>
      </c>
      <c r="D562" t="inlineStr">
        <is>
          <t>QV 737 P5345 1991</t>
        </is>
      </c>
      <c r="E562" t="inlineStr">
        <is>
          <t>0                      QV 0737000P  5345        1991</t>
        </is>
      </c>
      <c r="F562" t="inlineStr">
        <is>
          <t>Pharmacy and the U.S. health care system / Jack E. Fincham and Albert I. Wertheimer, editors.</t>
        </is>
      </c>
      <c r="H562" t="inlineStr">
        <is>
          <t>No</t>
        </is>
      </c>
      <c r="I562" t="inlineStr">
        <is>
          <t>1</t>
        </is>
      </c>
      <c r="J562" t="inlineStr">
        <is>
          <t>No</t>
        </is>
      </c>
      <c r="K562" t="inlineStr">
        <is>
          <t>Yes</t>
        </is>
      </c>
      <c r="L562" t="inlineStr">
        <is>
          <t>0</t>
        </is>
      </c>
      <c r="N562" t="inlineStr">
        <is>
          <t>Binghamton, NY : Pharmaceutical Products Press, c1991.</t>
        </is>
      </c>
      <c r="O562" t="inlineStr">
        <is>
          <t>1991</t>
        </is>
      </c>
      <c r="Q562" t="inlineStr">
        <is>
          <t>eng</t>
        </is>
      </c>
      <c r="R562" t="inlineStr">
        <is>
          <t>nyu</t>
        </is>
      </c>
      <c r="T562" t="inlineStr">
        <is>
          <t xml:space="preserve">QV </t>
        </is>
      </c>
      <c r="U562" t="n">
        <v>53</v>
      </c>
      <c r="V562" t="n">
        <v>53</v>
      </c>
      <c r="W562" t="inlineStr">
        <is>
          <t>2006-09-22</t>
        </is>
      </c>
      <c r="X562" t="inlineStr">
        <is>
          <t>2006-09-22</t>
        </is>
      </c>
      <c r="Y562" t="inlineStr">
        <is>
          <t>1991-09-20</t>
        </is>
      </c>
      <c r="Z562" t="inlineStr">
        <is>
          <t>1991-09-20</t>
        </is>
      </c>
      <c r="AA562" t="n">
        <v>148</v>
      </c>
      <c r="AB562" t="n">
        <v>121</v>
      </c>
      <c r="AC562" t="n">
        <v>308</v>
      </c>
      <c r="AD562" t="n">
        <v>2</v>
      </c>
      <c r="AE562" t="n">
        <v>4</v>
      </c>
      <c r="AF562" t="n">
        <v>4</v>
      </c>
      <c r="AG562" t="n">
        <v>16</v>
      </c>
      <c r="AH562" t="n">
        <v>1</v>
      </c>
      <c r="AI562" t="n">
        <v>7</v>
      </c>
      <c r="AJ562" t="n">
        <v>3</v>
      </c>
      <c r="AK562" t="n">
        <v>4</v>
      </c>
      <c r="AL562" t="n">
        <v>1</v>
      </c>
      <c r="AM562" t="n">
        <v>5</v>
      </c>
      <c r="AN562" t="n">
        <v>0</v>
      </c>
      <c r="AO562" t="n">
        <v>2</v>
      </c>
      <c r="AP562" t="n">
        <v>1</v>
      </c>
      <c r="AQ562" t="n">
        <v>2</v>
      </c>
      <c r="AR562" t="inlineStr">
        <is>
          <t>No</t>
        </is>
      </c>
      <c r="AS562" t="inlineStr">
        <is>
          <t>Yes</t>
        </is>
      </c>
      <c r="AT562">
        <f>HYPERLINK("http://catalog.hathitrust.org/Record/002500856","HathiTrust Record")</f>
        <v/>
      </c>
      <c r="AU562">
        <f>HYPERLINK("https://creighton-primo.hosted.exlibrisgroup.com/primo-explore/search?tab=default_tab&amp;search_scope=EVERYTHING&amp;vid=01CRU&amp;lang=en_US&amp;offset=0&amp;query=any,contains,991001013699702656","Catalog Record")</f>
        <v/>
      </c>
      <c r="AV562">
        <f>HYPERLINK("http://www.worldcat.org/oclc/22208754","WorldCat Record")</f>
        <v/>
      </c>
      <c r="AW562" t="inlineStr">
        <is>
          <t>355915499:eng</t>
        </is>
      </c>
      <c r="AX562" t="inlineStr">
        <is>
          <t>22208754</t>
        </is>
      </c>
      <c r="AY562" t="inlineStr">
        <is>
          <t>991001013699702656</t>
        </is>
      </c>
      <c r="AZ562" t="inlineStr">
        <is>
          <t>991001013699702656</t>
        </is>
      </c>
      <c r="BA562" t="inlineStr">
        <is>
          <t>2255333940002656</t>
        </is>
      </c>
      <c r="BB562" t="inlineStr">
        <is>
          <t>BOOK</t>
        </is>
      </c>
      <c r="BD562" t="inlineStr">
        <is>
          <t>9781560240976</t>
        </is>
      </c>
      <c r="BE562" t="inlineStr">
        <is>
          <t>30001002240283</t>
        </is>
      </c>
      <c r="BF562" t="inlineStr">
        <is>
          <t>893820846</t>
        </is>
      </c>
    </row>
    <row r="563">
      <c r="B563" t="inlineStr">
        <is>
          <t>CUHSL</t>
        </is>
      </c>
      <c r="C563" t="inlineStr">
        <is>
          <t>SHELVES</t>
        </is>
      </c>
      <c r="D563" t="inlineStr">
        <is>
          <t>QV737 P5345 2005</t>
        </is>
      </c>
      <c r="E563" t="inlineStr">
        <is>
          <t>0                      QV 0737000P  5345        2005</t>
        </is>
      </c>
      <c r="F563" t="inlineStr">
        <is>
          <t>Pharmacy and the U.S. health care system / Michael Ira Smith, Albert I. Wertheimer, Jack E. Fincham, editors.</t>
        </is>
      </c>
      <c r="H563" t="inlineStr">
        <is>
          <t>No</t>
        </is>
      </c>
      <c r="I563" t="inlineStr">
        <is>
          <t>1</t>
        </is>
      </c>
      <c r="J563" t="inlineStr">
        <is>
          <t>No</t>
        </is>
      </c>
      <c r="K563" t="inlineStr">
        <is>
          <t>Yes</t>
        </is>
      </c>
      <c r="L563" t="inlineStr">
        <is>
          <t>0</t>
        </is>
      </c>
      <c r="N563" t="inlineStr">
        <is>
          <t>New York : Pharmaceutical Products Press, c2005.</t>
        </is>
      </c>
      <c r="O563" t="inlineStr">
        <is>
          <t>2005</t>
        </is>
      </c>
      <c r="P563" t="inlineStr">
        <is>
          <t>3rd ed.</t>
        </is>
      </c>
      <c r="Q563" t="inlineStr">
        <is>
          <t>eng</t>
        </is>
      </c>
      <c r="R563" t="inlineStr">
        <is>
          <t>nyu</t>
        </is>
      </c>
      <c r="T563" t="inlineStr">
        <is>
          <t xml:space="preserve">QV </t>
        </is>
      </c>
      <c r="U563" t="n">
        <v>5</v>
      </c>
      <c r="V563" t="n">
        <v>5</v>
      </c>
      <c r="W563" t="inlineStr">
        <is>
          <t>2010-09-08</t>
        </is>
      </c>
      <c r="X563" t="inlineStr">
        <is>
          <t>2010-09-08</t>
        </is>
      </c>
      <c r="Y563" t="inlineStr">
        <is>
          <t>2005-10-28</t>
        </is>
      </c>
      <c r="Z563" t="inlineStr">
        <is>
          <t>2005-10-28</t>
        </is>
      </c>
      <c r="AA563" t="n">
        <v>125</v>
      </c>
      <c r="AB563" t="n">
        <v>110</v>
      </c>
      <c r="AC563" t="n">
        <v>308</v>
      </c>
      <c r="AD563" t="n">
        <v>2</v>
      </c>
      <c r="AE563" t="n">
        <v>4</v>
      </c>
      <c r="AF563" t="n">
        <v>8</v>
      </c>
      <c r="AG563" t="n">
        <v>16</v>
      </c>
      <c r="AH563" t="n">
        <v>4</v>
      </c>
      <c r="AI563" t="n">
        <v>7</v>
      </c>
      <c r="AJ563" t="n">
        <v>2</v>
      </c>
      <c r="AK563" t="n">
        <v>4</v>
      </c>
      <c r="AL563" t="n">
        <v>3</v>
      </c>
      <c r="AM563" t="n">
        <v>5</v>
      </c>
      <c r="AN563" t="n">
        <v>1</v>
      </c>
      <c r="AO563" t="n">
        <v>2</v>
      </c>
      <c r="AP563" t="n">
        <v>0</v>
      </c>
      <c r="AQ563" t="n">
        <v>2</v>
      </c>
      <c r="AR563" t="inlineStr">
        <is>
          <t>No</t>
        </is>
      </c>
      <c r="AS563" t="inlineStr">
        <is>
          <t>No</t>
        </is>
      </c>
      <c r="AU563">
        <f>HYPERLINK("https://creighton-primo.hosted.exlibrisgroup.com/primo-explore/search?tab=default_tab&amp;search_scope=EVERYTHING&amp;vid=01CRU&amp;lang=en_US&amp;offset=0&amp;query=any,contains,991000446669702656","Catalog Record")</f>
        <v/>
      </c>
      <c r="AV563">
        <f>HYPERLINK("http://www.worldcat.org/oclc/57405371","WorldCat Record")</f>
        <v/>
      </c>
      <c r="AW563" t="inlineStr">
        <is>
          <t>355915499:eng</t>
        </is>
      </c>
      <c r="AX563" t="inlineStr">
        <is>
          <t>57405371</t>
        </is>
      </c>
      <c r="AY563" t="inlineStr">
        <is>
          <t>991000446669702656</t>
        </is>
      </c>
      <c r="AZ563" t="inlineStr">
        <is>
          <t>991000446669702656</t>
        </is>
      </c>
      <c r="BA563" t="inlineStr">
        <is>
          <t>2264396850002656</t>
        </is>
      </c>
      <c r="BB563" t="inlineStr">
        <is>
          <t>BOOK</t>
        </is>
      </c>
      <c r="BD563" t="inlineStr">
        <is>
          <t>9780789018755</t>
        </is>
      </c>
      <c r="BE563" t="inlineStr">
        <is>
          <t>30001004914380</t>
        </is>
      </c>
      <c r="BF563" t="inlineStr">
        <is>
          <t>893269463</t>
        </is>
      </c>
    </row>
    <row r="564">
      <c r="B564" t="inlineStr">
        <is>
          <t>CUHSL</t>
        </is>
      </c>
      <c r="C564" t="inlineStr">
        <is>
          <t>SHELVES</t>
        </is>
      </c>
      <c r="D564" t="inlineStr">
        <is>
          <t>QV737 P8949 2003</t>
        </is>
      </c>
      <c r="E564" t="inlineStr">
        <is>
          <t>0                      QV 0737000P  8949        2003</t>
        </is>
      </c>
      <c r="F564" t="inlineStr">
        <is>
          <t>A practical guide to pharmaceutical care / John P. Rovers ... [et al.], editors.</t>
        </is>
      </c>
      <c r="H564" t="inlineStr">
        <is>
          <t>No</t>
        </is>
      </c>
      <c r="I564" t="inlineStr">
        <is>
          <t>1</t>
        </is>
      </c>
      <c r="J564" t="inlineStr">
        <is>
          <t>No</t>
        </is>
      </c>
      <c r="K564" t="inlineStr">
        <is>
          <t>Yes</t>
        </is>
      </c>
      <c r="L564" t="inlineStr">
        <is>
          <t>0</t>
        </is>
      </c>
      <c r="N564" t="inlineStr">
        <is>
          <t>Washington, D.C. : American Pharmaceutical Association, 2003.</t>
        </is>
      </c>
      <c r="O564" t="inlineStr">
        <is>
          <t>2003</t>
        </is>
      </c>
      <c r="P564" t="inlineStr">
        <is>
          <t>2nd ed.</t>
        </is>
      </c>
      <c r="Q564" t="inlineStr">
        <is>
          <t>eng</t>
        </is>
      </c>
      <c r="R564" t="inlineStr">
        <is>
          <t>dcu</t>
        </is>
      </c>
      <c r="T564" t="inlineStr">
        <is>
          <t xml:space="preserve">QV </t>
        </is>
      </c>
      <c r="U564" t="n">
        <v>10</v>
      </c>
      <c r="V564" t="n">
        <v>10</v>
      </c>
      <c r="W564" t="inlineStr">
        <is>
          <t>2007-11-14</t>
        </is>
      </c>
      <c r="X564" t="inlineStr">
        <is>
          <t>2007-11-14</t>
        </is>
      </c>
      <c r="Y564" t="inlineStr">
        <is>
          <t>2003-06-30</t>
        </is>
      </c>
      <c r="Z564" t="inlineStr">
        <is>
          <t>2003-06-30</t>
        </is>
      </c>
      <c r="AA564" t="n">
        <v>95</v>
      </c>
      <c r="AB564" t="n">
        <v>60</v>
      </c>
      <c r="AC564" t="n">
        <v>116</v>
      </c>
      <c r="AD564" t="n">
        <v>1</v>
      </c>
      <c r="AE564" t="n">
        <v>1</v>
      </c>
      <c r="AF564" t="n">
        <v>2</v>
      </c>
      <c r="AG564" t="n">
        <v>6</v>
      </c>
      <c r="AH564" t="n">
        <v>2</v>
      </c>
      <c r="AI564" t="n">
        <v>4</v>
      </c>
      <c r="AJ564" t="n">
        <v>1</v>
      </c>
      <c r="AK564" t="n">
        <v>2</v>
      </c>
      <c r="AL564" t="n">
        <v>0</v>
      </c>
      <c r="AM564" t="n">
        <v>2</v>
      </c>
      <c r="AN564" t="n">
        <v>0</v>
      </c>
      <c r="AO564" t="n">
        <v>0</v>
      </c>
      <c r="AP564" t="n">
        <v>0</v>
      </c>
      <c r="AQ564" t="n">
        <v>0</v>
      </c>
      <c r="AR564" t="inlineStr">
        <is>
          <t>No</t>
        </is>
      </c>
      <c r="AS564" t="inlineStr">
        <is>
          <t>Yes</t>
        </is>
      </c>
      <c r="AT564">
        <f>HYPERLINK("http://catalog.hathitrust.org/Record/004323216","HathiTrust Record")</f>
        <v/>
      </c>
      <c r="AU564">
        <f>HYPERLINK("https://creighton-primo.hosted.exlibrisgroup.com/primo-explore/search?tab=default_tab&amp;search_scope=EVERYTHING&amp;vid=01CRU&amp;lang=en_US&amp;offset=0&amp;query=any,contains,991000352389702656","Catalog Record")</f>
        <v/>
      </c>
      <c r="AV564">
        <f>HYPERLINK("http://www.worldcat.org/oclc/51553581","WorldCat Record")</f>
        <v/>
      </c>
      <c r="AW564" t="inlineStr">
        <is>
          <t>56296232:eng</t>
        </is>
      </c>
      <c r="AX564" t="inlineStr">
        <is>
          <t>51553581</t>
        </is>
      </c>
      <c r="AY564" t="inlineStr">
        <is>
          <t>991000352389702656</t>
        </is>
      </c>
      <c r="AZ564" t="inlineStr">
        <is>
          <t>991000352389702656</t>
        </is>
      </c>
      <c r="BA564" t="inlineStr">
        <is>
          <t>2263814020002656</t>
        </is>
      </c>
      <c r="BB564" t="inlineStr">
        <is>
          <t>BOOK</t>
        </is>
      </c>
      <c r="BD564" t="inlineStr">
        <is>
          <t>9781582120492</t>
        </is>
      </c>
      <c r="BE564" t="inlineStr">
        <is>
          <t>30001004504967</t>
        </is>
      </c>
      <c r="BF564" t="inlineStr">
        <is>
          <t>893633820</t>
        </is>
      </c>
    </row>
    <row r="565">
      <c r="B565" t="inlineStr">
        <is>
          <t>CUHSL</t>
        </is>
      </c>
      <c r="C565" t="inlineStr">
        <is>
          <t>SHELVES</t>
        </is>
      </c>
      <c r="D565" t="inlineStr">
        <is>
          <t>QV 737 P8949 2007</t>
        </is>
      </c>
      <c r="E565" t="inlineStr">
        <is>
          <t>0                      QV 0737000P  8949        2007</t>
        </is>
      </c>
      <c r="F565" t="inlineStr">
        <is>
          <t>A practical guide to pharmaceutical care : a clinical skills primer / John P. Rovers, Jay D. Currie.</t>
        </is>
      </c>
      <c r="H565" t="inlineStr">
        <is>
          <t>No</t>
        </is>
      </c>
      <c r="I565" t="inlineStr">
        <is>
          <t>1</t>
        </is>
      </c>
      <c r="J565" t="inlineStr">
        <is>
          <t>No</t>
        </is>
      </c>
      <c r="K565" t="inlineStr">
        <is>
          <t>Yes</t>
        </is>
      </c>
      <c r="L565" t="inlineStr">
        <is>
          <t>0</t>
        </is>
      </c>
      <c r="M565" t="inlineStr">
        <is>
          <t>Rovers, John P.</t>
        </is>
      </c>
      <c r="N565" t="inlineStr">
        <is>
          <t>Washington, D.C. : American Pharmacists Association, c2007.</t>
        </is>
      </c>
      <c r="O565" t="inlineStr">
        <is>
          <t>2007</t>
        </is>
      </c>
      <c r="P565" t="inlineStr">
        <is>
          <t>3rd ed.</t>
        </is>
      </c>
      <c r="Q565" t="inlineStr">
        <is>
          <t>eng</t>
        </is>
      </c>
      <c r="R565" t="inlineStr">
        <is>
          <t>dcu</t>
        </is>
      </c>
      <c r="T565" t="inlineStr">
        <is>
          <t xml:space="preserve">QV </t>
        </is>
      </c>
      <c r="U565" t="n">
        <v>14</v>
      </c>
      <c r="V565" t="n">
        <v>14</v>
      </c>
      <c r="W565" t="inlineStr">
        <is>
          <t>2009-09-29</t>
        </is>
      </c>
      <c r="X565" t="inlineStr">
        <is>
          <t>2009-09-29</t>
        </is>
      </c>
      <c r="Y565" t="inlineStr">
        <is>
          <t>2007-11-14</t>
        </is>
      </c>
      <c r="Z565" t="inlineStr">
        <is>
          <t>2007-11-14</t>
        </is>
      </c>
      <c r="AA565" t="n">
        <v>107</v>
      </c>
      <c r="AB565" t="n">
        <v>71</v>
      </c>
      <c r="AC565" t="n">
        <v>116</v>
      </c>
      <c r="AD565" t="n">
        <v>1</v>
      </c>
      <c r="AE565" t="n">
        <v>1</v>
      </c>
      <c r="AF565" t="n">
        <v>5</v>
      </c>
      <c r="AG565" t="n">
        <v>6</v>
      </c>
      <c r="AH565" t="n">
        <v>3</v>
      </c>
      <c r="AI565" t="n">
        <v>4</v>
      </c>
      <c r="AJ565" t="n">
        <v>1</v>
      </c>
      <c r="AK565" t="n">
        <v>2</v>
      </c>
      <c r="AL565" t="n">
        <v>2</v>
      </c>
      <c r="AM565" t="n">
        <v>2</v>
      </c>
      <c r="AN565" t="n">
        <v>0</v>
      </c>
      <c r="AO565" t="n">
        <v>0</v>
      </c>
      <c r="AP565" t="n">
        <v>0</v>
      </c>
      <c r="AQ565" t="n">
        <v>0</v>
      </c>
      <c r="AR565" t="inlineStr">
        <is>
          <t>No</t>
        </is>
      </c>
      <c r="AS565" t="inlineStr">
        <is>
          <t>No</t>
        </is>
      </c>
      <c r="AU565">
        <f>HYPERLINK("https://creighton-primo.hosted.exlibrisgroup.com/primo-explore/search?tab=default_tab&amp;search_scope=EVERYTHING&amp;vid=01CRU&amp;lang=en_US&amp;offset=0&amp;query=any,contains,991000660659702656","Catalog Record")</f>
        <v/>
      </c>
      <c r="AV565">
        <f>HYPERLINK("http://www.worldcat.org/oclc/80180950","WorldCat Record")</f>
        <v/>
      </c>
      <c r="AW565" t="inlineStr">
        <is>
          <t>56296232:eng</t>
        </is>
      </c>
      <c r="AX565" t="inlineStr">
        <is>
          <t>80180950</t>
        </is>
      </c>
      <c r="AY565" t="inlineStr">
        <is>
          <t>991000660659702656</t>
        </is>
      </c>
      <c r="AZ565" t="inlineStr">
        <is>
          <t>991000660659702656</t>
        </is>
      </c>
      <c r="BA565" t="inlineStr">
        <is>
          <t>2255915390002656</t>
        </is>
      </c>
      <c r="BB565" t="inlineStr">
        <is>
          <t>BOOK</t>
        </is>
      </c>
      <c r="BD565" t="inlineStr">
        <is>
          <t>9781582121048</t>
        </is>
      </c>
      <c r="BE565" t="inlineStr">
        <is>
          <t>30001005270402</t>
        </is>
      </c>
      <c r="BF565" t="inlineStr">
        <is>
          <t>893743049</t>
        </is>
      </c>
    </row>
    <row r="566">
      <c r="B566" t="inlineStr">
        <is>
          <t>CUHSL</t>
        </is>
      </c>
      <c r="C566" t="inlineStr">
        <is>
          <t>SHELVES</t>
        </is>
      </c>
      <c r="D566" t="inlineStr">
        <is>
          <t>QV 738 AA1 P5e 1921</t>
        </is>
      </c>
      <c r="E566" t="inlineStr">
        <is>
          <t>0                      QV 0738000AA 1                  P  5e          1921</t>
        </is>
      </c>
      <c r="F566" t="inlineStr">
        <is>
          <t>Epitome of the Pharmacopeia of the United States and the National formulary, with comments / prepared for the use of physicians under authorization of the Council on Pharmacy and Chemistry of the American Medical Association.</t>
        </is>
      </c>
      <c r="H566" t="inlineStr">
        <is>
          <t>No</t>
        </is>
      </c>
      <c r="I566" t="inlineStr">
        <is>
          <t>1</t>
        </is>
      </c>
      <c r="J566" t="inlineStr">
        <is>
          <t>No</t>
        </is>
      </c>
      <c r="K566" t="inlineStr">
        <is>
          <t>No</t>
        </is>
      </c>
      <c r="L566" t="inlineStr">
        <is>
          <t>0</t>
        </is>
      </c>
      <c r="N566" t="inlineStr">
        <is>
          <t>Chicago : American Medical Association, 1921.</t>
        </is>
      </c>
      <c r="O566" t="inlineStr">
        <is>
          <t>1921</t>
        </is>
      </c>
      <c r="P566" t="inlineStr">
        <is>
          <t>2d ed.</t>
        </is>
      </c>
      <c r="Q566" t="inlineStr">
        <is>
          <t>eng</t>
        </is>
      </c>
      <c r="R566" t="inlineStr">
        <is>
          <t>xxu</t>
        </is>
      </c>
      <c r="T566" t="inlineStr">
        <is>
          <t xml:space="preserve">QV </t>
        </is>
      </c>
      <c r="U566" t="n">
        <v>0</v>
      </c>
      <c r="V566" t="n">
        <v>0</v>
      </c>
      <c r="W566" t="inlineStr">
        <is>
          <t>2007-02-04</t>
        </is>
      </c>
      <c r="X566" t="inlineStr">
        <is>
          <t>2007-02-04</t>
        </is>
      </c>
      <c r="Y566" t="inlineStr">
        <is>
          <t>1988-02-09</t>
        </is>
      </c>
      <c r="Z566" t="inlineStr">
        <is>
          <t>1988-02-09</t>
        </is>
      </c>
      <c r="AA566" t="n">
        <v>28</v>
      </c>
      <c r="AB566" t="n">
        <v>27</v>
      </c>
      <c r="AC566" t="n">
        <v>83</v>
      </c>
      <c r="AD566" t="n">
        <v>1</v>
      </c>
      <c r="AE566" t="n">
        <v>1</v>
      </c>
      <c r="AF566" t="n">
        <v>0</v>
      </c>
      <c r="AG566" t="n">
        <v>2</v>
      </c>
      <c r="AH566" t="n">
        <v>0</v>
      </c>
      <c r="AI566" t="n">
        <v>2</v>
      </c>
      <c r="AJ566" t="n">
        <v>0</v>
      </c>
      <c r="AK566" t="n">
        <v>1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inlineStr">
        <is>
          <t>Yes</t>
        </is>
      </c>
      <c r="AS566" t="inlineStr">
        <is>
          <t>No</t>
        </is>
      </c>
      <c r="AT566">
        <f>HYPERLINK("http://catalog.hathitrust.org/Record/009778571","HathiTrust Record")</f>
        <v/>
      </c>
      <c r="AU566">
        <f>HYPERLINK("https://creighton-primo.hosted.exlibrisgroup.com/primo-explore/search?tab=default_tab&amp;search_scope=EVERYTHING&amp;vid=01CRU&amp;lang=en_US&amp;offset=0&amp;query=any,contains,991000965499702656","Catalog Record")</f>
        <v/>
      </c>
      <c r="AV566">
        <f>HYPERLINK("http://www.worldcat.org/oclc/4277891","WorldCat Record")</f>
        <v/>
      </c>
      <c r="AW566" t="inlineStr">
        <is>
          <t>5613140103:eng</t>
        </is>
      </c>
      <c r="AX566" t="inlineStr">
        <is>
          <t>4277891</t>
        </is>
      </c>
      <c r="AY566" t="inlineStr">
        <is>
          <t>991000965499702656</t>
        </is>
      </c>
      <c r="AZ566" t="inlineStr">
        <is>
          <t>991000965499702656</t>
        </is>
      </c>
      <c r="BA566" t="inlineStr">
        <is>
          <t>2257006970002656</t>
        </is>
      </c>
      <c r="BB566" t="inlineStr">
        <is>
          <t>BOOK</t>
        </is>
      </c>
      <c r="BE566" t="inlineStr">
        <is>
          <t>30001000199978</t>
        </is>
      </c>
      <c r="BF566" t="inlineStr">
        <is>
          <t>893267877</t>
        </is>
      </c>
    </row>
    <row r="567">
      <c r="B567" t="inlineStr">
        <is>
          <t>CUHSL</t>
        </is>
      </c>
      <c r="C567" t="inlineStr">
        <is>
          <t>SHELVES</t>
        </is>
      </c>
      <c r="D567" t="inlineStr">
        <is>
          <t>QV 738 H754 1992</t>
        </is>
      </c>
      <c r="E567" t="inlineStr">
        <is>
          <t>0                      QV 0738000H  754         1992</t>
        </is>
      </c>
      <c r="F567" t="inlineStr">
        <is>
          <t>The Homoeopathic pharmacopoeia of the United States revision service.</t>
        </is>
      </c>
      <c r="G567" t="inlineStr">
        <is>
          <t>V. 5</t>
        </is>
      </c>
      <c r="H567" t="inlineStr">
        <is>
          <t>Yes</t>
        </is>
      </c>
      <c r="I567" t="inlineStr">
        <is>
          <t>1</t>
        </is>
      </c>
      <c r="J567" t="inlineStr">
        <is>
          <t>No</t>
        </is>
      </c>
      <c r="K567" t="inlineStr">
        <is>
          <t>No</t>
        </is>
      </c>
      <c r="L567" t="inlineStr">
        <is>
          <t>0</t>
        </is>
      </c>
      <c r="N567" t="inlineStr">
        <is>
          <t>[Washington, D.C.] : Homoeopathic Pharmacopoeia Convention of the United States, c1988-</t>
        </is>
      </c>
      <c r="O567" t="inlineStr">
        <is>
          <t>1988</t>
        </is>
      </c>
      <c r="Q567" t="inlineStr">
        <is>
          <t>eng</t>
        </is>
      </c>
      <c r="R567" t="inlineStr">
        <is>
          <t>dcu</t>
        </is>
      </c>
      <c r="T567" t="inlineStr">
        <is>
          <t xml:space="preserve">QV </t>
        </is>
      </c>
      <c r="U567" t="n">
        <v>0</v>
      </c>
      <c r="V567" t="n">
        <v>6</v>
      </c>
      <c r="X567" t="inlineStr">
        <is>
          <t>1993-11-22</t>
        </is>
      </c>
      <c r="Y567" t="inlineStr">
        <is>
          <t>1994-06-16</t>
        </is>
      </c>
      <c r="Z567" t="inlineStr">
        <is>
          <t>1994-06-16</t>
        </is>
      </c>
      <c r="AA567" t="n">
        <v>13</v>
      </c>
      <c r="AB567" t="n">
        <v>13</v>
      </c>
      <c r="AC567" t="n">
        <v>13</v>
      </c>
      <c r="AD567" t="n">
        <v>1</v>
      </c>
      <c r="AE567" t="n">
        <v>1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inlineStr">
        <is>
          <t>No</t>
        </is>
      </c>
      <c r="AS567" t="inlineStr">
        <is>
          <t>No</t>
        </is>
      </c>
      <c r="AU567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67">
        <f>HYPERLINK("http://www.worldcat.org/oclc/21793065","WorldCat Record")</f>
        <v/>
      </c>
      <c r="AW567" t="inlineStr">
        <is>
          <t>54685504:eng</t>
        </is>
      </c>
      <c r="AX567" t="inlineStr">
        <is>
          <t>21793065</t>
        </is>
      </c>
      <c r="AY567" t="inlineStr">
        <is>
          <t>991001231689702656</t>
        </is>
      </c>
      <c r="AZ567" t="inlineStr">
        <is>
          <t>991001231689702656</t>
        </is>
      </c>
      <c r="BA567" t="inlineStr">
        <is>
          <t>2265077390002656</t>
        </is>
      </c>
      <c r="BB567" t="inlineStr">
        <is>
          <t>BOOK</t>
        </is>
      </c>
      <c r="BE567" t="inlineStr">
        <is>
          <t>30001003006345</t>
        </is>
      </c>
      <c r="BF567" t="inlineStr">
        <is>
          <t>893369250</t>
        </is>
      </c>
    </row>
    <row r="568">
      <c r="B568" t="inlineStr">
        <is>
          <t>CUHSL</t>
        </is>
      </c>
      <c r="C568" t="inlineStr">
        <is>
          <t>SHELVES</t>
        </is>
      </c>
      <c r="D568" t="inlineStr">
        <is>
          <t>QV 738 H754 1992</t>
        </is>
      </c>
      <c r="E568" t="inlineStr">
        <is>
          <t>0                      QV 0738000H  754         1992</t>
        </is>
      </c>
      <c r="F568" t="inlineStr">
        <is>
          <t>The Homoeopathic pharmacopoeia of the United States revision service.</t>
        </is>
      </c>
      <c r="G568" t="inlineStr">
        <is>
          <t>V. 3</t>
        </is>
      </c>
      <c r="H568" t="inlineStr">
        <is>
          <t>Yes</t>
        </is>
      </c>
      <c r="I568" t="inlineStr">
        <is>
          <t>1</t>
        </is>
      </c>
      <c r="J568" t="inlineStr">
        <is>
          <t>No</t>
        </is>
      </c>
      <c r="K568" t="inlineStr">
        <is>
          <t>No</t>
        </is>
      </c>
      <c r="L568" t="inlineStr">
        <is>
          <t>0</t>
        </is>
      </c>
      <c r="N568" t="inlineStr">
        <is>
          <t>[Washington, D.C.] : Homoeopathic Pharmacopoeia Convention of the United States, c1988-</t>
        </is>
      </c>
      <c r="O568" t="inlineStr">
        <is>
          <t>1988</t>
        </is>
      </c>
      <c r="Q568" t="inlineStr">
        <is>
          <t>eng</t>
        </is>
      </c>
      <c r="R568" t="inlineStr">
        <is>
          <t>dcu</t>
        </is>
      </c>
      <c r="T568" t="inlineStr">
        <is>
          <t xml:space="preserve">QV </t>
        </is>
      </c>
      <c r="U568" t="n">
        <v>1</v>
      </c>
      <c r="V568" t="n">
        <v>6</v>
      </c>
      <c r="W568" t="inlineStr">
        <is>
          <t>1993-11-22</t>
        </is>
      </c>
      <c r="X568" t="inlineStr">
        <is>
          <t>1993-11-22</t>
        </is>
      </c>
      <c r="Y568" t="inlineStr">
        <is>
          <t>1993-11-22</t>
        </is>
      </c>
      <c r="Z568" t="inlineStr">
        <is>
          <t>1994-06-16</t>
        </is>
      </c>
      <c r="AA568" t="n">
        <v>13</v>
      </c>
      <c r="AB568" t="n">
        <v>13</v>
      </c>
      <c r="AC568" t="n">
        <v>13</v>
      </c>
      <c r="AD568" t="n">
        <v>1</v>
      </c>
      <c r="AE568" t="n">
        <v>1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0</v>
      </c>
      <c r="AO568" t="n">
        <v>0</v>
      </c>
      <c r="AP568" t="n">
        <v>0</v>
      </c>
      <c r="AQ568" t="n">
        <v>0</v>
      </c>
      <c r="AR568" t="inlineStr">
        <is>
          <t>No</t>
        </is>
      </c>
      <c r="AS568" t="inlineStr">
        <is>
          <t>No</t>
        </is>
      </c>
      <c r="AU568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68">
        <f>HYPERLINK("http://www.worldcat.org/oclc/21793065","WorldCat Record")</f>
        <v/>
      </c>
      <c r="AW568" t="inlineStr">
        <is>
          <t>54685504:eng</t>
        </is>
      </c>
      <c r="AX568" t="inlineStr">
        <is>
          <t>21793065</t>
        </is>
      </c>
      <c r="AY568" t="inlineStr">
        <is>
          <t>991001231689702656</t>
        </is>
      </c>
      <c r="AZ568" t="inlineStr">
        <is>
          <t>991001231689702656</t>
        </is>
      </c>
      <c r="BA568" t="inlineStr">
        <is>
          <t>2265077390002656</t>
        </is>
      </c>
      <c r="BB568" t="inlineStr">
        <is>
          <t>BOOK</t>
        </is>
      </c>
      <c r="BE568" t="inlineStr">
        <is>
          <t>30001002602250</t>
        </is>
      </c>
      <c r="BF568" t="inlineStr">
        <is>
          <t>893369251</t>
        </is>
      </c>
    </row>
    <row r="569">
      <c r="B569" t="inlineStr">
        <is>
          <t>CUHSL</t>
        </is>
      </c>
      <c r="C569" t="inlineStr">
        <is>
          <t>SHELVES</t>
        </is>
      </c>
      <c r="D569" t="inlineStr">
        <is>
          <t>QV 738 H754 1992</t>
        </is>
      </c>
      <c r="E569" t="inlineStr">
        <is>
          <t>0                      QV 0738000H  754         1992</t>
        </is>
      </c>
      <c r="F569" t="inlineStr">
        <is>
          <t>The Homoeopathic pharmacopoeia of the United States revision service.</t>
        </is>
      </c>
      <c r="G569" t="inlineStr">
        <is>
          <t>V. 2</t>
        </is>
      </c>
      <c r="H569" t="inlineStr">
        <is>
          <t>Yes</t>
        </is>
      </c>
      <c r="I569" t="inlineStr">
        <is>
          <t>1</t>
        </is>
      </c>
      <c r="J569" t="inlineStr">
        <is>
          <t>No</t>
        </is>
      </c>
      <c r="K569" t="inlineStr">
        <is>
          <t>No</t>
        </is>
      </c>
      <c r="L569" t="inlineStr">
        <is>
          <t>0</t>
        </is>
      </c>
      <c r="N569" t="inlineStr">
        <is>
          <t>[Washington, D.C.] : Homoeopathic Pharmacopoeia Convention of the United States, c1988-</t>
        </is>
      </c>
      <c r="O569" t="inlineStr">
        <is>
          <t>1988</t>
        </is>
      </c>
      <c r="Q569" t="inlineStr">
        <is>
          <t>eng</t>
        </is>
      </c>
      <c r="R569" t="inlineStr">
        <is>
          <t>dcu</t>
        </is>
      </c>
      <c r="T569" t="inlineStr">
        <is>
          <t xml:space="preserve">QV </t>
        </is>
      </c>
      <c r="U569" t="n">
        <v>2</v>
      </c>
      <c r="V569" t="n">
        <v>6</v>
      </c>
      <c r="W569" t="inlineStr">
        <is>
          <t>1993-11-22</t>
        </is>
      </c>
      <c r="X569" t="inlineStr">
        <is>
          <t>1993-11-22</t>
        </is>
      </c>
      <c r="Y569" t="inlineStr">
        <is>
          <t>1993-11-22</t>
        </is>
      </c>
      <c r="Z569" t="inlineStr">
        <is>
          <t>1994-06-16</t>
        </is>
      </c>
      <c r="AA569" t="n">
        <v>13</v>
      </c>
      <c r="AB569" t="n">
        <v>13</v>
      </c>
      <c r="AC569" t="n">
        <v>13</v>
      </c>
      <c r="AD569" t="n">
        <v>1</v>
      </c>
      <c r="AE569" t="n">
        <v>1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inlineStr">
        <is>
          <t>No</t>
        </is>
      </c>
      <c r="AS569" t="inlineStr">
        <is>
          <t>No</t>
        </is>
      </c>
      <c r="AU569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69">
        <f>HYPERLINK("http://www.worldcat.org/oclc/21793065","WorldCat Record")</f>
        <v/>
      </c>
      <c r="AW569" t="inlineStr">
        <is>
          <t>54685504:eng</t>
        </is>
      </c>
      <c r="AX569" t="inlineStr">
        <is>
          <t>21793065</t>
        </is>
      </c>
      <c r="AY569" t="inlineStr">
        <is>
          <t>991001231689702656</t>
        </is>
      </c>
      <c r="AZ569" t="inlineStr">
        <is>
          <t>991001231689702656</t>
        </is>
      </c>
      <c r="BA569" t="inlineStr">
        <is>
          <t>2265077390002656</t>
        </is>
      </c>
      <c r="BB569" t="inlineStr">
        <is>
          <t>BOOK</t>
        </is>
      </c>
      <c r="BE569" t="inlineStr">
        <is>
          <t>30001002602235</t>
        </is>
      </c>
      <c r="BF569" t="inlineStr">
        <is>
          <t>893369248</t>
        </is>
      </c>
    </row>
    <row r="570">
      <c r="B570" t="inlineStr">
        <is>
          <t>CUHSL</t>
        </is>
      </c>
      <c r="C570" t="inlineStr">
        <is>
          <t>SHELVES</t>
        </is>
      </c>
      <c r="D570" t="inlineStr">
        <is>
          <t>QV 738 H754 1992</t>
        </is>
      </c>
      <c r="E570" t="inlineStr">
        <is>
          <t>0                      QV 0738000H  754         1992</t>
        </is>
      </c>
      <c r="F570" t="inlineStr">
        <is>
          <t>The Homoeopathic pharmacopoeia of the United States revision service.</t>
        </is>
      </c>
      <c r="G570" t="inlineStr">
        <is>
          <t>V. 1</t>
        </is>
      </c>
      <c r="H570" t="inlineStr">
        <is>
          <t>Yes</t>
        </is>
      </c>
      <c r="I570" t="inlineStr">
        <is>
          <t>1</t>
        </is>
      </c>
      <c r="J570" t="inlineStr">
        <is>
          <t>No</t>
        </is>
      </c>
      <c r="K570" t="inlineStr">
        <is>
          <t>No</t>
        </is>
      </c>
      <c r="L570" t="inlineStr">
        <is>
          <t>0</t>
        </is>
      </c>
      <c r="N570" t="inlineStr">
        <is>
          <t>[Washington, D.C.] : Homoeopathic Pharmacopoeia Convention of the United States, c1988-</t>
        </is>
      </c>
      <c r="O570" t="inlineStr">
        <is>
          <t>1988</t>
        </is>
      </c>
      <c r="Q570" t="inlineStr">
        <is>
          <t>eng</t>
        </is>
      </c>
      <c r="R570" t="inlineStr">
        <is>
          <t>dcu</t>
        </is>
      </c>
      <c r="T570" t="inlineStr">
        <is>
          <t xml:space="preserve">QV </t>
        </is>
      </c>
      <c r="U570" t="n">
        <v>2</v>
      </c>
      <c r="V570" t="n">
        <v>6</v>
      </c>
      <c r="W570" t="inlineStr">
        <is>
          <t>1993-11-22</t>
        </is>
      </c>
      <c r="X570" t="inlineStr">
        <is>
          <t>1993-11-22</t>
        </is>
      </c>
      <c r="Y570" t="inlineStr">
        <is>
          <t>1993-10-11</t>
        </is>
      </c>
      <c r="Z570" t="inlineStr">
        <is>
          <t>1994-06-16</t>
        </is>
      </c>
      <c r="AA570" t="n">
        <v>13</v>
      </c>
      <c r="AB570" t="n">
        <v>13</v>
      </c>
      <c r="AC570" t="n">
        <v>13</v>
      </c>
      <c r="AD570" t="n">
        <v>1</v>
      </c>
      <c r="AE570" t="n">
        <v>1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inlineStr">
        <is>
          <t>No</t>
        </is>
      </c>
      <c r="AS570" t="inlineStr">
        <is>
          <t>No</t>
        </is>
      </c>
      <c r="AU570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70">
        <f>HYPERLINK("http://www.worldcat.org/oclc/21793065","WorldCat Record")</f>
        <v/>
      </c>
      <c r="AW570" t="inlineStr">
        <is>
          <t>54685504:eng</t>
        </is>
      </c>
      <c r="AX570" t="inlineStr">
        <is>
          <t>21793065</t>
        </is>
      </c>
      <c r="AY570" t="inlineStr">
        <is>
          <t>991001231689702656</t>
        </is>
      </c>
      <c r="AZ570" t="inlineStr">
        <is>
          <t>991001231689702656</t>
        </is>
      </c>
      <c r="BA570" t="inlineStr">
        <is>
          <t>2265077390002656</t>
        </is>
      </c>
      <c r="BB570" t="inlineStr">
        <is>
          <t>BOOK</t>
        </is>
      </c>
      <c r="BE570" t="inlineStr">
        <is>
          <t>30001002579425</t>
        </is>
      </c>
      <c r="BF570" t="inlineStr">
        <is>
          <t>893374378</t>
        </is>
      </c>
    </row>
    <row r="571">
      <c r="B571" t="inlineStr">
        <is>
          <t>CUHSL</t>
        </is>
      </c>
      <c r="C571" t="inlineStr">
        <is>
          <t>SHELVES</t>
        </is>
      </c>
      <c r="D571" t="inlineStr">
        <is>
          <t>QV 738 H754 1992</t>
        </is>
      </c>
      <c r="E571" t="inlineStr">
        <is>
          <t>0                      QV 0738000H  754         1992</t>
        </is>
      </c>
      <c r="F571" t="inlineStr">
        <is>
          <t>The Homoeopathic pharmacopoeia of the United States revision service.</t>
        </is>
      </c>
      <c r="G571" t="inlineStr">
        <is>
          <t>V. 4</t>
        </is>
      </c>
      <c r="H571" t="inlineStr">
        <is>
          <t>Yes</t>
        </is>
      </c>
      <c r="I571" t="inlineStr">
        <is>
          <t>1</t>
        </is>
      </c>
      <c r="J571" t="inlineStr">
        <is>
          <t>No</t>
        </is>
      </c>
      <c r="K571" t="inlineStr">
        <is>
          <t>No</t>
        </is>
      </c>
      <c r="L571" t="inlineStr">
        <is>
          <t>0</t>
        </is>
      </c>
      <c r="N571" t="inlineStr">
        <is>
          <t>[Washington, D.C.] : Homoeopathic Pharmacopoeia Convention of the United States, c1988-</t>
        </is>
      </c>
      <c r="O571" t="inlineStr">
        <is>
          <t>1988</t>
        </is>
      </c>
      <c r="Q571" t="inlineStr">
        <is>
          <t>eng</t>
        </is>
      </c>
      <c r="R571" t="inlineStr">
        <is>
          <t>dcu</t>
        </is>
      </c>
      <c r="T571" t="inlineStr">
        <is>
          <t xml:space="preserve">QV </t>
        </is>
      </c>
      <c r="U571" t="n">
        <v>1</v>
      </c>
      <c r="V571" t="n">
        <v>6</v>
      </c>
      <c r="W571" t="inlineStr">
        <is>
          <t>1993-11-22</t>
        </is>
      </c>
      <c r="X571" t="inlineStr">
        <is>
          <t>1993-11-22</t>
        </is>
      </c>
      <c r="Y571" t="inlineStr">
        <is>
          <t>1993-11-22</t>
        </is>
      </c>
      <c r="Z571" t="inlineStr">
        <is>
          <t>1994-06-16</t>
        </is>
      </c>
      <c r="AA571" t="n">
        <v>13</v>
      </c>
      <c r="AB571" t="n">
        <v>13</v>
      </c>
      <c r="AC571" t="n">
        <v>13</v>
      </c>
      <c r="AD571" t="n">
        <v>1</v>
      </c>
      <c r="AE571" t="n">
        <v>1</v>
      </c>
      <c r="AF571" t="n">
        <v>0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0</v>
      </c>
      <c r="AM571" t="n">
        <v>0</v>
      </c>
      <c r="AN571" t="n">
        <v>0</v>
      </c>
      <c r="AO571" t="n">
        <v>0</v>
      </c>
      <c r="AP571" t="n">
        <v>0</v>
      </c>
      <c r="AQ571" t="n">
        <v>0</v>
      </c>
      <c r="AR571" t="inlineStr">
        <is>
          <t>No</t>
        </is>
      </c>
      <c r="AS571" t="inlineStr">
        <is>
          <t>No</t>
        </is>
      </c>
      <c r="AU571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71">
        <f>HYPERLINK("http://www.worldcat.org/oclc/21793065","WorldCat Record")</f>
        <v/>
      </c>
      <c r="AW571" t="inlineStr">
        <is>
          <t>54685504:eng</t>
        </is>
      </c>
      <c r="AX571" t="inlineStr">
        <is>
          <t>21793065</t>
        </is>
      </c>
      <c r="AY571" t="inlineStr">
        <is>
          <t>991001231689702656</t>
        </is>
      </c>
      <c r="AZ571" t="inlineStr">
        <is>
          <t>991001231689702656</t>
        </is>
      </c>
      <c r="BA571" t="inlineStr">
        <is>
          <t>2265077390002656</t>
        </is>
      </c>
      <c r="BB571" t="inlineStr">
        <is>
          <t>BOOK</t>
        </is>
      </c>
      <c r="BE571" t="inlineStr">
        <is>
          <t>30001002602276</t>
        </is>
      </c>
      <c r="BF571" t="inlineStr">
        <is>
          <t>893369249</t>
        </is>
      </c>
    </row>
    <row r="572">
      <c r="B572" t="inlineStr">
        <is>
          <t>CUHSL</t>
        </is>
      </c>
      <c r="C572" t="inlineStr">
        <is>
          <t>SHELVES</t>
        </is>
      </c>
      <c r="D572" t="inlineStr">
        <is>
          <t>QV 738 O58 1991</t>
        </is>
      </c>
      <c r="E572" t="inlineStr">
        <is>
          <t>0                      QV 0738000O  58          1991</t>
        </is>
      </c>
      <c r="F572" t="inlineStr">
        <is>
          <t>170 years of USP : the end of the beginning : proceedings of the United States Pharmacopeial Convention, Inc.</t>
        </is>
      </c>
      <c r="H572" t="inlineStr">
        <is>
          <t>No</t>
        </is>
      </c>
      <c r="I572" t="inlineStr">
        <is>
          <t>1</t>
        </is>
      </c>
      <c r="J572" t="inlineStr">
        <is>
          <t>No</t>
        </is>
      </c>
      <c r="K572" t="inlineStr">
        <is>
          <t>No</t>
        </is>
      </c>
      <c r="L572" t="inlineStr">
        <is>
          <t>0</t>
        </is>
      </c>
      <c r="N572" t="inlineStr">
        <is>
          <t>Rockville, MD : United States Pharmacopeial Convention, Inc., Board of Trustees, c1991.</t>
        </is>
      </c>
      <c r="O572" t="inlineStr">
        <is>
          <t>1991</t>
        </is>
      </c>
      <c r="Q572" t="inlineStr">
        <is>
          <t>eng</t>
        </is>
      </c>
      <c r="R572" t="inlineStr">
        <is>
          <t>mdu</t>
        </is>
      </c>
      <c r="T572" t="inlineStr">
        <is>
          <t xml:space="preserve">QV </t>
        </is>
      </c>
      <c r="U572" t="n">
        <v>1</v>
      </c>
      <c r="V572" t="n">
        <v>1</v>
      </c>
      <c r="W572" t="inlineStr">
        <is>
          <t>1991-07-23</t>
        </is>
      </c>
      <c r="X572" t="inlineStr">
        <is>
          <t>1991-07-23</t>
        </is>
      </c>
      <c r="Y572" t="inlineStr">
        <is>
          <t>1991-07-23</t>
        </is>
      </c>
      <c r="Z572" t="inlineStr">
        <is>
          <t>1991-07-23</t>
        </is>
      </c>
      <c r="AA572" t="n">
        <v>71</v>
      </c>
      <c r="AB572" t="n">
        <v>69</v>
      </c>
      <c r="AC572" t="n">
        <v>73</v>
      </c>
      <c r="AD572" t="n">
        <v>1</v>
      </c>
      <c r="AE572" t="n">
        <v>1</v>
      </c>
      <c r="AF572" t="n">
        <v>4</v>
      </c>
      <c r="AG572" t="n">
        <v>4</v>
      </c>
      <c r="AH572" t="n">
        <v>2</v>
      </c>
      <c r="AI572" t="n">
        <v>2</v>
      </c>
      <c r="AJ572" t="n">
        <v>2</v>
      </c>
      <c r="AK572" t="n">
        <v>2</v>
      </c>
      <c r="AL572" t="n">
        <v>1</v>
      </c>
      <c r="AM572" t="n">
        <v>1</v>
      </c>
      <c r="AN572" t="n">
        <v>0</v>
      </c>
      <c r="AO572" t="n">
        <v>0</v>
      </c>
      <c r="AP572" t="n">
        <v>0</v>
      </c>
      <c r="AQ572" t="n">
        <v>0</v>
      </c>
      <c r="AR572" t="inlineStr">
        <is>
          <t>No</t>
        </is>
      </c>
      <c r="AS572" t="inlineStr">
        <is>
          <t>No</t>
        </is>
      </c>
      <c r="AU572">
        <f>HYPERLINK("https://creighton-primo.hosted.exlibrisgroup.com/primo-explore/search?tab=default_tab&amp;search_scope=EVERYTHING&amp;vid=01CRU&amp;lang=en_US&amp;offset=0&amp;query=any,contains,991000943739702656","Catalog Record")</f>
        <v/>
      </c>
      <c r="AV572">
        <f>HYPERLINK("http://www.worldcat.org/oclc/23961660","WorldCat Record")</f>
        <v/>
      </c>
      <c r="AW572" t="inlineStr">
        <is>
          <t>1080856148:eng</t>
        </is>
      </c>
      <c r="AX572" t="inlineStr">
        <is>
          <t>23961660</t>
        </is>
      </c>
      <c r="AY572" t="inlineStr">
        <is>
          <t>991000943739702656</t>
        </is>
      </c>
      <c r="AZ572" t="inlineStr">
        <is>
          <t>991000943739702656</t>
        </is>
      </c>
      <c r="BA572" t="inlineStr">
        <is>
          <t>2269923040002656</t>
        </is>
      </c>
      <c r="BB572" t="inlineStr">
        <is>
          <t>BOOK</t>
        </is>
      </c>
      <c r="BE572" t="inlineStr">
        <is>
          <t>30001002193193</t>
        </is>
      </c>
      <c r="BF572" t="inlineStr">
        <is>
          <t>893727105</t>
        </is>
      </c>
    </row>
    <row r="573">
      <c r="B573" t="inlineStr">
        <is>
          <t>CUHSL</t>
        </is>
      </c>
      <c r="C573" t="inlineStr">
        <is>
          <t>SHELVES</t>
        </is>
      </c>
      <c r="D573" t="inlineStr">
        <is>
          <t>QV 740 AA1 A17</t>
        </is>
      </c>
      <c r="E573" t="inlineStr">
        <is>
          <t>0                      QV 0740000AA 1                  A  17</t>
        </is>
      </c>
      <c r="F573" t="inlineStr">
        <is>
          <t>AMA drug evaluations / evaluated by the AMA Council on Drugs.</t>
        </is>
      </c>
      <c r="H573" t="inlineStr">
        <is>
          <t>No</t>
        </is>
      </c>
      <c r="I573" t="inlineStr">
        <is>
          <t>1</t>
        </is>
      </c>
      <c r="J573" t="inlineStr">
        <is>
          <t>No</t>
        </is>
      </c>
      <c r="K573" t="inlineStr">
        <is>
          <t>No</t>
        </is>
      </c>
      <c r="L573" t="inlineStr">
        <is>
          <t>0</t>
        </is>
      </c>
      <c r="N573" t="inlineStr">
        <is>
          <t>Chicago : Americal Medical Association, 1971.</t>
        </is>
      </c>
      <c r="O573" t="inlineStr">
        <is>
          <t>1971</t>
        </is>
      </c>
      <c r="P573" t="inlineStr">
        <is>
          <t>1st ed.</t>
        </is>
      </c>
      <c r="Q573" t="inlineStr">
        <is>
          <t>eng</t>
        </is>
      </c>
      <c r="R573" t="inlineStr">
        <is>
          <t>ilu</t>
        </is>
      </c>
      <c r="T573" t="inlineStr">
        <is>
          <t xml:space="preserve">QV </t>
        </is>
      </c>
      <c r="U573" t="n">
        <v>0</v>
      </c>
      <c r="V573" t="n">
        <v>0</v>
      </c>
      <c r="W573" t="inlineStr">
        <is>
          <t>2002-04-25</t>
        </is>
      </c>
      <c r="X573" t="inlineStr">
        <is>
          <t>2002-04-25</t>
        </is>
      </c>
      <c r="Y573" t="inlineStr">
        <is>
          <t>1988-03-27</t>
        </is>
      </c>
      <c r="Z573" t="inlineStr">
        <is>
          <t>1988-03-27</t>
        </is>
      </c>
      <c r="AA573" t="n">
        <v>29</v>
      </c>
      <c r="AB573" t="n">
        <v>17</v>
      </c>
      <c r="AC573" t="n">
        <v>215</v>
      </c>
      <c r="AD573" t="n">
        <v>1</v>
      </c>
      <c r="AE573" t="n">
        <v>2</v>
      </c>
      <c r="AF573" t="n">
        <v>0</v>
      </c>
      <c r="AG573" t="n">
        <v>3</v>
      </c>
      <c r="AH573" t="n">
        <v>0</v>
      </c>
      <c r="AI573" t="n">
        <v>1</v>
      </c>
      <c r="AJ573" t="n">
        <v>0</v>
      </c>
      <c r="AK573" t="n">
        <v>2</v>
      </c>
      <c r="AL573" t="n">
        <v>0</v>
      </c>
      <c r="AM573" t="n">
        <v>1</v>
      </c>
      <c r="AN573" t="n">
        <v>0</v>
      </c>
      <c r="AO573" t="n">
        <v>0</v>
      </c>
      <c r="AP573" t="n">
        <v>0</v>
      </c>
      <c r="AQ573" t="n">
        <v>0</v>
      </c>
      <c r="AR573" t="inlineStr">
        <is>
          <t>No</t>
        </is>
      </c>
      <c r="AS573" t="inlineStr">
        <is>
          <t>Yes</t>
        </is>
      </c>
      <c r="AT573">
        <f>HYPERLINK("http://catalog.hathitrust.org/Record/009863575","HathiTrust Record")</f>
        <v/>
      </c>
      <c r="AU573">
        <f>HYPERLINK("https://creighton-primo.hosted.exlibrisgroup.com/primo-explore/search?tab=default_tab&amp;search_scope=EVERYTHING&amp;vid=01CRU&amp;lang=en_US&amp;offset=0&amp;query=any,contains,991000990659702656","Catalog Record")</f>
        <v/>
      </c>
      <c r="AV573">
        <f>HYPERLINK("http://www.worldcat.org/oclc/17540175","WorldCat Record")</f>
        <v/>
      </c>
      <c r="AW573" t="inlineStr">
        <is>
          <t>1599212:eng</t>
        </is>
      </c>
      <c r="AX573" t="inlineStr">
        <is>
          <t>17540175</t>
        </is>
      </c>
      <c r="AY573" t="inlineStr">
        <is>
          <t>991000990659702656</t>
        </is>
      </c>
      <c r="AZ573" t="inlineStr">
        <is>
          <t>991000990659702656</t>
        </is>
      </c>
      <c r="BA573" t="inlineStr">
        <is>
          <t>2264602580002656</t>
        </is>
      </c>
      <c r="BB573" t="inlineStr">
        <is>
          <t>BOOK</t>
        </is>
      </c>
      <c r="BE573" t="inlineStr">
        <is>
          <t>30001000225021</t>
        </is>
      </c>
      <c r="BF573" t="inlineStr">
        <is>
          <t>893134162</t>
        </is>
      </c>
    </row>
    <row r="574">
      <c r="B574" t="inlineStr">
        <is>
          <t>CUHSL</t>
        </is>
      </c>
      <c r="C574" t="inlineStr">
        <is>
          <t>SHELVES</t>
        </is>
      </c>
      <c r="D574" t="inlineStr">
        <is>
          <t>QV 740 AA1 A17</t>
        </is>
      </c>
      <c r="E574" t="inlineStr">
        <is>
          <t>0                      QV 0740000AA 1                  A  17</t>
        </is>
      </c>
      <c r="F574" t="inlineStr">
        <is>
          <t>AMA drug evaluations / prepared by the AMA Department of Drugs in cooperation with the American Society for Clinical Pharmacology and Therapeutics.</t>
        </is>
      </c>
      <c r="H574" t="inlineStr">
        <is>
          <t>No</t>
        </is>
      </c>
      <c r="I574" t="inlineStr">
        <is>
          <t>1</t>
        </is>
      </c>
      <c r="J574" t="inlineStr">
        <is>
          <t>No</t>
        </is>
      </c>
      <c r="K574" t="inlineStr">
        <is>
          <t>Yes</t>
        </is>
      </c>
      <c r="L574" t="inlineStr">
        <is>
          <t>0</t>
        </is>
      </c>
      <c r="M574" t="inlineStr">
        <is>
          <t>American Medical Association. Department of Drugs.</t>
        </is>
      </c>
      <c r="N574" t="inlineStr">
        <is>
          <t>Chicago : The Association, 1980.</t>
        </is>
      </c>
      <c r="O574" t="inlineStr">
        <is>
          <t>1980</t>
        </is>
      </c>
      <c r="P574" t="inlineStr">
        <is>
          <t>4th ed.</t>
        </is>
      </c>
      <c r="Q574" t="inlineStr">
        <is>
          <t>eng</t>
        </is>
      </c>
      <c r="R574" t="inlineStr">
        <is>
          <t>ilu</t>
        </is>
      </c>
      <c r="T574" t="inlineStr">
        <is>
          <t xml:space="preserve">QV </t>
        </is>
      </c>
      <c r="U574" t="n">
        <v>1</v>
      </c>
      <c r="V574" t="n">
        <v>1</v>
      </c>
      <c r="W574" t="inlineStr">
        <is>
          <t>2002-04-25</t>
        </is>
      </c>
      <c r="X574" t="inlineStr">
        <is>
          <t>2002-04-25</t>
        </is>
      </c>
      <c r="Y574" t="inlineStr">
        <is>
          <t>1988-03-23</t>
        </is>
      </c>
      <c r="Z574" t="inlineStr">
        <is>
          <t>1988-03-23</t>
        </is>
      </c>
      <c r="AA574" t="n">
        <v>128</v>
      </c>
      <c r="AB574" t="n">
        <v>96</v>
      </c>
      <c r="AC574" t="n">
        <v>185</v>
      </c>
      <c r="AD574" t="n">
        <v>1</v>
      </c>
      <c r="AE574" t="n">
        <v>1</v>
      </c>
      <c r="AF574" t="n">
        <v>1</v>
      </c>
      <c r="AG574" t="n">
        <v>3</v>
      </c>
      <c r="AH574" t="n">
        <v>1</v>
      </c>
      <c r="AI574" t="n">
        <v>1</v>
      </c>
      <c r="AJ574" t="n">
        <v>0</v>
      </c>
      <c r="AK574" t="n">
        <v>1</v>
      </c>
      <c r="AL574" t="n">
        <v>0</v>
      </c>
      <c r="AM574" t="n">
        <v>0</v>
      </c>
      <c r="AN574" t="n">
        <v>0</v>
      </c>
      <c r="AO574" t="n">
        <v>0</v>
      </c>
      <c r="AP574" t="n">
        <v>0</v>
      </c>
      <c r="AQ574" t="n">
        <v>1</v>
      </c>
      <c r="AR574" t="inlineStr">
        <is>
          <t>No</t>
        </is>
      </c>
      <c r="AS574" t="inlineStr">
        <is>
          <t>No</t>
        </is>
      </c>
      <c r="AU574">
        <f>HYPERLINK("https://creighton-primo.hosted.exlibrisgroup.com/primo-explore/search?tab=default_tab&amp;search_scope=EVERYTHING&amp;vid=01CRU&amp;lang=en_US&amp;offset=0&amp;query=any,contains,991001432409702656","Catalog Record")</f>
        <v/>
      </c>
      <c r="AV574">
        <f>HYPERLINK("http://www.worldcat.org/oclc/16481943","WorldCat Record")</f>
        <v/>
      </c>
      <c r="AW574" t="inlineStr">
        <is>
          <t>10628482578:eng</t>
        </is>
      </c>
      <c r="AX574" t="inlineStr">
        <is>
          <t>16481943</t>
        </is>
      </c>
      <c r="AY574" t="inlineStr">
        <is>
          <t>991001432409702656</t>
        </is>
      </c>
      <c r="AZ574" t="inlineStr">
        <is>
          <t>991001432409702656</t>
        </is>
      </c>
      <c r="BA574" t="inlineStr">
        <is>
          <t>2258287610002656</t>
        </is>
      </c>
      <c r="BB574" t="inlineStr">
        <is>
          <t>BOOK</t>
        </is>
      </c>
      <c r="BD574" t="inlineStr">
        <is>
          <t>9780899700045</t>
        </is>
      </c>
      <c r="BE574" t="inlineStr">
        <is>
          <t>30001000525891</t>
        </is>
      </c>
      <c r="BF574" t="inlineStr">
        <is>
          <t>893161986</t>
        </is>
      </c>
    </row>
    <row r="575">
      <c r="B575" t="inlineStr">
        <is>
          <t>CUHSL</t>
        </is>
      </c>
      <c r="C575" t="inlineStr">
        <is>
          <t>SHELVES</t>
        </is>
      </c>
      <c r="D575" t="inlineStr">
        <is>
          <t>QV 740 AA1 A17</t>
        </is>
      </c>
      <c r="E575" t="inlineStr">
        <is>
          <t>0                      QV 0740000AA 1                  A  17</t>
        </is>
      </c>
      <c r="F575" t="inlineStr">
        <is>
          <t>AMA drug evaluations / prepared by the AMA Department of Drugs in cooperation with the American Society for Clinical Pharmacology and Therapeutics.</t>
        </is>
      </c>
      <c r="H575" t="inlineStr">
        <is>
          <t>No</t>
        </is>
      </c>
      <c r="I575" t="inlineStr">
        <is>
          <t>1</t>
        </is>
      </c>
      <c r="J575" t="inlineStr">
        <is>
          <t>No</t>
        </is>
      </c>
      <c r="K575" t="inlineStr">
        <is>
          <t>Yes</t>
        </is>
      </c>
      <c r="L575" t="inlineStr">
        <is>
          <t>0</t>
        </is>
      </c>
      <c r="M575" t="inlineStr">
        <is>
          <t>American Medical Association. Department of Drugs.</t>
        </is>
      </c>
      <c r="N575" t="inlineStr">
        <is>
          <t>Littleton, Mass. : Publishing Sciences Group, 1977.</t>
        </is>
      </c>
      <c r="O575" t="inlineStr">
        <is>
          <t>1977</t>
        </is>
      </c>
      <c r="P575" t="inlineStr">
        <is>
          <t>3rd ed.</t>
        </is>
      </c>
      <c r="Q575" t="inlineStr">
        <is>
          <t>eng</t>
        </is>
      </c>
      <c r="R575" t="inlineStr">
        <is>
          <t>mau</t>
        </is>
      </c>
      <c r="T575" t="inlineStr">
        <is>
          <t xml:space="preserve">QV </t>
        </is>
      </c>
      <c r="U575" t="n">
        <v>1</v>
      </c>
      <c r="V575" t="n">
        <v>1</v>
      </c>
      <c r="W575" t="inlineStr">
        <is>
          <t>2002-04-25</t>
        </is>
      </c>
      <c r="X575" t="inlineStr">
        <is>
          <t>2002-04-25</t>
        </is>
      </c>
      <c r="Y575" t="inlineStr">
        <is>
          <t>1988-03-26</t>
        </is>
      </c>
      <c r="Z575" t="inlineStr">
        <is>
          <t>1988-03-26</t>
        </is>
      </c>
      <c r="AA575" t="n">
        <v>140</v>
      </c>
      <c r="AB575" t="n">
        <v>111</v>
      </c>
      <c r="AC575" t="n">
        <v>185</v>
      </c>
      <c r="AD575" t="n">
        <v>1</v>
      </c>
      <c r="AE575" t="n">
        <v>1</v>
      </c>
      <c r="AF575" t="n">
        <v>2</v>
      </c>
      <c r="AG575" t="n">
        <v>3</v>
      </c>
      <c r="AH575" t="n">
        <v>0</v>
      </c>
      <c r="AI575" t="n">
        <v>1</v>
      </c>
      <c r="AJ575" t="n">
        <v>1</v>
      </c>
      <c r="AK575" t="n">
        <v>1</v>
      </c>
      <c r="AL575" t="n">
        <v>0</v>
      </c>
      <c r="AM575" t="n">
        <v>0</v>
      </c>
      <c r="AN575" t="n">
        <v>0</v>
      </c>
      <c r="AO575" t="n">
        <v>0</v>
      </c>
      <c r="AP575" t="n">
        <v>1</v>
      </c>
      <c r="AQ575" t="n">
        <v>1</v>
      </c>
      <c r="AR575" t="inlineStr">
        <is>
          <t>No</t>
        </is>
      </c>
      <c r="AS575" t="inlineStr">
        <is>
          <t>No</t>
        </is>
      </c>
      <c r="AU575">
        <f>HYPERLINK("https://creighton-primo.hosted.exlibrisgroup.com/primo-explore/search?tab=default_tab&amp;search_scope=EVERYTHING&amp;vid=01CRU&amp;lang=en_US&amp;offset=0&amp;query=any,contains,991000990859702656","Catalog Record")</f>
        <v/>
      </c>
      <c r="AV575">
        <f>HYPERLINK("http://www.worldcat.org/oclc/2926123","WorldCat Record")</f>
        <v/>
      </c>
      <c r="AW575" t="inlineStr">
        <is>
          <t>10628482578:eng</t>
        </is>
      </c>
      <c r="AX575" t="inlineStr">
        <is>
          <t>2926123</t>
        </is>
      </c>
      <c r="AY575" t="inlineStr">
        <is>
          <t>991000990859702656</t>
        </is>
      </c>
      <c r="AZ575" t="inlineStr">
        <is>
          <t>991000990859702656</t>
        </is>
      </c>
      <c r="BA575" t="inlineStr">
        <is>
          <t>2266834770002656</t>
        </is>
      </c>
      <c r="BB575" t="inlineStr">
        <is>
          <t>BOOK</t>
        </is>
      </c>
      <c r="BD575" t="inlineStr">
        <is>
          <t>9780884161752</t>
        </is>
      </c>
      <c r="BE575" t="inlineStr">
        <is>
          <t>30001000225187</t>
        </is>
      </c>
      <c r="BF575" t="inlineStr">
        <is>
          <t>893278583</t>
        </is>
      </c>
    </row>
    <row r="576">
      <c r="B576" t="inlineStr">
        <is>
          <t>CUHSL</t>
        </is>
      </c>
      <c r="C576" t="inlineStr">
        <is>
          <t>SHELVES</t>
        </is>
      </c>
      <c r="D576" t="inlineStr">
        <is>
          <t>QV 740 AA1 A17 1986</t>
        </is>
      </c>
      <c r="E576" t="inlineStr">
        <is>
          <t>0                      QV 0740000AA 1                  A  17          1986</t>
        </is>
      </c>
      <c r="F576" t="inlineStr">
        <is>
          <t>AMA drug evaluations.</t>
        </is>
      </c>
      <c r="H576" t="inlineStr">
        <is>
          <t>No</t>
        </is>
      </c>
      <c r="I576" t="inlineStr">
        <is>
          <t>1</t>
        </is>
      </c>
      <c r="J576" t="inlineStr">
        <is>
          <t>No</t>
        </is>
      </c>
      <c r="K576" t="inlineStr">
        <is>
          <t>No</t>
        </is>
      </c>
      <c r="L576" t="inlineStr">
        <is>
          <t>0</t>
        </is>
      </c>
      <c r="M576" t="inlineStr">
        <is>
          <t>American Medical Association. Division of Drugs and Technology.</t>
        </is>
      </c>
      <c r="N576" t="inlineStr">
        <is>
          <t>Chicago, Ill. : American Medical Association, c1986.</t>
        </is>
      </c>
      <c r="O576" t="inlineStr">
        <is>
          <t>1986</t>
        </is>
      </c>
      <c r="P576" t="inlineStr">
        <is>
          <t>6th ed. / prepared by the American Medical Association, Department of Drugs, Division of Drugs and Technology in cooperation with the American Society for Clinical Pharmacology and Therapeutics.</t>
        </is>
      </c>
      <c r="Q576" t="inlineStr">
        <is>
          <t>eng</t>
        </is>
      </c>
      <c r="R576" t="inlineStr">
        <is>
          <t>ilu</t>
        </is>
      </c>
      <c r="T576" t="inlineStr">
        <is>
          <t xml:space="preserve">QV </t>
        </is>
      </c>
      <c r="U576" t="n">
        <v>14</v>
      </c>
      <c r="V576" t="n">
        <v>14</v>
      </c>
      <c r="W576" t="inlineStr">
        <is>
          <t>2002-04-25</t>
        </is>
      </c>
      <c r="X576" t="inlineStr">
        <is>
          <t>2002-04-25</t>
        </is>
      </c>
      <c r="Y576" t="inlineStr">
        <is>
          <t>1987-12-04</t>
        </is>
      </c>
      <c r="Z576" t="inlineStr">
        <is>
          <t>1987-12-04</t>
        </is>
      </c>
      <c r="AA576" t="n">
        <v>148</v>
      </c>
      <c r="AB576" t="n">
        <v>121</v>
      </c>
      <c r="AC576" t="n">
        <v>153</v>
      </c>
      <c r="AD576" t="n">
        <v>1</v>
      </c>
      <c r="AE576" t="n">
        <v>1</v>
      </c>
      <c r="AF576" t="n">
        <v>2</v>
      </c>
      <c r="AG576" t="n">
        <v>2</v>
      </c>
      <c r="AH576" t="n">
        <v>0</v>
      </c>
      <c r="AI576" t="n">
        <v>0</v>
      </c>
      <c r="AJ576" t="n">
        <v>1</v>
      </c>
      <c r="AK576" t="n">
        <v>1</v>
      </c>
      <c r="AL576" t="n">
        <v>0</v>
      </c>
      <c r="AM576" t="n">
        <v>0</v>
      </c>
      <c r="AN576" t="n">
        <v>0</v>
      </c>
      <c r="AO576" t="n">
        <v>0</v>
      </c>
      <c r="AP576" t="n">
        <v>1</v>
      </c>
      <c r="AQ576" t="n">
        <v>1</v>
      </c>
      <c r="AR576" t="inlineStr">
        <is>
          <t>No</t>
        </is>
      </c>
      <c r="AS576" t="inlineStr">
        <is>
          <t>No</t>
        </is>
      </c>
      <c r="AU576">
        <f>HYPERLINK("https://creighton-primo.hosted.exlibrisgroup.com/primo-explore/search?tab=default_tab&amp;search_scope=EVERYTHING&amp;vid=01CRU&amp;lang=en_US&amp;offset=0&amp;query=any,contains,991001282119702656","Catalog Record")</f>
        <v/>
      </c>
      <c r="AV576">
        <f>HYPERLINK("http://www.worldcat.org/oclc/14280121","WorldCat Record")</f>
        <v/>
      </c>
      <c r="AW576" t="inlineStr">
        <is>
          <t>24338392:eng</t>
        </is>
      </c>
      <c r="AX576" t="inlineStr">
        <is>
          <t>14280121</t>
        </is>
      </c>
      <c r="AY576" t="inlineStr">
        <is>
          <t>991001282119702656</t>
        </is>
      </c>
      <c r="AZ576" t="inlineStr">
        <is>
          <t>991001282119702656</t>
        </is>
      </c>
      <c r="BA576" t="inlineStr">
        <is>
          <t>2260477060002656</t>
        </is>
      </c>
      <c r="BB576" t="inlineStr">
        <is>
          <t>BOOK</t>
        </is>
      </c>
      <c r="BD576" t="inlineStr">
        <is>
          <t>9780899702001</t>
        </is>
      </c>
      <c r="BE576" t="inlineStr">
        <is>
          <t>30001000369316</t>
        </is>
      </c>
      <c r="BF576" t="inlineStr">
        <is>
          <t>893121358</t>
        </is>
      </c>
    </row>
    <row r="577">
      <c r="B577" t="inlineStr">
        <is>
          <t>CUHSL</t>
        </is>
      </c>
      <c r="C577" t="inlineStr">
        <is>
          <t>SHELVES</t>
        </is>
      </c>
      <c r="D577" t="inlineStr">
        <is>
          <t>QV 740 AA1 A53a 1987</t>
        </is>
      </c>
      <c r="E577" t="inlineStr">
        <is>
          <t>0                      QV 0740000AA 1                  A  53a         1987</t>
        </is>
      </c>
      <c r="F577" t="inlineStr">
        <is>
          <t>American Hospital Formulary Service drug information 87.</t>
        </is>
      </c>
      <c r="H577" t="inlineStr">
        <is>
          <t>No</t>
        </is>
      </c>
      <c r="I577" t="inlineStr">
        <is>
          <t>1</t>
        </is>
      </c>
      <c r="J577" t="inlineStr">
        <is>
          <t>No</t>
        </is>
      </c>
      <c r="K577" t="inlineStr">
        <is>
          <t>No</t>
        </is>
      </c>
      <c r="L577" t="inlineStr">
        <is>
          <t>0</t>
        </is>
      </c>
      <c r="N577" t="inlineStr">
        <is>
          <t>Bethesda : American Society of Hospital Pharmacists, c1987.</t>
        </is>
      </c>
      <c r="O577" t="inlineStr">
        <is>
          <t>1987</t>
        </is>
      </c>
      <c r="Q577" t="inlineStr">
        <is>
          <t>eng</t>
        </is>
      </c>
      <c r="R577" t="inlineStr">
        <is>
          <t>mdu</t>
        </is>
      </c>
      <c r="T577" t="inlineStr">
        <is>
          <t xml:space="preserve">QV </t>
        </is>
      </c>
      <c r="U577" t="n">
        <v>19</v>
      </c>
      <c r="V577" t="n">
        <v>19</v>
      </c>
      <c r="W577" t="inlineStr">
        <is>
          <t>1989-12-04</t>
        </is>
      </c>
      <c r="X577" t="inlineStr">
        <is>
          <t>1989-12-04</t>
        </is>
      </c>
      <c r="Y577" t="inlineStr">
        <is>
          <t>1987-09-29</t>
        </is>
      </c>
      <c r="Z577" t="inlineStr">
        <is>
          <t>1987-09-29</t>
        </is>
      </c>
      <c r="AA577" t="n">
        <v>42</v>
      </c>
      <c r="AB577" t="n">
        <v>40</v>
      </c>
      <c r="AC577" t="n">
        <v>40</v>
      </c>
      <c r="AD577" t="n">
        <v>1</v>
      </c>
      <c r="AE577" t="n">
        <v>1</v>
      </c>
      <c r="AF577" t="n">
        <v>1</v>
      </c>
      <c r="AG577" t="n">
        <v>1</v>
      </c>
      <c r="AH577" t="n">
        <v>0</v>
      </c>
      <c r="AI577" t="n">
        <v>0</v>
      </c>
      <c r="AJ577" t="n">
        <v>0</v>
      </c>
      <c r="AK577" t="n">
        <v>0</v>
      </c>
      <c r="AL577" t="n">
        <v>0</v>
      </c>
      <c r="AM577" t="n">
        <v>0</v>
      </c>
      <c r="AN577" t="n">
        <v>0</v>
      </c>
      <c r="AO577" t="n">
        <v>0</v>
      </c>
      <c r="AP577" t="n">
        <v>1</v>
      </c>
      <c r="AQ577" t="n">
        <v>1</v>
      </c>
      <c r="AR577" t="inlineStr">
        <is>
          <t>No</t>
        </is>
      </c>
      <c r="AS577" t="inlineStr">
        <is>
          <t>No</t>
        </is>
      </c>
      <c r="AU577">
        <f>HYPERLINK("https://creighton-primo.hosted.exlibrisgroup.com/primo-explore/search?tab=default_tab&amp;search_scope=EVERYTHING&amp;vid=01CRU&amp;lang=en_US&amp;offset=0&amp;query=any,contains,991000748309702656","Catalog Record")</f>
        <v/>
      </c>
      <c r="AV577">
        <f>HYPERLINK("http://www.worldcat.org/oclc/15341455","WorldCat Record")</f>
        <v/>
      </c>
      <c r="AW577" t="inlineStr">
        <is>
          <t>2863521418:eng</t>
        </is>
      </c>
      <c r="AX577" t="inlineStr">
        <is>
          <t>15341455</t>
        </is>
      </c>
      <c r="AY577" t="inlineStr">
        <is>
          <t>991000748309702656</t>
        </is>
      </c>
      <c r="AZ577" t="inlineStr">
        <is>
          <t>991000748309702656</t>
        </is>
      </c>
      <c r="BA577" t="inlineStr">
        <is>
          <t>2264479270002656</t>
        </is>
      </c>
      <c r="BB577" t="inlineStr">
        <is>
          <t>BOOK</t>
        </is>
      </c>
      <c r="BD577" t="inlineStr">
        <is>
          <t>9780930530716</t>
        </is>
      </c>
      <c r="BE577" t="inlineStr">
        <is>
          <t>30001000046591</t>
        </is>
      </c>
      <c r="BF577" t="inlineStr">
        <is>
          <t>893648042</t>
        </is>
      </c>
    </row>
    <row r="578">
      <c r="B578" t="inlineStr">
        <is>
          <t>CUHSL</t>
        </is>
      </c>
      <c r="C578" t="inlineStr">
        <is>
          <t>SHELVES</t>
        </is>
      </c>
      <c r="D578" t="inlineStr">
        <is>
          <t>QV 740 AA1 A5n 1957</t>
        </is>
      </c>
      <c r="E578" t="inlineStr">
        <is>
          <t>0                      QV 0740000AA 1                  A  5n          1957</t>
        </is>
      </c>
      <c r="F578" t="inlineStr">
        <is>
          <t>New and nonofficial remedies, 1957.</t>
        </is>
      </c>
      <c r="H578" t="inlineStr">
        <is>
          <t>No</t>
        </is>
      </c>
      <c r="I578" t="inlineStr">
        <is>
          <t>1</t>
        </is>
      </c>
      <c r="J578" t="inlineStr">
        <is>
          <t>No</t>
        </is>
      </c>
      <c r="K578" t="inlineStr">
        <is>
          <t>No</t>
        </is>
      </c>
      <c r="L578" t="inlineStr">
        <is>
          <t>0</t>
        </is>
      </c>
      <c r="M578" t="inlineStr">
        <is>
          <t>American Medical Association.</t>
        </is>
      </c>
      <c r="N578" t="inlineStr">
        <is>
          <t>Philadelphia : Lippincott, c1957.</t>
        </is>
      </c>
      <c r="O578" t="inlineStr">
        <is>
          <t>1957</t>
        </is>
      </c>
      <c r="Q578" t="inlineStr">
        <is>
          <t>eng</t>
        </is>
      </c>
      <c r="R578" t="inlineStr">
        <is>
          <t xml:space="preserve">xx </t>
        </is>
      </c>
      <c r="T578" t="inlineStr">
        <is>
          <t xml:space="preserve">QV </t>
        </is>
      </c>
      <c r="U578" t="n">
        <v>2</v>
      </c>
      <c r="V578" t="n">
        <v>2</v>
      </c>
      <c r="W578" t="inlineStr">
        <is>
          <t>1992-11-06</t>
        </is>
      </c>
      <c r="X578" t="inlineStr">
        <is>
          <t>1992-11-06</t>
        </is>
      </c>
      <c r="Y578" t="inlineStr">
        <is>
          <t>1992-11-04</t>
        </is>
      </c>
      <c r="Z578" t="inlineStr">
        <is>
          <t>1992-11-04</t>
        </is>
      </c>
      <c r="AA578" t="n">
        <v>7</v>
      </c>
      <c r="AB578" t="n">
        <v>3</v>
      </c>
      <c r="AC578" t="n">
        <v>18</v>
      </c>
      <c r="AD578" t="n">
        <v>1</v>
      </c>
      <c r="AE578" t="n">
        <v>1</v>
      </c>
      <c r="AF578" t="n">
        <v>0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0</v>
      </c>
      <c r="AM578" t="n">
        <v>0</v>
      </c>
      <c r="AN578" t="n">
        <v>0</v>
      </c>
      <c r="AO578" t="n">
        <v>0</v>
      </c>
      <c r="AP578" t="n">
        <v>0</v>
      </c>
      <c r="AQ578" t="n">
        <v>0</v>
      </c>
      <c r="AR578" t="inlineStr">
        <is>
          <t>No</t>
        </is>
      </c>
      <c r="AS578" t="inlineStr">
        <is>
          <t>No</t>
        </is>
      </c>
      <c r="AU578">
        <f>HYPERLINK("https://creighton-primo.hosted.exlibrisgroup.com/primo-explore/search?tab=default_tab&amp;search_scope=EVERYTHING&amp;vid=01CRU&amp;lang=en_US&amp;offset=0&amp;query=any,contains,991001011139702656","Catalog Record")</f>
        <v/>
      </c>
      <c r="AV578">
        <f>HYPERLINK("http://www.worldcat.org/oclc/20699646","WorldCat Record")</f>
        <v/>
      </c>
      <c r="AW578" t="inlineStr">
        <is>
          <t>4912373:eng</t>
        </is>
      </c>
      <c r="AX578" t="inlineStr">
        <is>
          <t>20699646</t>
        </is>
      </c>
      <c r="AY578" t="inlineStr">
        <is>
          <t>991001011139702656</t>
        </is>
      </c>
      <c r="AZ578" t="inlineStr">
        <is>
          <t>991001011139702656</t>
        </is>
      </c>
      <c r="BA578" t="inlineStr">
        <is>
          <t>2262197600002656</t>
        </is>
      </c>
      <c r="BB578" t="inlineStr">
        <is>
          <t>BOOK</t>
        </is>
      </c>
      <c r="BE578" t="inlineStr">
        <is>
          <t>30001001571654</t>
        </is>
      </c>
      <c r="BF578" t="inlineStr">
        <is>
          <t>893267985</t>
        </is>
      </c>
    </row>
    <row r="579">
      <c r="B579" t="inlineStr">
        <is>
          <t>CUHSL</t>
        </is>
      </c>
      <c r="C579" t="inlineStr">
        <is>
          <t>SHELVES</t>
        </is>
      </c>
      <c r="D579" t="inlineStr">
        <is>
          <t>QV 740 AA1 B4d 1941</t>
        </is>
      </c>
      <c r="E579" t="inlineStr">
        <is>
          <t>0                      QV 0740000AA 1                  B  4d          1941</t>
        </is>
      </c>
      <c r="F579" t="inlineStr">
        <is>
          <t>Drug and specialty formulas : a selected collection of tested, modern and practical formulas for medicinal, household, industrial, commercial, veterinary, cosmetic and food specialties / by Emil J. Belanger.</t>
        </is>
      </c>
      <c r="H579" t="inlineStr">
        <is>
          <t>No</t>
        </is>
      </c>
      <c r="I579" t="inlineStr">
        <is>
          <t>1</t>
        </is>
      </c>
      <c r="J579" t="inlineStr">
        <is>
          <t>No</t>
        </is>
      </c>
      <c r="K579" t="inlineStr">
        <is>
          <t>No</t>
        </is>
      </c>
      <c r="L579" t="inlineStr">
        <is>
          <t>0</t>
        </is>
      </c>
      <c r="M579" t="inlineStr">
        <is>
          <t>Belanger, Emil J.</t>
        </is>
      </c>
      <c r="N579" t="inlineStr">
        <is>
          <t>Brooklyn : Chemical Publ., c1941.</t>
        </is>
      </c>
      <c r="O579" t="inlineStr">
        <is>
          <t>1941</t>
        </is>
      </c>
      <c r="Q579" t="inlineStr">
        <is>
          <t>eng</t>
        </is>
      </c>
      <c r="R579" t="inlineStr">
        <is>
          <t>nyu</t>
        </is>
      </c>
      <c r="T579" t="inlineStr">
        <is>
          <t xml:space="preserve">QV </t>
        </is>
      </c>
      <c r="U579" t="n">
        <v>1</v>
      </c>
      <c r="V579" t="n">
        <v>1</v>
      </c>
      <c r="W579" t="inlineStr">
        <is>
          <t>1992-03-27</t>
        </is>
      </c>
      <c r="X579" t="inlineStr">
        <is>
          <t>1992-03-27</t>
        </is>
      </c>
      <c r="Y579" t="inlineStr">
        <is>
          <t>1988-02-04</t>
        </is>
      </c>
      <c r="Z579" t="inlineStr">
        <is>
          <t>1988-02-04</t>
        </is>
      </c>
      <c r="AA579" t="n">
        <v>95</v>
      </c>
      <c r="AB579" t="n">
        <v>79</v>
      </c>
      <c r="AC579" t="n">
        <v>86</v>
      </c>
      <c r="AD579" t="n">
        <v>1</v>
      </c>
      <c r="AE579" t="n">
        <v>1</v>
      </c>
      <c r="AF579" t="n">
        <v>1</v>
      </c>
      <c r="AG579" t="n">
        <v>1</v>
      </c>
      <c r="AH579" t="n">
        <v>1</v>
      </c>
      <c r="AI579" t="n">
        <v>1</v>
      </c>
      <c r="AJ579" t="n">
        <v>0</v>
      </c>
      <c r="AK579" t="n">
        <v>0</v>
      </c>
      <c r="AL579" t="n">
        <v>0</v>
      </c>
      <c r="AM579" t="n">
        <v>0</v>
      </c>
      <c r="AN579" t="n">
        <v>0</v>
      </c>
      <c r="AO579" t="n">
        <v>0</v>
      </c>
      <c r="AP579" t="n">
        <v>0</v>
      </c>
      <c r="AQ579" t="n">
        <v>0</v>
      </c>
      <c r="AR579" t="inlineStr">
        <is>
          <t>Yes</t>
        </is>
      </c>
      <c r="AS579" t="inlineStr">
        <is>
          <t>No</t>
        </is>
      </c>
      <c r="AT579">
        <f>HYPERLINK("http://catalog.hathitrust.org/Record/001573730","HathiTrust Record")</f>
        <v/>
      </c>
      <c r="AU579">
        <f>HYPERLINK("https://creighton-primo.hosted.exlibrisgroup.com/primo-explore/search?tab=default_tab&amp;search_scope=EVERYTHING&amp;vid=01CRU&amp;lang=en_US&amp;offset=0&amp;query=any,contains,991000991299702656","Catalog Record")</f>
        <v/>
      </c>
      <c r="AV579">
        <f>HYPERLINK("http://www.worldcat.org/oclc/829570","WorldCat Record")</f>
        <v/>
      </c>
      <c r="AW579" t="inlineStr">
        <is>
          <t>234253213:eng</t>
        </is>
      </c>
      <c r="AX579" t="inlineStr">
        <is>
          <t>829570</t>
        </is>
      </c>
      <c r="AY579" t="inlineStr">
        <is>
          <t>991000991299702656</t>
        </is>
      </c>
      <c r="AZ579" t="inlineStr">
        <is>
          <t>991000991299702656</t>
        </is>
      </c>
      <c r="BA579" t="inlineStr">
        <is>
          <t>2269695600002656</t>
        </is>
      </c>
      <c r="BB579" t="inlineStr">
        <is>
          <t>BOOK</t>
        </is>
      </c>
      <c r="BE579" t="inlineStr">
        <is>
          <t>30001000225328</t>
        </is>
      </c>
      <c r="BF579" t="inlineStr">
        <is>
          <t>893637925</t>
        </is>
      </c>
    </row>
    <row r="580">
      <c r="B580" t="inlineStr">
        <is>
          <t>CUHSL</t>
        </is>
      </c>
      <c r="C580" t="inlineStr">
        <is>
          <t>SHELVES</t>
        </is>
      </c>
      <c r="D580" t="inlineStr">
        <is>
          <t>QV 740 AN1 W637a 1990-91</t>
        </is>
      </c>
      <c r="E580" t="inlineStr">
        <is>
          <t>0                      QV 0740000AN 1                  W  637a        1990                  -91</t>
        </is>
      </c>
      <c r="F580" t="inlineStr">
        <is>
          <t>AMI Saint Joseph Hospital formulary, 1990-1991 / William D. Wickman.</t>
        </is>
      </c>
      <c r="H580" t="inlineStr">
        <is>
          <t>No</t>
        </is>
      </c>
      <c r="I580" t="inlineStr">
        <is>
          <t>1</t>
        </is>
      </c>
      <c r="J580" t="inlineStr">
        <is>
          <t>No</t>
        </is>
      </c>
      <c r="K580" t="inlineStr">
        <is>
          <t>No</t>
        </is>
      </c>
      <c r="L580" t="inlineStr">
        <is>
          <t>0</t>
        </is>
      </c>
      <c r="M580" t="inlineStr">
        <is>
          <t>Wickman, William D.</t>
        </is>
      </c>
      <c r="N580" t="inlineStr">
        <is>
          <t>Omaha : Dept. of Pharmaceutical Services, Saint Joseph Hospital, 1990.</t>
        </is>
      </c>
      <c r="O580" t="inlineStr">
        <is>
          <t>1990</t>
        </is>
      </c>
      <c r="P580" t="inlineStr">
        <is>
          <t>10th ed. / Donald R. Fagan.</t>
        </is>
      </c>
      <c r="Q580" t="inlineStr">
        <is>
          <t>eng</t>
        </is>
      </c>
      <c r="R580" t="inlineStr">
        <is>
          <t>nbu</t>
        </is>
      </c>
      <c r="T580" t="inlineStr">
        <is>
          <t xml:space="preserve">QV </t>
        </is>
      </c>
      <c r="U580" t="n">
        <v>3</v>
      </c>
      <c r="V580" t="n">
        <v>3</v>
      </c>
      <c r="W580" t="inlineStr">
        <is>
          <t>1994-09-13</t>
        </is>
      </c>
      <c r="X580" t="inlineStr">
        <is>
          <t>1994-09-13</t>
        </is>
      </c>
      <c r="Y580" t="inlineStr">
        <is>
          <t>1990-10-18</t>
        </is>
      </c>
      <c r="Z580" t="inlineStr">
        <is>
          <t>1990-10-18</t>
        </is>
      </c>
      <c r="AA580" t="n">
        <v>1</v>
      </c>
      <c r="AB580" t="n">
        <v>1</v>
      </c>
      <c r="AC580" t="n">
        <v>1</v>
      </c>
      <c r="AD580" t="n">
        <v>1</v>
      </c>
      <c r="AE580" t="n">
        <v>1</v>
      </c>
      <c r="AF580" t="n">
        <v>0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0</v>
      </c>
      <c r="AM580" t="n">
        <v>0</v>
      </c>
      <c r="AN580" t="n">
        <v>0</v>
      </c>
      <c r="AO580" t="n">
        <v>0</v>
      </c>
      <c r="AP580" t="n">
        <v>0</v>
      </c>
      <c r="AQ580" t="n">
        <v>0</v>
      </c>
      <c r="AR580" t="inlineStr">
        <is>
          <t>No</t>
        </is>
      </c>
      <c r="AS580" t="inlineStr">
        <is>
          <t>No</t>
        </is>
      </c>
      <c r="AU580">
        <f>HYPERLINK("https://creighton-primo.hosted.exlibrisgroup.com/primo-explore/search?tab=default_tab&amp;search_scope=EVERYTHING&amp;vid=01CRU&amp;lang=en_US&amp;offset=0&amp;query=any,contains,991000769819702656","Catalog Record")</f>
        <v/>
      </c>
      <c r="AV580">
        <f>HYPERLINK("http://www.worldcat.org/oclc/23753338","WorldCat Record")</f>
        <v/>
      </c>
      <c r="AW580" t="inlineStr">
        <is>
          <t>24814743:eng</t>
        </is>
      </c>
      <c r="AX580" t="inlineStr">
        <is>
          <t>23753338</t>
        </is>
      </c>
      <c r="AY580" t="inlineStr">
        <is>
          <t>991000769819702656</t>
        </is>
      </c>
      <c r="AZ580" t="inlineStr">
        <is>
          <t>991000769819702656</t>
        </is>
      </c>
      <c r="BA580" t="inlineStr">
        <is>
          <t>2271098520002656</t>
        </is>
      </c>
      <c r="BB580" t="inlineStr">
        <is>
          <t>BOOK</t>
        </is>
      </c>
      <c r="BE580" t="inlineStr">
        <is>
          <t>30001002061853</t>
        </is>
      </c>
      <c r="BF580" t="inlineStr">
        <is>
          <t>893120359</t>
        </is>
      </c>
    </row>
    <row r="581">
      <c r="B581" t="inlineStr">
        <is>
          <t>CUHSL</t>
        </is>
      </c>
      <c r="C581" t="inlineStr">
        <is>
          <t>SHELVES</t>
        </is>
      </c>
      <c r="D581" t="inlineStr">
        <is>
          <t>QV 740 AN1 W637s 1991-92</t>
        </is>
      </c>
      <c r="E581" t="inlineStr">
        <is>
          <t>0                      QV 0740000AN 1                  W  637s        1991                  -92</t>
        </is>
      </c>
      <c r="F581" t="inlineStr">
        <is>
          <t>Saint Joseph Hospital formulary, 1991-1992 / William D. Wickman.</t>
        </is>
      </c>
      <c r="H581" t="inlineStr">
        <is>
          <t>No</t>
        </is>
      </c>
      <c r="I581" t="inlineStr">
        <is>
          <t>1</t>
        </is>
      </c>
      <c r="J581" t="inlineStr">
        <is>
          <t>No</t>
        </is>
      </c>
      <c r="K581" t="inlineStr">
        <is>
          <t>No</t>
        </is>
      </c>
      <c r="L581" t="inlineStr">
        <is>
          <t>0</t>
        </is>
      </c>
      <c r="M581" t="inlineStr">
        <is>
          <t>Wickman, William D.</t>
        </is>
      </c>
      <c r="N581" t="inlineStr">
        <is>
          <t>Omaha : Dept. of Pharmaceutical Services, Saint Joseph Hospital, 1991.</t>
        </is>
      </c>
      <c r="O581" t="inlineStr">
        <is>
          <t>1991</t>
        </is>
      </c>
      <c r="P581" t="inlineStr">
        <is>
          <t>11th ed. / Colleen M. Currie.</t>
        </is>
      </c>
      <c r="Q581" t="inlineStr">
        <is>
          <t>eng</t>
        </is>
      </c>
      <c r="R581" t="inlineStr">
        <is>
          <t>nbu</t>
        </is>
      </c>
      <c r="T581" t="inlineStr">
        <is>
          <t xml:space="preserve">QV </t>
        </is>
      </c>
      <c r="U581" t="n">
        <v>4</v>
      </c>
      <c r="V581" t="n">
        <v>4</v>
      </c>
      <c r="W581" t="inlineStr">
        <is>
          <t>1991-08-23</t>
        </is>
      </c>
      <c r="X581" t="inlineStr">
        <is>
          <t>1991-08-23</t>
        </is>
      </c>
      <c r="Y581" t="inlineStr">
        <is>
          <t>1991-08-23</t>
        </is>
      </c>
      <c r="Z581" t="inlineStr">
        <is>
          <t>1991-08-23</t>
        </is>
      </c>
      <c r="AA581" t="n">
        <v>1</v>
      </c>
      <c r="AB581" t="n">
        <v>1</v>
      </c>
      <c r="AC581" t="n">
        <v>1</v>
      </c>
      <c r="AD581" t="n">
        <v>1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0</v>
      </c>
      <c r="AM581" t="n">
        <v>0</v>
      </c>
      <c r="AN581" t="n">
        <v>0</v>
      </c>
      <c r="AO581" t="n">
        <v>0</v>
      </c>
      <c r="AP581" t="n">
        <v>0</v>
      </c>
      <c r="AQ581" t="n">
        <v>0</v>
      </c>
      <c r="AR581" t="inlineStr">
        <is>
          <t>No</t>
        </is>
      </c>
      <c r="AS581" t="inlineStr">
        <is>
          <t>No</t>
        </is>
      </c>
      <c r="AU581">
        <f>HYPERLINK("https://creighton-primo.hosted.exlibrisgroup.com/primo-explore/search?tab=default_tab&amp;search_scope=EVERYTHING&amp;vid=01CRU&amp;lang=en_US&amp;offset=0&amp;query=any,contains,991000945619702656","Catalog Record")</f>
        <v/>
      </c>
      <c r="AV581">
        <f>HYPERLINK("http://www.worldcat.org/oclc/24944417","WorldCat Record")</f>
        <v/>
      </c>
      <c r="AW581" t="inlineStr">
        <is>
          <t>43777651:eng</t>
        </is>
      </c>
      <c r="AX581" t="inlineStr">
        <is>
          <t>24944417</t>
        </is>
      </c>
      <c r="AY581" t="inlineStr">
        <is>
          <t>991000945619702656</t>
        </is>
      </c>
      <c r="AZ581" t="inlineStr">
        <is>
          <t>991000945619702656</t>
        </is>
      </c>
      <c r="BA581" t="inlineStr">
        <is>
          <t>2265644080002656</t>
        </is>
      </c>
      <c r="BB581" t="inlineStr">
        <is>
          <t>BOOK</t>
        </is>
      </c>
      <c r="BE581" t="inlineStr">
        <is>
          <t>30001002193698</t>
        </is>
      </c>
      <c r="BF581" t="inlineStr">
        <is>
          <t>893731549</t>
        </is>
      </c>
    </row>
    <row r="582">
      <c r="B582" t="inlineStr">
        <is>
          <t>CUHSL</t>
        </is>
      </c>
      <c r="C582" t="inlineStr">
        <is>
          <t>SHELVES</t>
        </is>
      </c>
      <c r="D582" t="inlineStr">
        <is>
          <t>QV 740 FA1 P536 1994</t>
        </is>
      </c>
      <c r="E582" t="inlineStr">
        <is>
          <t>0                      QV 0740000FA 1                  P  536         1994</t>
        </is>
      </c>
      <c r="F582" t="inlineStr">
        <is>
          <t>The pharmaceutical codex : principles and practice of pharmaceutics / editor Walter Lund.</t>
        </is>
      </c>
      <c r="H582" t="inlineStr">
        <is>
          <t>No</t>
        </is>
      </c>
      <c r="I582" t="inlineStr">
        <is>
          <t>1</t>
        </is>
      </c>
      <c r="J582" t="inlineStr">
        <is>
          <t>No</t>
        </is>
      </c>
      <c r="K582" t="inlineStr">
        <is>
          <t>No</t>
        </is>
      </c>
      <c r="L582" t="inlineStr">
        <is>
          <t>0</t>
        </is>
      </c>
      <c r="N582" t="inlineStr">
        <is>
          <t>London : Pharmaceutical Press, c1994.</t>
        </is>
      </c>
      <c r="O582" t="inlineStr">
        <is>
          <t>1994</t>
        </is>
      </c>
      <c r="P582" t="inlineStr">
        <is>
          <t>12th ed.</t>
        </is>
      </c>
      <c r="Q582" t="inlineStr">
        <is>
          <t>eng</t>
        </is>
      </c>
      <c r="R582" t="inlineStr">
        <is>
          <t>enk</t>
        </is>
      </c>
      <c r="T582" t="inlineStr">
        <is>
          <t xml:space="preserve">QV </t>
        </is>
      </c>
      <c r="U582" t="n">
        <v>6</v>
      </c>
      <c r="V582" t="n">
        <v>6</v>
      </c>
      <c r="W582" t="inlineStr">
        <is>
          <t>1994-06-22</t>
        </is>
      </c>
      <c r="X582" t="inlineStr">
        <is>
          <t>1994-06-22</t>
        </is>
      </c>
      <c r="Y582" t="inlineStr">
        <is>
          <t>1994-06-22</t>
        </is>
      </c>
      <c r="Z582" t="inlineStr">
        <is>
          <t>1994-06-22</t>
        </is>
      </c>
      <c r="AA582" t="n">
        <v>34</v>
      </c>
      <c r="AB582" t="n">
        <v>12</v>
      </c>
      <c r="AC582" t="n">
        <v>40</v>
      </c>
      <c r="AD582" t="n">
        <v>1</v>
      </c>
      <c r="AE582" t="n">
        <v>1</v>
      </c>
      <c r="AF582" t="n">
        <v>0</v>
      </c>
      <c r="AG582" t="n">
        <v>1</v>
      </c>
      <c r="AH582" t="n">
        <v>0</v>
      </c>
      <c r="AI582" t="n">
        <v>1</v>
      </c>
      <c r="AJ582" t="n">
        <v>0</v>
      </c>
      <c r="AK582" t="n">
        <v>1</v>
      </c>
      <c r="AL582" t="n">
        <v>0</v>
      </c>
      <c r="AM582" t="n">
        <v>0</v>
      </c>
      <c r="AN582" t="n">
        <v>0</v>
      </c>
      <c r="AO582" t="n">
        <v>0</v>
      </c>
      <c r="AP582" t="n">
        <v>0</v>
      </c>
      <c r="AQ582" t="n">
        <v>0</v>
      </c>
      <c r="AR582" t="inlineStr">
        <is>
          <t>No</t>
        </is>
      </c>
      <c r="AS582" t="inlineStr">
        <is>
          <t>No</t>
        </is>
      </c>
      <c r="AU582">
        <f>HYPERLINK("https://creighton-primo.hosted.exlibrisgroup.com/primo-explore/search?tab=default_tab&amp;search_scope=EVERYTHING&amp;vid=01CRU&amp;lang=en_US&amp;offset=0&amp;query=any,contains,991000671089702656","Catalog Record")</f>
        <v/>
      </c>
      <c r="AV582">
        <f>HYPERLINK("http://www.worldcat.org/oclc/30547377","WorldCat Record")</f>
        <v/>
      </c>
      <c r="AW582" t="inlineStr">
        <is>
          <t>891393286:eng</t>
        </is>
      </c>
      <c r="AX582" t="inlineStr">
        <is>
          <t>30547377</t>
        </is>
      </c>
      <c r="AY582" t="inlineStr">
        <is>
          <t>991000671089702656</t>
        </is>
      </c>
      <c r="AZ582" t="inlineStr">
        <is>
          <t>991000671089702656</t>
        </is>
      </c>
      <c r="BA582" t="inlineStr">
        <is>
          <t>2263902670002656</t>
        </is>
      </c>
      <c r="BB582" t="inlineStr">
        <is>
          <t>BOOK</t>
        </is>
      </c>
      <c r="BD582" t="inlineStr">
        <is>
          <t>9780853692904</t>
        </is>
      </c>
      <c r="BE582" t="inlineStr">
        <is>
          <t>30001002695981</t>
        </is>
      </c>
      <c r="BF582" t="inlineStr">
        <is>
          <t>893730914</t>
        </is>
      </c>
    </row>
    <row r="583">
      <c r="B583" t="inlineStr">
        <is>
          <t>CUHSL</t>
        </is>
      </c>
      <c r="C583" t="inlineStr">
        <is>
          <t>SHELVES</t>
        </is>
      </c>
      <c r="D583" t="inlineStr">
        <is>
          <t>QV740 P964 2003</t>
        </is>
      </c>
      <c r="E583" t="inlineStr">
        <is>
          <t>0                      QV 0740000P  964         2003</t>
        </is>
      </c>
      <c r="F583" t="inlineStr">
        <is>
          <t>Profiles of drug substances, excipients and related methodology / edited by Harry G. Brittain.</t>
        </is>
      </c>
      <c r="H583" t="inlineStr">
        <is>
          <t>No</t>
        </is>
      </c>
      <c r="I583" t="inlineStr">
        <is>
          <t>1</t>
        </is>
      </c>
      <c r="J583" t="inlineStr">
        <is>
          <t>No</t>
        </is>
      </c>
      <c r="K583" t="inlineStr">
        <is>
          <t>No</t>
        </is>
      </c>
      <c r="L583" t="inlineStr">
        <is>
          <t>0</t>
        </is>
      </c>
      <c r="N583" t="inlineStr">
        <is>
          <t>Amsterdam : Boston : Elsevier Science, c2003.</t>
        </is>
      </c>
      <c r="O583" t="inlineStr">
        <is>
          <t>2003</t>
        </is>
      </c>
      <c r="Q583" t="inlineStr">
        <is>
          <t>eng</t>
        </is>
      </c>
      <c r="R583" t="inlineStr">
        <is>
          <t>mau</t>
        </is>
      </c>
      <c r="T583" t="inlineStr">
        <is>
          <t xml:space="preserve">QV </t>
        </is>
      </c>
      <c r="U583" t="n">
        <v>1</v>
      </c>
      <c r="V583" t="n">
        <v>1</v>
      </c>
      <c r="W583" t="inlineStr">
        <is>
          <t>2004-03-10</t>
        </is>
      </c>
      <c r="X583" t="inlineStr">
        <is>
          <t>2004-03-10</t>
        </is>
      </c>
      <c r="Y583" t="inlineStr">
        <is>
          <t>2004-03-02</t>
        </is>
      </c>
      <c r="Z583" t="inlineStr">
        <is>
          <t>2004-03-02</t>
        </is>
      </c>
      <c r="AA583" t="n">
        <v>24</v>
      </c>
      <c r="AB583" t="n">
        <v>16</v>
      </c>
      <c r="AC583" t="n">
        <v>22</v>
      </c>
      <c r="AD583" t="n">
        <v>1</v>
      </c>
      <c r="AE583" t="n">
        <v>1</v>
      </c>
      <c r="AF583" t="n">
        <v>1</v>
      </c>
      <c r="AG583" t="n">
        <v>1</v>
      </c>
      <c r="AH583" t="n">
        <v>1</v>
      </c>
      <c r="AI583" t="n">
        <v>1</v>
      </c>
      <c r="AJ583" t="n">
        <v>0</v>
      </c>
      <c r="AK583" t="n">
        <v>0</v>
      </c>
      <c r="AL583" t="n">
        <v>0</v>
      </c>
      <c r="AM583" t="n">
        <v>0</v>
      </c>
      <c r="AN583" t="n">
        <v>0</v>
      </c>
      <c r="AO583" t="n">
        <v>0</v>
      </c>
      <c r="AP583" t="n">
        <v>0</v>
      </c>
      <c r="AQ583" t="n">
        <v>0</v>
      </c>
      <c r="AR583" t="inlineStr">
        <is>
          <t>No</t>
        </is>
      </c>
      <c r="AS583" t="inlineStr">
        <is>
          <t>No</t>
        </is>
      </c>
      <c r="AU583">
        <f>HYPERLINK("https://creighton-primo.hosted.exlibrisgroup.com/primo-explore/search?tab=default_tab&amp;search_scope=EVERYTHING&amp;vid=01CRU&amp;lang=en_US&amp;offset=0&amp;query=any,contains,991000367429702656","Catalog Record")</f>
        <v/>
      </c>
      <c r="AV583">
        <f>HYPERLINK("http://www.worldcat.org/oclc/53982835","WorldCat Record")</f>
        <v/>
      </c>
      <c r="AW583" t="inlineStr">
        <is>
          <t>4111577215:eng</t>
        </is>
      </c>
      <c r="AX583" t="inlineStr">
        <is>
          <t>53982835</t>
        </is>
      </c>
      <c r="AY583" t="inlineStr">
        <is>
          <t>991000367429702656</t>
        </is>
      </c>
      <c r="AZ583" t="inlineStr">
        <is>
          <t>991000367429702656</t>
        </is>
      </c>
      <c r="BA583" t="inlineStr">
        <is>
          <t>2265751710002656</t>
        </is>
      </c>
      <c r="BB583" t="inlineStr">
        <is>
          <t>BOOK</t>
        </is>
      </c>
      <c r="BD583" t="inlineStr">
        <is>
          <t>9780122608308</t>
        </is>
      </c>
      <c r="BE583" t="inlineStr">
        <is>
          <t>30001004509693</t>
        </is>
      </c>
      <c r="BF583" t="inlineStr">
        <is>
          <t>893370415</t>
        </is>
      </c>
    </row>
    <row r="584">
      <c r="B584" t="inlineStr">
        <is>
          <t>CUHSL</t>
        </is>
      </c>
      <c r="C584" t="inlineStr">
        <is>
          <t>SHELVES</t>
        </is>
      </c>
      <c r="D584" t="inlineStr">
        <is>
          <t>QV 744 C737 1990</t>
        </is>
      </c>
      <c r="E584" t="inlineStr">
        <is>
          <t>0                      QV 0744000C  737         1990</t>
        </is>
      </c>
      <c r="F584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4" t="inlineStr">
        <is>
          <t>V. 4</t>
        </is>
      </c>
      <c r="H584" t="inlineStr">
        <is>
          <t>Yes</t>
        </is>
      </c>
      <c r="I584" t="inlineStr">
        <is>
          <t>1</t>
        </is>
      </c>
      <c r="J584" t="inlineStr">
        <is>
          <t>No</t>
        </is>
      </c>
      <c r="K584" t="inlineStr">
        <is>
          <t>No</t>
        </is>
      </c>
      <c r="L584" t="inlineStr">
        <is>
          <t>0</t>
        </is>
      </c>
      <c r="N584" t="inlineStr">
        <is>
          <t>Oxford ; New York : Pergamon Press, c1990.</t>
        </is>
      </c>
      <c r="O584" t="inlineStr">
        <is>
          <t>1990</t>
        </is>
      </c>
      <c r="P584" t="inlineStr">
        <is>
          <t>1st ed.</t>
        </is>
      </c>
      <c r="Q584" t="inlineStr">
        <is>
          <t>eng</t>
        </is>
      </c>
      <c r="R584" t="inlineStr">
        <is>
          <t>enk</t>
        </is>
      </c>
      <c r="T584" t="inlineStr">
        <is>
          <t xml:space="preserve">QV </t>
        </is>
      </c>
      <c r="U584" t="n">
        <v>11</v>
      </c>
      <c r="V584" t="n">
        <v>94</v>
      </c>
      <c r="W584" t="inlineStr">
        <is>
          <t>1995-11-20</t>
        </is>
      </c>
      <c r="X584" t="inlineStr">
        <is>
          <t>2005-11-18</t>
        </is>
      </c>
      <c r="Y584" t="inlineStr">
        <is>
          <t>1990-06-21</t>
        </is>
      </c>
      <c r="Z584" t="inlineStr">
        <is>
          <t>1990-06-21</t>
        </is>
      </c>
      <c r="AA584" t="n">
        <v>257</v>
      </c>
      <c r="AB584" t="n">
        <v>193</v>
      </c>
      <c r="AC584" t="n">
        <v>197</v>
      </c>
      <c r="AD584" t="n">
        <v>3</v>
      </c>
      <c r="AE584" t="n">
        <v>3</v>
      </c>
      <c r="AF584" t="n">
        <v>5</v>
      </c>
      <c r="AG584" t="n">
        <v>5</v>
      </c>
      <c r="AH584" t="n">
        <v>1</v>
      </c>
      <c r="AI584" t="n">
        <v>1</v>
      </c>
      <c r="AJ584" t="n">
        <v>2</v>
      </c>
      <c r="AK584" t="n">
        <v>2</v>
      </c>
      <c r="AL584" t="n">
        <v>3</v>
      </c>
      <c r="AM584" t="n">
        <v>3</v>
      </c>
      <c r="AN584" t="n">
        <v>1</v>
      </c>
      <c r="AO584" t="n">
        <v>1</v>
      </c>
      <c r="AP584" t="n">
        <v>0</v>
      </c>
      <c r="AQ584" t="n">
        <v>0</v>
      </c>
      <c r="AR584" t="inlineStr">
        <is>
          <t>No</t>
        </is>
      </c>
      <c r="AS584" t="inlineStr">
        <is>
          <t>Yes</t>
        </is>
      </c>
      <c r="AT584">
        <f>HYPERLINK("http://catalog.hathitrust.org/Record/001946683","HathiTrust Record")</f>
        <v/>
      </c>
      <c r="AU584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4">
        <f>HYPERLINK("http://www.worldcat.org/oclc/20168118","WorldCat Record")</f>
        <v/>
      </c>
      <c r="AW584" t="inlineStr">
        <is>
          <t>5377518033:eng</t>
        </is>
      </c>
      <c r="AX584" t="inlineStr">
        <is>
          <t>20168118</t>
        </is>
      </c>
      <c r="AY584" t="inlineStr">
        <is>
          <t>991001449629702656</t>
        </is>
      </c>
      <c r="AZ584" t="inlineStr">
        <is>
          <t>991001449629702656</t>
        </is>
      </c>
      <c r="BA584" t="inlineStr">
        <is>
          <t>2260283390002656</t>
        </is>
      </c>
      <c r="BB584" t="inlineStr">
        <is>
          <t>BOOK</t>
        </is>
      </c>
      <c r="BD584" t="inlineStr">
        <is>
          <t>9780080325309</t>
        </is>
      </c>
      <c r="BE584" t="inlineStr">
        <is>
          <t>30001001882523</t>
        </is>
      </c>
      <c r="BF584" t="inlineStr">
        <is>
          <t>893821225</t>
        </is>
      </c>
    </row>
    <row r="585">
      <c r="B585" t="inlineStr">
        <is>
          <t>CUHSL</t>
        </is>
      </c>
      <c r="C585" t="inlineStr">
        <is>
          <t>SHELVES</t>
        </is>
      </c>
      <c r="D585" t="inlineStr">
        <is>
          <t>QV 744 C737 1990</t>
        </is>
      </c>
      <c r="E585" t="inlineStr">
        <is>
          <t>0                      QV 0744000C  737         1990</t>
        </is>
      </c>
      <c r="F585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5" t="inlineStr">
        <is>
          <t>V. 3</t>
        </is>
      </c>
      <c r="H585" t="inlineStr">
        <is>
          <t>Yes</t>
        </is>
      </c>
      <c r="I585" t="inlineStr">
        <is>
          <t>1</t>
        </is>
      </c>
      <c r="J585" t="inlineStr">
        <is>
          <t>No</t>
        </is>
      </c>
      <c r="K585" t="inlineStr">
        <is>
          <t>No</t>
        </is>
      </c>
      <c r="L585" t="inlineStr">
        <is>
          <t>0</t>
        </is>
      </c>
      <c r="N585" t="inlineStr">
        <is>
          <t>Oxford ; New York : Pergamon Press, c1990.</t>
        </is>
      </c>
      <c r="O585" t="inlineStr">
        <is>
          <t>1990</t>
        </is>
      </c>
      <c r="P585" t="inlineStr">
        <is>
          <t>1st ed.</t>
        </is>
      </c>
      <c r="Q585" t="inlineStr">
        <is>
          <t>eng</t>
        </is>
      </c>
      <c r="R585" t="inlineStr">
        <is>
          <t>enk</t>
        </is>
      </c>
      <c r="T585" t="inlineStr">
        <is>
          <t xml:space="preserve">QV </t>
        </is>
      </c>
      <c r="U585" t="n">
        <v>26</v>
      </c>
      <c r="V585" t="n">
        <v>94</v>
      </c>
      <c r="W585" t="inlineStr">
        <is>
          <t>2000-01-20</t>
        </is>
      </c>
      <c r="X585" t="inlineStr">
        <is>
          <t>2005-11-18</t>
        </is>
      </c>
      <c r="Y585" t="inlineStr">
        <is>
          <t>1990-06-21</t>
        </is>
      </c>
      <c r="Z585" t="inlineStr">
        <is>
          <t>1990-06-21</t>
        </is>
      </c>
      <c r="AA585" t="n">
        <v>257</v>
      </c>
      <c r="AB585" t="n">
        <v>193</v>
      </c>
      <c r="AC585" t="n">
        <v>197</v>
      </c>
      <c r="AD585" t="n">
        <v>3</v>
      </c>
      <c r="AE585" t="n">
        <v>3</v>
      </c>
      <c r="AF585" t="n">
        <v>5</v>
      </c>
      <c r="AG585" t="n">
        <v>5</v>
      </c>
      <c r="AH585" t="n">
        <v>1</v>
      </c>
      <c r="AI585" t="n">
        <v>1</v>
      </c>
      <c r="AJ585" t="n">
        <v>2</v>
      </c>
      <c r="AK585" t="n">
        <v>2</v>
      </c>
      <c r="AL585" t="n">
        <v>3</v>
      </c>
      <c r="AM585" t="n">
        <v>3</v>
      </c>
      <c r="AN585" t="n">
        <v>1</v>
      </c>
      <c r="AO585" t="n">
        <v>1</v>
      </c>
      <c r="AP585" t="n">
        <v>0</v>
      </c>
      <c r="AQ585" t="n">
        <v>0</v>
      </c>
      <c r="AR585" t="inlineStr">
        <is>
          <t>No</t>
        </is>
      </c>
      <c r="AS585" t="inlineStr">
        <is>
          <t>Yes</t>
        </is>
      </c>
      <c r="AT585">
        <f>HYPERLINK("http://catalog.hathitrust.org/Record/001946683","HathiTrust Record")</f>
        <v/>
      </c>
      <c r="AU585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5">
        <f>HYPERLINK("http://www.worldcat.org/oclc/20168118","WorldCat Record")</f>
        <v/>
      </c>
      <c r="AW585" t="inlineStr">
        <is>
          <t>5377518033:eng</t>
        </is>
      </c>
      <c r="AX585" t="inlineStr">
        <is>
          <t>20168118</t>
        </is>
      </c>
      <c r="AY585" t="inlineStr">
        <is>
          <t>991001449629702656</t>
        </is>
      </c>
      <c r="AZ585" t="inlineStr">
        <is>
          <t>991001449629702656</t>
        </is>
      </c>
      <c r="BA585" t="inlineStr">
        <is>
          <t>2260283390002656</t>
        </is>
      </c>
      <c r="BB585" t="inlineStr">
        <is>
          <t>BOOK</t>
        </is>
      </c>
      <c r="BD585" t="inlineStr">
        <is>
          <t>9780080325309</t>
        </is>
      </c>
      <c r="BE585" t="inlineStr">
        <is>
          <t>30001001882515</t>
        </is>
      </c>
      <c r="BF585" t="inlineStr">
        <is>
          <t>893826764</t>
        </is>
      </c>
    </row>
    <row r="586">
      <c r="B586" t="inlineStr">
        <is>
          <t>CUHSL</t>
        </is>
      </c>
      <c r="C586" t="inlineStr">
        <is>
          <t>SHELVES</t>
        </is>
      </c>
      <c r="D586" t="inlineStr">
        <is>
          <t>QV 744 C737 1990</t>
        </is>
      </c>
      <c r="E586" t="inlineStr">
        <is>
          <t>0                      QV 0744000C  737         1990</t>
        </is>
      </c>
      <c r="F586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6" t="inlineStr">
        <is>
          <t>V. 6</t>
        </is>
      </c>
      <c r="H586" t="inlineStr">
        <is>
          <t>Yes</t>
        </is>
      </c>
      <c r="I586" t="inlineStr">
        <is>
          <t>1</t>
        </is>
      </c>
      <c r="J586" t="inlineStr">
        <is>
          <t>No</t>
        </is>
      </c>
      <c r="K586" t="inlineStr">
        <is>
          <t>No</t>
        </is>
      </c>
      <c r="L586" t="inlineStr">
        <is>
          <t>0</t>
        </is>
      </c>
      <c r="N586" t="inlineStr">
        <is>
          <t>Oxford ; New York : Pergamon Press, c1990.</t>
        </is>
      </c>
      <c r="O586" t="inlineStr">
        <is>
          <t>1990</t>
        </is>
      </c>
      <c r="P586" t="inlineStr">
        <is>
          <t>1st ed.</t>
        </is>
      </c>
      <c r="Q586" t="inlineStr">
        <is>
          <t>eng</t>
        </is>
      </c>
      <c r="R586" t="inlineStr">
        <is>
          <t>enk</t>
        </is>
      </c>
      <c r="T586" t="inlineStr">
        <is>
          <t xml:space="preserve">QV </t>
        </is>
      </c>
      <c r="U586" t="n">
        <v>21</v>
      </c>
      <c r="V586" t="n">
        <v>94</v>
      </c>
      <c r="W586" t="inlineStr">
        <is>
          <t>1996-03-22</t>
        </is>
      </c>
      <c r="X586" t="inlineStr">
        <is>
          <t>2005-11-18</t>
        </is>
      </c>
      <c r="Y586" t="inlineStr">
        <is>
          <t>1990-06-21</t>
        </is>
      </c>
      <c r="Z586" t="inlineStr">
        <is>
          <t>1990-06-21</t>
        </is>
      </c>
      <c r="AA586" t="n">
        <v>257</v>
      </c>
      <c r="AB586" t="n">
        <v>193</v>
      </c>
      <c r="AC586" t="n">
        <v>197</v>
      </c>
      <c r="AD586" t="n">
        <v>3</v>
      </c>
      <c r="AE586" t="n">
        <v>3</v>
      </c>
      <c r="AF586" t="n">
        <v>5</v>
      </c>
      <c r="AG586" t="n">
        <v>5</v>
      </c>
      <c r="AH586" t="n">
        <v>1</v>
      </c>
      <c r="AI586" t="n">
        <v>1</v>
      </c>
      <c r="AJ586" t="n">
        <v>2</v>
      </c>
      <c r="AK586" t="n">
        <v>2</v>
      </c>
      <c r="AL586" t="n">
        <v>3</v>
      </c>
      <c r="AM586" t="n">
        <v>3</v>
      </c>
      <c r="AN586" t="n">
        <v>1</v>
      </c>
      <c r="AO586" t="n">
        <v>1</v>
      </c>
      <c r="AP586" t="n">
        <v>0</v>
      </c>
      <c r="AQ586" t="n">
        <v>0</v>
      </c>
      <c r="AR586" t="inlineStr">
        <is>
          <t>No</t>
        </is>
      </c>
      <c r="AS586" t="inlineStr">
        <is>
          <t>Yes</t>
        </is>
      </c>
      <c r="AT586">
        <f>HYPERLINK("http://catalog.hathitrust.org/Record/001946683","HathiTrust Record")</f>
        <v/>
      </c>
      <c r="AU586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6">
        <f>HYPERLINK("http://www.worldcat.org/oclc/20168118","WorldCat Record")</f>
        <v/>
      </c>
      <c r="AW586" t="inlineStr">
        <is>
          <t>5377518033:eng</t>
        </is>
      </c>
      <c r="AX586" t="inlineStr">
        <is>
          <t>20168118</t>
        </is>
      </c>
      <c r="AY586" t="inlineStr">
        <is>
          <t>991001449629702656</t>
        </is>
      </c>
      <c r="AZ586" t="inlineStr">
        <is>
          <t>991001449629702656</t>
        </is>
      </c>
      <c r="BA586" t="inlineStr">
        <is>
          <t>2260283390002656</t>
        </is>
      </c>
      <c r="BB586" t="inlineStr">
        <is>
          <t>BOOK</t>
        </is>
      </c>
      <c r="BD586" t="inlineStr">
        <is>
          <t>9780080325309</t>
        </is>
      </c>
      <c r="BE586" t="inlineStr">
        <is>
          <t>30001001882549</t>
        </is>
      </c>
      <c r="BF586" t="inlineStr">
        <is>
          <t>893834680</t>
        </is>
      </c>
    </row>
    <row r="587">
      <c r="B587" t="inlineStr">
        <is>
          <t>CUHSL</t>
        </is>
      </c>
      <c r="C587" t="inlineStr">
        <is>
          <t>SHELVES</t>
        </is>
      </c>
      <c r="D587" t="inlineStr">
        <is>
          <t>QV 744 C737 1990</t>
        </is>
      </c>
      <c r="E587" t="inlineStr">
        <is>
          <t>0                      QV 0744000C  737         1990</t>
        </is>
      </c>
      <c r="F587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7" t="inlineStr">
        <is>
          <t>V. 5</t>
        </is>
      </c>
      <c r="H587" t="inlineStr">
        <is>
          <t>Yes</t>
        </is>
      </c>
      <c r="I587" t="inlineStr">
        <is>
          <t>1</t>
        </is>
      </c>
      <c r="J587" t="inlineStr">
        <is>
          <t>No</t>
        </is>
      </c>
      <c r="K587" t="inlineStr">
        <is>
          <t>No</t>
        </is>
      </c>
      <c r="L587" t="inlineStr">
        <is>
          <t>0</t>
        </is>
      </c>
      <c r="N587" t="inlineStr">
        <is>
          <t>Oxford ; New York : Pergamon Press, c1990.</t>
        </is>
      </c>
      <c r="O587" t="inlineStr">
        <is>
          <t>1990</t>
        </is>
      </c>
      <c r="P587" t="inlineStr">
        <is>
          <t>1st ed.</t>
        </is>
      </c>
      <c r="Q587" t="inlineStr">
        <is>
          <t>eng</t>
        </is>
      </c>
      <c r="R587" t="inlineStr">
        <is>
          <t>enk</t>
        </is>
      </c>
      <c r="T587" t="inlineStr">
        <is>
          <t xml:space="preserve">QV </t>
        </is>
      </c>
      <c r="U587" t="n">
        <v>6</v>
      </c>
      <c r="V587" t="n">
        <v>94</v>
      </c>
      <c r="W587" t="inlineStr">
        <is>
          <t>1997-03-20</t>
        </is>
      </c>
      <c r="X587" t="inlineStr">
        <is>
          <t>2005-11-18</t>
        </is>
      </c>
      <c r="Y587" t="inlineStr">
        <is>
          <t>1990-06-21</t>
        </is>
      </c>
      <c r="Z587" t="inlineStr">
        <is>
          <t>1990-06-21</t>
        </is>
      </c>
      <c r="AA587" t="n">
        <v>257</v>
      </c>
      <c r="AB587" t="n">
        <v>193</v>
      </c>
      <c r="AC587" t="n">
        <v>197</v>
      </c>
      <c r="AD587" t="n">
        <v>3</v>
      </c>
      <c r="AE587" t="n">
        <v>3</v>
      </c>
      <c r="AF587" t="n">
        <v>5</v>
      </c>
      <c r="AG587" t="n">
        <v>5</v>
      </c>
      <c r="AH587" t="n">
        <v>1</v>
      </c>
      <c r="AI587" t="n">
        <v>1</v>
      </c>
      <c r="AJ587" t="n">
        <v>2</v>
      </c>
      <c r="AK587" t="n">
        <v>2</v>
      </c>
      <c r="AL587" t="n">
        <v>3</v>
      </c>
      <c r="AM587" t="n">
        <v>3</v>
      </c>
      <c r="AN587" t="n">
        <v>1</v>
      </c>
      <c r="AO587" t="n">
        <v>1</v>
      </c>
      <c r="AP587" t="n">
        <v>0</v>
      </c>
      <c r="AQ587" t="n">
        <v>0</v>
      </c>
      <c r="AR587" t="inlineStr">
        <is>
          <t>No</t>
        </is>
      </c>
      <c r="AS587" t="inlineStr">
        <is>
          <t>Yes</t>
        </is>
      </c>
      <c r="AT587">
        <f>HYPERLINK("http://catalog.hathitrust.org/Record/001946683","HathiTrust Record")</f>
        <v/>
      </c>
      <c r="AU587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7">
        <f>HYPERLINK("http://www.worldcat.org/oclc/20168118","WorldCat Record")</f>
        <v/>
      </c>
      <c r="AW587" t="inlineStr">
        <is>
          <t>5377518033:eng</t>
        </is>
      </c>
      <c r="AX587" t="inlineStr">
        <is>
          <t>20168118</t>
        </is>
      </c>
      <c r="AY587" t="inlineStr">
        <is>
          <t>991001449629702656</t>
        </is>
      </c>
      <c r="AZ587" t="inlineStr">
        <is>
          <t>991001449629702656</t>
        </is>
      </c>
      <c r="BA587" t="inlineStr">
        <is>
          <t>2260283390002656</t>
        </is>
      </c>
      <c r="BB587" t="inlineStr">
        <is>
          <t>BOOK</t>
        </is>
      </c>
      <c r="BD587" t="inlineStr">
        <is>
          <t>9780080325309</t>
        </is>
      </c>
      <c r="BE587" t="inlineStr">
        <is>
          <t>30001001882531</t>
        </is>
      </c>
      <c r="BF587" t="inlineStr">
        <is>
          <t>893832200</t>
        </is>
      </c>
    </row>
    <row r="588">
      <c r="B588" t="inlineStr">
        <is>
          <t>CUHSL</t>
        </is>
      </c>
      <c r="C588" t="inlineStr">
        <is>
          <t>SHELVES</t>
        </is>
      </c>
      <c r="D588" t="inlineStr">
        <is>
          <t>QV 744 C737 1990</t>
        </is>
      </c>
      <c r="E588" t="inlineStr">
        <is>
          <t>0                      QV 0744000C  737         1990</t>
        </is>
      </c>
      <c r="F588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8" t="inlineStr">
        <is>
          <t>V. 1</t>
        </is>
      </c>
      <c r="H588" t="inlineStr">
        <is>
          <t>Yes</t>
        </is>
      </c>
      <c r="I588" t="inlineStr">
        <is>
          <t>1</t>
        </is>
      </c>
      <c r="J588" t="inlineStr">
        <is>
          <t>No</t>
        </is>
      </c>
      <c r="K588" t="inlineStr">
        <is>
          <t>No</t>
        </is>
      </c>
      <c r="L588" t="inlineStr">
        <is>
          <t>0</t>
        </is>
      </c>
      <c r="N588" t="inlineStr">
        <is>
          <t>Oxford ; New York : Pergamon Press, c1990.</t>
        </is>
      </c>
      <c r="O588" t="inlineStr">
        <is>
          <t>1990</t>
        </is>
      </c>
      <c r="P588" t="inlineStr">
        <is>
          <t>1st ed.</t>
        </is>
      </c>
      <c r="Q588" t="inlineStr">
        <is>
          <t>eng</t>
        </is>
      </c>
      <c r="R588" t="inlineStr">
        <is>
          <t>enk</t>
        </is>
      </c>
      <c r="T588" t="inlineStr">
        <is>
          <t xml:space="preserve">QV </t>
        </is>
      </c>
      <c r="U588" t="n">
        <v>15</v>
      </c>
      <c r="V588" t="n">
        <v>94</v>
      </c>
      <c r="W588" t="inlineStr">
        <is>
          <t>1997-04-10</t>
        </is>
      </c>
      <c r="X588" t="inlineStr">
        <is>
          <t>2005-11-18</t>
        </is>
      </c>
      <c r="Y588" t="inlineStr">
        <is>
          <t>1990-06-21</t>
        </is>
      </c>
      <c r="Z588" t="inlineStr">
        <is>
          <t>1990-06-21</t>
        </is>
      </c>
      <c r="AA588" t="n">
        <v>257</v>
      </c>
      <c r="AB588" t="n">
        <v>193</v>
      </c>
      <c r="AC588" t="n">
        <v>197</v>
      </c>
      <c r="AD588" t="n">
        <v>3</v>
      </c>
      <c r="AE588" t="n">
        <v>3</v>
      </c>
      <c r="AF588" t="n">
        <v>5</v>
      </c>
      <c r="AG588" t="n">
        <v>5</v>
      </c>
      <c r="AH588" t="n">
        <v>1</v>
      </c>
      <c r="AI588" t="n">
        <v>1</v>
      </c>
      <c r="AJ588" t="n">
        <v>2</v>
      </c>
      <c r="AK588" t="n">
        <v>2</v>
      </c>
      <c r="AL588" t="n">
        <v>3</v>
      </c>
      <c r="AM588" t="n">
        <v>3</v>
      </c>
      <c r="AN588" t="n">
        <v>1</v>
      </c>
      <c r="AO588" t="n">
        <v>1</v>
      </c>
      <c r="AP588" t="n">
        <v>0</v>
      </c>
      <c r="AQ588" t="n">
        <v>0</v>
      </c>
      <c r="AR588" t="inlineStr">
        <is>
          <t>No</t>
        </is>
      </c>
      <c r="AS588" t="inlineStr">
        <is>
          <t>Yes</t>
        </is>
      </c>
      <c r="AT588">
        <f>HYPERLINK("http://catalog.hathitrust.org/Record/001946683","HathiTrust Record")</f>
        <v/>
      </c>
      <c r="AU588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8">
        <f>HYPERLINK("http://www.worldcat.org/oclc/20168118","WorldCat Record")</f>
        <v/>
      </c>
      <c r="AW588" t="inlineStr">
        <is>
          <t>5377518033:eng</t>
        </is>
      </c>
      <c r="AX588" t="inlineStr">
        <is>
          <t>20168118</t>
        </is>
      </c>
      <c r="AY588" t="inlineStr">
        <is>
          <t>991001449629702656</t>
        </is>
      </c>
      <c r="AZ588" t="inlineStr">
        <is>
          <t>991001449629702656</t>
        </is>
      </c>
      <c r="BA588" t="inlineStr">
        <is>
          <t>2260283390002656</t>
        </is>
      </c>
      <c r="BB588" t="inlineStr">
        <is>
          <t>BOOK</t>
        </is>
      </c>
      <c r="BD588" t="inlineStr">
        <is>
          <t>9780080325309</t>
        </is>
      </c>
      <c r="BE588" t="inlineStr">
        <is>
          <t>30001001882499</t>
        </is>
      </c>
      <c r="BF588" t="inlineStr">
        <is>
          <t>893826766</t>
        </is>
      </c>
    </row>
    <row r="589">
      <c r="B589" t="inlineStr">
        <is>
          <t>CUHSL</t>
        </is>
      </c>
      <c r="C589" t="inlineStr">
        <is>
          <t>SHELVES</t>
        </is>
      </c>
      <c r="D589" t="inlineStr">
        <is>
          <t>QV 744 C737 1990</t>
        </is>
      </c>
      <c r="E589" t="inlineStr">
        <is>
          <t>0                      QV 0744000C  737         1990</t>
        </is>
      </c>
      <c r="F589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9" t="inlineStr">
        <is>
          <t>V. 2</t>
        </is>
      </c>
      <c r="H589" t="inlineStr">
        <is>
          <t>Yes</t>
        </is>
      </c>
      <c r="I589" t="inlineStr">
        <is>
          <t>1</t>
        </is>
      </c>
      <c r="J589" t="inlineStr">
        <is>
          <t>No</t>
        </is>
      </c>
      <c r="K589" t="inlineStr">
        <is>
          <t>No</t>
        </is>
      </c>
      <c r="L589" t="inlineStr">
        <is>
          <t>0</t>
        </is>
      </c>
      <c r="N589" t="inlineStr">
        <is>
          <t>Oxford ; New York : Pergamon Press, c1990.</t>
        </is>
      </c>
      <c r="O589" t="inlineStr">
        <is>
          <t>1990</t>
        </is>
      </c>
      <c r="P589" t="inlineStr">
        <is>
          <t>1st ed.</t>
        </is>
      </c>
      <c r="Q589" t="inlineStr">
        <is>
          <t>eng</t>
        </is>
      </c>
      <c r="R589" t="inlineStr">
        <is>
          <t>enk</t>
        </is>
      </c>
      <c r="T589" t="inlineStr">
        <is>
          <t xml:space="preserve">QV </t>
        </is>
      </c>
      <c r="U589" t="n">
        <v>15</v>
      </c>
      <c r="V589" t="n">
        <v>94</v>
      </c>
      <c r="W589" t="inlineStr">
        <is>
          <t>2005-11-18</t>
        </is>
      </c>
      <c r="X589" t="inlineStr">
        <is>
          <t>2005-11-18</t>
        </is>
      </c>
      <c r="Y589" t="inlineStr">
        <is>
          <t>1990-06-21</t>
        </is>
      </c>
      <c r="Z589" t="inlineStr">
        <is>
          <t>1990-06-21</t>
        </is>
      </c>
      <c r="AA589" t="n">
        <v>257</v>
      </c>
      <c r="AB589" t="n">
        <v>193</v>
      </c>
      <c r="AC589" t="n">
        <v>197</v>
      </c>
      <c r="AD589" t="n">
        <v>3</v>
      </c>
      <c r="AE589" t="n">
        <v>3</v>
      </c>
      <c r="AF589" t="n">
        <v>5</v>
      </c>
      <c r="AG589" t="n">
        <v>5</v>
      </c>
      <c r="AH589" t="n">
        <v>1</v>
      </c>
      <c r="AI589" t="n">
        <v>1</v>
      </c>
      <c r="AJ589" t="n">
        <v>2</v>
      </c>
      <c r="AK589" t="n">
        <v>2</v>
      </c>
      <c r="AL589" t="n">
        <v>3</v>
      </c>
      <c r="AM589" t="n">
        <v>3</v>
      </c>
      <c r="AN589" t="n">
        <v>1</v>
      </c>
      <c r="AO589" t="n">
        <v>1</v>
      </c>
      <c r="AP589" t="n">
        <v>0</v>
      </c>
      <c r="AQ589" t="n">
        <v>0</v>
      </c>
      <c r="AR589" t="inlineStr">
        <is>
          <t>No</t>
        </is>
      </c>
      <c r="AS589" t="inlineStr">
        <is>
          <t>Yes</t>
        </is>
      </c>
      <c r="AT589">
        <f>HYPERLINK("http://catalog.hathitrust.org/Record/001946683","HathiTrust Record")</f>
        <v/>
      </c>
      <c r="AU589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9">
        <f>HYPERLINK("http://www.worldcat.org/oclc/20168118","WorldCat Record")</f>
        <v/>
      </c>
      <c r="AW589" t="inlineStr">
        <is>
          <t>5377518033:eng</t>
        </is>
      </c>
      <c r="AX589" t="inlineStr">
        <is>
          <t>20168118</t>
        </is>
      </c>
      <c r="AY589" t="inlineStr">
        <is>
          <t>991001449629702656</t>
        </is>
      </c>
      <c r="AZ589" t="inlineStr">
        <is>
          <t>991001449629702656</t>
        </is>
      </c>
      <c r="BA589" t="inlineStr">
        <is>
          <t>2260283390002656</t>
        </is>
      </c>
      <c r="BB589" t="inlineStr">
        <is>
          <t>BOOK</t>
        </is>
      </c>
      <c r="BD589" t="inlineStr">
        <is>
          <t>9780080325309</t>
        </is>
      </c>
      <c r="BE589" t="inlineStr">
        <is>
          <t>30001001882507</t>
        </is>
      </c>
      <c r="BF589" t="inlineStr">
        <is>
          <t>893826765</t>
        </is>
      </c>
    </row>
    <row r="590">
      <c r="B590" t="inlineStr">
        <is>
          <t>CUHSL</t>
        </is>
      </c>
      <c r="C590" t="inlineStr">
        <is>
          <t>SHELVES</t>
        </is>
      </c>
      <c r="D590" t="inlineStr">
        <is>
          <t>QV 744 D7943 1993</t>
        </is>
      </c>
      <c r="E590" t="inlineStr">
        <is>
          <t>0                      QV 0744000D  7943        1993</t>
        </is>
      </c>
      <c r="F590" t="inlineStr">
        <is>
          <t>Drug stereochemistry : analytical methods and pharmacology / edited by Irving W. Wainer.</t>
        </is>
      </c>
      <c r="H590" t="inlineStr">
        <is>
          <t>No</t>
        </is>
      </c>
      <c r="I590" t="inlineStr">
        <is>
          <t>1</t>
        </is>
      </c>
      <c r="J590" t="inlineStr">
        <is>
          <t>No</t>
        </is>
      </c>
      <c r="K590" t="inlineStr">
        <is>
          <t>No</t>
        </is>
      </c>
      <c r="L590" t="inlineStr">
        <is>
          <t>0</t>
        </is>
      </c>
      <c r="N590" t="inlineStr">
        <is>
          <t>New York : M. Dekker, c1993.</t>
        </is>
      </c>
      <c r="O590" t="inlineStr">
        <is>
          <t>1993</t>
        </is>
      </c>
      <c r="P590" t="inlineStr">
        <is>
          <t>2nd ed., rev. and expanded.</t>
        </is>
      </c>
      <c r="Q590" t="inlineStr">
        <is>
          <t>eng</t>
        </is>
      </c>
      <c r="R590" t="inlineStr">
        <is>
          <t>nyu</t>
        </is>
      </c>
      <c r="S590" t="inlineStr">
        <is>
          <t>Clinical pharmacology ; 18</t>
        </is>
      </c>
      <c r="T590" t="inlineStr">
        <is>
          <t xml:space="preserve">QV </t>
        </is>
      </c>
      <c r="U590" t="n">
        <v>6</v>
      </c>
      <c r="V590" t="n">
        <v>6</v>
      </c>
      <c r="W590" t="inlineStr">
        <is>
          <t>2001-12-06</t>
        </is>
      </c>
      <c r="X590" t="inlineStr">
        <is>
          <t>2001-12-06</t>
        </is>
      </c>
      <c r="Y590" t="inlineStr">
        <is>
          <t>1993-08-31</t>
        </is>
      </c>
      <c r="Z590" t="inlineStr">
        <is>
          <t>1993-08-31</t>
        </is>
      </c>
      <c r="AA590" t="n">
        <v>150</v>
      </c>
      <c r="AB590" t="n">
        <v>98</v>
      </c>
      <c r="AC590" t="n">
        <v>179</v>
      </c>
      <c r="AD590" t="n">
        <v>1</v>
      </c>
      <c r="AE590" t="n">
        <v>1</v>
      </c>
      <c r="AF590" t="n">
        <v>3</v>
      </c>
      <c r="AG590" t="n">
        <v>6</v>
      </c>
      <c r="AH590" t="n">
        <v>1</v>
      </c>
      <c r="AI590" t="n">
        <v>1</v>
      </c>
      <c r="AJ590" t="n">
        <v>1</v>
      </c>
      <c r="AK590" t="n">
        <v>2</v>
      </c>
      <c r="AL590" t="n">
        <v>1</v>
      </c>
      <c r="AM590" t="n">
        <v>2</v>
      </c>
      <c r="AN590" t="n">
        <v>0</v>
      </c>
      <c r="AO590" t="n">
        <v>0</v>
      </c>
      <c r="AP590" t="n">
        <v>0</v>
      </c>
      <c r="AQ590" t="n">
        <v>1</v>
      </c>
      <c r="AR590" t="inlineStr">
        <is>
          <t>No</t>
        </is>
      </c>
      <c r="AS590" t="inlineStr">
        <is>
          <t>No</t>
        </is>
      </c>
      <c r="AU590">
        <f>HYPERLINK("https://creighton-primo.hosted.exlibrisgroup.com/primo-explore/search?tab=default_tab&amp;search_scope=EVERYTHING&amp;vid=01CRU&amp;lang=en_US&amp;offset=0&amp;query=any,contains,991001512039702656","Catalog Record")</f>
        <v/>
      </c>
      <c r="AV590">
        <f>HYPERLINK("http://www.worldcat.org/oclc/27187740","WorldCat Record")</f>
        <v/>
      </c>
      <c r="AW590" t="inlineStr">
        <is>
          <t>795705129:eng</t>
        </is>
      </c>
      <c r="AX590" t="inlineStr">
        <is>
          <t>27187740</t>
        </is>
      </c>
      <c r="AY590" t="inlineStr">
        <is>
          <t>991001512039702656</t>
        </is>
      </c>
      <c r="AZ590" t="inlineStr">
        <is>
          <t>991001512039702656</t>
        </is>
      </c>
      <c r="BA590" t="inlineStr">
        <is>
          <t>2272736720002656</t>
        </is>
      </c>
      <c r="BB590" t="inlineStr">
        <is>
          <t>BOOK</t>
        </is>
      </c>
      <c r="BD590" t="inlineStr">
        <is>
          <t>9780824788193</t>
        </is>
      </c>
      <c r="BE590" t="inlineStr">
        <is>
          <t>30001002600999</t>
        </is>
      </c>
      <c r="BF590" t="inlineStr">
        <is>
          <t>893121583</t>
        </is>
      </c>
    </row>
    <row r="591">
      <c r="B591" t="inlineStr">
        <is>
          <t>CUHSL</t>
        </is>
      </c>
      <c r="C591" t="inlineStr">
        <is>
          <t>SHELVES</t>
        </is>
      </c>
      <c r="D591" t="inlineStr">
        <is>
          <t>QV 744 F796p 1981</t>
        </is>
      </c>
      <c r="E591" t="inlineStr">
        <is>
          <t>0                      QV 0744000F  796p        1981</t>
        </is>
      </c>
      <c r="F591" t="inlineStr">
        <is>
          <t>Principles of medicinal chemistry / edited by William O. Foye.</t>
        </is>
      </c>
      <c r="H591" t="inlineStr">
        <is>
          <t>No</t>
        </is>
      </c>
      <c r="I591" t="inlineStr">
        <is>
          <t>1</t>
        </is>
      </c>
      <c r="J591" t="inlineStr">
        <is>
          <t>No</t>
        </is>
      </c>
      <c r="K591" t="inlineStr">
        <is>
          <t>No</t>
        </is>
      </c>
      <c r="L591" t="inlineStr">
        <is>
          <t>0</t>
        </is>
      </c>
      <c r="M591" t="inlineStr">
        <is>
          <t>Foye, William O.</t>
        </is>
      </c>
      <c r="N591" t="inlineStr">
        <is>
          <t>Philadelphia : Lea &amp; Febiger, 1981.</t>
        </is>
      </c>
      <c r="O591" t="inlineStr">
        <is>
          <t>1981</t>
        </is>
      </c>
      <c r="P591" t="inlineStr">
        <is>
          <t>2d ed.</t>
        </is>
      </c>
      <c r="Q591" t="inlineStr">
        <is>
          <t>eng</t>
        </is>
      </c>
      <c r="R591" t="inlineStr">
        <is>
          <t>pau</t>
        </is>
      </c>
      <c r="T591" t="inlineStr">
        <is>
          <t xml:space="preserve">QV </t>
        </is>
      </c>
      <c r="U591" t="n">
        <v>24</v>
      </c>
      <c r="V591" t="n">
        <v>24</v>
      </c>
      <c r="W591" t="inlineStr">
        <is>
          <t>2003-09-07</t>
        </is>
      </c>
      <c r="X591" t="inlineStr">
        <is>
          <t>2003-09-07</t>
        </is>
      </c>
      <c r="Y591" t="inlineStr">
        <is>
          <t>1987-09-29</t>
        </is>
      </c>
      <c r="Z591" t="inlineStr">
        <is>
          <t>1987-09-29</t>
        </is>
      </c>
      <c r="AA591" t="n">
        <v>198</v>
      </c>
      <c r="AB591" t="n">
        <v>134</v>
      </c>
      <c r="AC591" t="n">
        <v>198</v>
      </c>
      <c r="AD591" t="n">
        <v>1</v>
      </c>
      <c r="AE591" t="n">
        <v>1</v>
      </c>
      <c r="AF591" t="n">
        <v>3</v>
      </c>
      <c r="AG591" t="n">
        <v>3</v>
      </c>
      <c r="AH591" t="n">
        <v>1</v>
      </c>
      <c r="AI591" t="n">
        <v>1</v>
      </c>
      <c r="AJ591" t="n">
        <v>1</v>
      </c>
      <c r="AK591" t="n">
        <v>1</v>
      </c>
      <c r="AL591" t="n">
        <v>1</v>
      </c>
      <c r="AM591" t="n">
        <v>1</v>
      </c>
      <c r="AN591" t="n">
        <v>0</v>
      </c>
      <c r="AO591" t="n">
        <v>0</v>
      </c>
      <c r="AP591" t="n">
        <v>0</v>
      </c>
      <c r="AQ591" t="n">
        <v>0</v>
      </c>
      <c r="AR591" t="inlineStr">
        <is>
          <t>No</t>
        </is>
      </c>
      <c r="AS591" t="inlineStr">
        <is>
          <t>Yes</t>
        </is>
      </c>
      <c r="AT591">
        <f>HYPERLINK("http://catalog.hathitrust.org/Record/000707573","HathiTrust Record")</f>
        <v/>
      </c>
      <c r="AU591">
        <f>HYPERLINK("https://creighton-primo.hosted.exlibrisgroup.com/primo-explore/search?tab=default_tab&amp;search_scope=EVERYTHING&amp;vid=01CRU&amp;lang=en_US&amp;offset=0&amp;query=any,contains,991000748399702656","Catalog Record")</f>
        <v/>
      </c>
      <c r="AV591">
        <f>HYPERLINK("http://www.worldcat.org/oclc/6579734","WorldCat Record")</f>
        <v/>
      </c>
      <c r="AW591" t="inlineStr">
        <is>
          <t>5091573859:eng</t>
        </is>
      </c>
      <c r="AX591" t="inlineStr">
        <is>
          <t>6579734</t>
        </is>
      </c>
      <c r="AY591" t="inlineStr">
        <is>
          <t>991000748399702656</t>
        </is>
      </c>
      <c r="AZ591" t="inlineStr">
        <is>
          <t>991000748399702656</t>
        </is>
      </c>
      <c r="BA591" t="inlineStr">
        <is>
          <t>2264199600002656</t>
        </is>
      </c>
      <c r="BB591" t="inlineStr">
        <is>
          <t>BOOK</t>
        </is>
      </c>
      <c r="BD591" t="inlineStr">
        <is>
          <t>9780812107227</t>
        </is>
      </c>
      <c r="BE591" t="inlineStr">
        <is>
          <t>30001000046625</t>
        </is>
      </c>
      <c r="BF591" t="inlineStr">
        <is>
          <t>893551431</t>
        </is>
      </c>
    </row>
    <row r="592">
      <c r="B592" t="inlineStr">
        <is>
          <t>CUHSL</t>
        </is>
      </c>
      <c r="C592" t="inlineStr">
        <is>
          <t>SHELVES</t>
        </is>
      </c>
      <c r="D592" t="inlineStr">
        <is>
          <t>QV 744 I58 1974</t>
        </is>
      </c>
      <c r="E592" t="inlineStr">
        <is>
          <t>0                      QV 0744000I  58          1974</t>
        </is>
      </c>
      <c r="F592" t="inlineStr">
        <is>
          <t>Inorganic medicinal and pharmaceutical chemistry [by] John H. Block [et al.]</t>
        </is>
      </c>
      <c r="H592" t="inlineStr">
        <is>
          <t>No</t>
        </is>
      </c>
      <c r="I592" t="inlineStr">
        <is>
          <t>1</t>
        </is>
      </c>
      <c r="J592" t="inlineStr">
        <is>
          <t>No</t>
        </is>
      </c>
      <c r="K592" t="inlineStr">
        <is>
          <t>No</t>
        </is>
      </c>
      <c r="L592" t="inlineStr">
        <is>
          <t>0</t>
        </is>
      </c>
      <c r="N592" t="inlineStr">
        <is>
          <t>Philadelphia : Lea &amp; Febiger, 1974.</t>
        </is>
      </c>
      <c r="O592" t="inlineStr">
        <is>
          <t>1974</t>
        </is>
      </c>
      <c r="Q592" t="inlineStr">
        <is>
          <t>eng</t>
        </is>
      </c>
      <c r="R592" t="inlineStr">
        <is>
          <t>pau</t>
        </is>
      </c>
      <c r="T592" t="inlineStr">
        <is>
          <t xml:space="preserve">QV </t>
        </is>
      </c>
      <c r="U592" t="n">
        <v>37</v>
      </c>
      <c r="V592" t="n">
        <v>37</v>
      </c>
      <c r="W592" t="inlineStr">
        <is>
          <t>1994-08-18</t>
        </is>
      </c>
      <c r="X592" t="inlineStr">
        <is>
          <t>1994-08-18</t>
        </is>
      </c>
      <c r="Y592" t="inlineStr">
        <is>
          <t>1987-09-29</t>
        </is>
      </c>
      <c r="Z592" t="inlineStr">
        <is>
          <t>1987-09-29</t>
        </is>
      </c>
      <c r="AA592" t="n">
        <v>166</v>
      </c>
      <c r="AB592" t="n">
        <v>112</v>
      </c>
      <c r="AC592" t="n">
        <v>114</v>
      </c>
      <c r="AD592" t="n">
        <v>2</v>
      </c>
      <c r="AE592" t="n">
        <v>2</v>
      </c>
      <c r="AF592" t="n">
        <v>4</v>
      </c>
      <c r="AG592" t="n">
        <v>4</v>
      </c>
      <c r="AH592" t="n">
        <v>2</v>
      </c>
      <c r="AI592" t="n">
        <v>2</v>
      </c>
      <c r="AJ592" t="n">
        <v>1</v>
      </c>
      <c r="AK592" t="n">
        <v>1</v>
      </c>
      <c r="AL592" t="n">
        <v>0</v>
      </c>
      <c r="AM592" t="n">
        <v>0</v>
      </c>
      <c r="AN592" t="n">
        <v>1</v>
      </c>
      <c r="AO592" t="n">
        <v>1</v>
      </c>
      <c r="AP592" t="n">
        <v>0</v>
      </c>
      <c r="AQ592" t="n">
        <v>0</v>
      </c>
      <c r="AR592" t="inlineStr">
        <is>
          <t>No</t>
        </is>
      </c>
      <c r="AS592" t="inlineStr">
        <is>
          <t>Yes</t>
        </is>
      </c>
      <c r="AT592">
        <f>HYPERLINK("http://catalog.hathitrust.org/Record/001579393","HathiTrust Record")</f>
        <v/>
      </c>
      <c r="AU592">
        <f>HYPERLINK("https://creighton-primo.hosted.exlibrisgroup.com/primo-explore/search?tab=default_tab&amp;search_scope=EVERYTHING&amp;vid=01CRU&amp;lang=en_US&amp;offset=0&amp;query=any,contains,991000748469702656","Catalog Record")</f>
        <v/>
      </c>
      <c r="AV592">
        <f>HYPERLINK("http://www.worldcat.org/oclc/745967","WorldCat Record")</f>
        <v/>
      </c>
      <c r="AW592" t="inlineStr">
        <is>
          <t>3857028193:eng</t>
        </is>
      </c>
      <c r="AX592" t="inlineStr">
        <is>
          <t>745967</t>
        </is>
      </c>
      <c r="AY592" t="inlineStr">
        <is>
          <t>991000748469702656</t>
        </is>
      </c>
      <c r="AZ592" t="inlineStr">
        <is>
          <t>991000748469702656</t>
        </is>
      </c>
      <c r="BA592" t="inlineStr">
        <is>
          <t>2268940410002656</t>
        </is>
      </c>
      <c r="BB592" t="inlineStr">
        <is>
          <t>BOOK</t>
        </is>
      </c>
      <c r="BD592" t="inlineStr">
        <is>
          <t>9780812104431</t>
        </is>
      </c>
      <c r="BE592" t="inlineStr">
        <is>
          <t>30001000046641</t>
        </is>
      </c>
      <c r="BF592" t="inlineStr">
        <is>
          <t>893459778</t>
        </is>
      </c>
    </row>
    <row r="593">
      <c r="B593" t="inlineStr">
        <is>
          <t>CUHSL</t>
        </is>
      </c>
      <c r="C593" t="inlineStr">
        <is>
          <t>SHELVES</t>
        </is>
      </c>
      <c r="D593" t="inlineStr">
        <is>
          <t>QV 744 J52c 1957</t>
        </is>
      </c>
      <c r="E593" t="inlineStr">
        <is>
          <t>0                      QV 0744000J  52c         1957</t>
        </is>
      </c>
      <c r="F593" t="inlineStr">
        <is>
          <t>The chemistry of organic medicinal products / by Glenn L. Jenkins.</t>
        </is>
      </c>
      <c r="H593" t="inlineStr">
        <is>
          <t>No</t>
        </is>
      </c>
      <c r="I593" t="inlineStr">
        <is>
          <t>1</t>
        </is>
      </c>
      <c r="J593" t="inlineStr">
        <is>
          <t>No</t>
        </is>
      </c>
      <c r="K593" t="inlineStr">
        <is>
          <t>No</t>
        </is>
      </c>
      <c r="L593" t="inlineStr">
        <is>
          <t>0</t>
        </is>
      </c>
      <c r="M593" t="inlineStr">
        <is>
          <t>Jenkins, Glenn L. (Glenn Llewellyn), 1898-1979.</t>
        </is>
      </c>
      <c r="N593" t="inlineStr">
        <is>
          <t>New York : Wiley, c1957.</t>
        </is>
      </c>
      <c r="O593" t="inlineStr">
        <is>
          <t>1957</t>
        </is>
      </c>
      <c r="P593" t="inlineStr">
        <is>
          <t>4th ed.</t>
        </is>
      </c>
      <c r="Q593" t="inlineStr">
        <is>
          <t>eng</t>
        </is>
      </c>
      <c r="R593" t="inlineStr">
        <is>
          <t>nyu</t>
        </is>
      </c>
      <c r="T593" t="inlineStr">
        <is>
          <t xml:space="preserve">QV </t>
        </is>
      </c>
      <c r="U593" t="n">
        <v>3</v>
      </c>
      <c r="V593" t="n">
        <v>3</v>
      </c>
      <c r="W593" t="inlineStr">
        <is>
          <t>2004-09-13</t>
        </is>
      </c>
      <c r="X593" t="inlineStr">
        <is>
          <t>2004-09-13</t>
        </is>
      </c>
      <c r="Y593" t="inlineStr">
        <is>
          <t>1988-02-04</t>
        </is>
      </c>
      <c r="Z593" t="inlineStr">
        <is>
          <t>1988-02-04</t>
        </is>
      </c>
      <c r="AA593" t="n">
        <v>261</v>
      </c>
      <c r="AB593" t="n">
        <v>212</v>
      </c>
      <c r="AC593" t="n">
        <v>387</v>
      </c>
      <c r="AD593" t="n">
        <v>4</v>
      </c>
      <c r="AE593" t="n">
        <v>6</v>
      </c>
      <c r="AF593" t="n">
        <v>5</v>
      </c>
      <c r="AG593" t="n">
        <v>12</v>
      </c>
      <c r="AH593" t="n">
        <v>1</v>
      </c>
      <c r="AI593" t="n">
        <v>4</v>
      </c>
      <c r="AJ593" t="n">
        <v>1</v>
      </c>
      <c r="AK593" t="n">
        <v>2</v>
      </c>
      <c r="AL593" t="n">
        <v>1</v>
      </c>
      <c r="AM593" t="n">
        <v>5</v>
      </c>
      <c r="AN593" t="n">
        <v>3</v>
      </c>
      <c r="AO593" t="n">
        <v>5</v>
      </c>
      <c r="AP593" t="n">
        <v>0</v>
      </c>
      <c r="AQ593" t="n">
        <v>0</v>
      </c>
      <c r="AR593" t="inlineStr">
        <is>
          <t>No</t>
        </is>
      </c>
      <c r="AS593" t="inlineStr">
        <is>
          <t>Yes</t>
        </is>
      </c>
      <c r="AT593">
        <f>HYPERLINK("http://catalog.hathitrust.org/Record/001579394","HathiTrust Record")</f>
        <v/>
      </c>
      <c r="AU593">
        <f>HYPERLINK("https://creighton-primo.hosted.exlibrisgroup.com/primo-explore/search?tab=default_tab&amp;search_scope=EVERYTHING&amp;vid=01CRU&amp;lang=en_US&amp;offset=0&amp;query=any,contains,991000991389702656","Catalog Record")</f>
        <v/>
      </c>
      <c r="AV593">
        <f>HYPERLINK("http://www.worldcat.org/oclc/831412","WorldCat Record")</f>
        <v/>
      </c>
      <c r="AW593" t="inlineStr">
        <is>
          <t>1742827:eng</t>
        </is>
      </c>
      <c r="AX593" t="inlineStr">
        <is>
          <t>831412</t>
        </is>
      </c>
      <c r="AY593" t="inlineStr">
        <is>
          <t>991000991389702656</t>
        </is>
      </c>
      <c r="AZ593" t="inlineStr">
        <is>
          <t>991000991389702656</t>
        </is>
      </c>
      <c r="BA593" t="inlineStr">
        <is>
          <t>2271896120002656</t>
        </is>
      </c>
      <c r="BB593" t="inlineStr">
        <is>
          <t>BOOK</t>
        </is>
      </c>
      <c r="BE593" t="inlineStr">
        <is>
          <t>30001000225476</t>
        </is>
      </c>
      <c r="BF593" t="inlineStr">
        <is>
          <t>893552037</t>
        </is>
      </c>
    </row>
    <row r="594">
      <c r="B594" t="inlineStr">
        <is>
          <t>CUHSL</t>
        </is>
      </c>
      <c r="C594" t="inlineStr">
        <is>
          <t>SHELVES</t>
        </is>
      </c>
      <c r="D594" t="inlineStr">
        <is>
          <t>QV 744 L554r 1992</t>
        </is>
      </c>
      <c r="E594" t="inlineStr">
        <is>
          <t>0                      QV 0744000L  554r        1992</t>
        </is>
      </c>
      <c r="F594" t="inlineStr">
        <is>
          <t>Review of organic functional groups : introduction to medicinal organic chemistry / Thomas L. Lemke.</t>
        </is>
      </c>
      <c r="H594" t="inlineStr">
        <is>
          <t>No</t>
        </is>
      </c>
      <c r="I594" t="inlineStr">
        <is>
          <t>1</t>
        </is>
      </c>
      <c r="J594" t="inlineStr">
        <is>
          <t>No</t>
        </is>
      </c>
      <c r="K594" t="inlineStr">
        <is>
          <t>Yes</t>
        </is>
      </c>
      <c r="L594" t="inlineStr">
        <is>
          <t>0</t>
        </is>
      </c>
      <c r="M594" t="inlineStr">
        <is>
          <t>Lemke, Thomas L.</t>
        </is>
      </c>
      <c r="N594" t="inlineStr">
        <is>
          <t>Philadelphia : Lea &amp; Febiger, c1992.</t>
        </is>
      </c>
      <c r="O594" t="inlineStr">
        <is>
          <t>1992</t>
        </is>
      </c>
      <c r="P594" t="inlineStr">
        <is>
          <t>3rd ed.</t>
        </is>
      </c>
      <c r="Q594" t="inlineStr">
        <is>
          <t>eng</t>
        </is>
      </c>
      <c r="R594" t="inlineStr">
        <is>
          <t>pau</t>
        </is>
      </c>
      <c r="T594" t="inlineStr">
        <is>
          <t xml:space="preserve">QV </t>
        </is>
      </c>
      <c r="U594" t="n">
        <v>34</v>
      </c>
      <c r="V594" t="n">
        <v>34</v>
      </c>
      <c r="W594" t="inlineStr">
        <is>
          <t>2010-05-19</t>
        </is>
      </c>
      <c r="X594" t="inlineStr">
        <is>
          <t>2010-05-19</t>
        </is>
      </c>
      <c r="Y594" t="inlineStr">
        <is>
          <t>1995-06-22</t>
        </is>
      </c>
      <c r="Z594" t="inlineStr">
        <is>
          <t>1995-06-22</t>
        </is>
      </c>
      <c r="AA594" t="n">
        <v>102</v>
      </c>
      <c r="AB594" t="n">
        <v>73</v>
      </c>
      <c r="AC594" t="n">
        <v>266</v>
      </c>
      <c r="AD594" t="n">
        <v>1</v>
      </c>
      <c r="AE594" t="n">
        <v>1</v>
      </c>
      <c r="AF594" t="n">
        <v>4</v>
      </c>
      <c r="AG594" t="n">
        <v>12</v>
      </c>
      <c r="AH594" t="n">
        <v>3</v>
      </c>
      <c r="AI594" t="n">
        <v>8</v>
      </c>
      <c r="AJ594" t="n">
        <v>1</v>
      </c>
      <c r="AK594" t="n">
        <v>4</v>
      </c>
      <c r="AL594" t="n">
        <v>1</v>
      </c>
      <c r="AM594" t="n">
        <v>3</v>
      </c>
      <c r="AN594" t="n">
        <v>0</v>
      </c>
      <c r="AO594" t="n">
        <v>0</v>
      </c>
      <c r="AP594" t="n">
        <v>0</v>
      </c>
      <c r="AQ594" t="n">
        <v>0</v>
      </c>
      <c r="AR594" t="inlineStr">
        <is>
          <t>No</t>
        </is>
      </c>
      <c r="AS594" t="inlineStr">
        <is>
          <t>Yes</t>
        </is>
      </c>
      <c r="AT594">
        <f>HYPERLINK("http://catalog.hathitrust.org/Record/002530377","HathiTrust Record")</f>
        <v/>
      </c>
      <c r="AU594">
        <f>HYPERLINK("https://creighton-primo.hosted.exlibrisgroup.com/primo-explore/search?tab=default_tab&amp;search_scope=EVERYTHING&amp;vid=01CRU&amp;lang=en_US&amp;offset=0&amp;query=any,contains,991001401439702656","Catalog Record")</f>
        <v/>
      </c>
      <c r="AV594">
        <f>HYPERLINK("http://www.worldcat.org/oclc/23941653","WorldCat Record")</f>
        <v/>
      </c>
      <c r="AW594" t="inlineStr">
        <is>
          <t>766796:eng</t>
        </is>
      </c>
      <c r="AX594" t="inlineStr">
        <is>
          <t>23941653</t>
        </is>
      </c>
      <c r="AY594" t="inlineStr">
        <is>
          <t>991001401439702656</t>
        </is>
      </c>
      <c r="AZ594" t="inlineStr">
        <is>
          <t>991001401439702656</t>
        </is>
      </c>
      <c r="BA594" t="inlineStr">
        <is>
          <t>2270424870002656</t>
        </is>
      </c>
      <c r="BB594" t="inlineStr">
        <is>
          <t>BOOK</t>
        </is>
      </c>
      <c r="BD594" t="inlineStr">
        <is>
          <t>9780812114287</t>
        </is>
      </c>
      <c r="BE594" t="inlineStr">
        <is>
          <t>30001003148402</t>
        </is>
      </c>
      <c r="BF594" t="inlineStr">
        <is>
          <t>893374506</t>
        </is>
      </c>
    </row>
    <row r="595">
      <c r="B595" t="inlineStr">
        <is>
          <t>CUHSL</t>
        </is>
      </c>
      <c r="C595" t="inlineStr">
        <is>
          <t>SHELVES</t>
        </is>
      </c>
      <c r="D595" t="inlineStr">
        <is>
          <t>QV 744 P957 1995</t>
        </is>
      </c>
      <c r="E595" t="inlineStr">
        <is>
          <t>0                      QV 0744000P  957         1995</t>
        </is>
      </c>
      <c r="F595" t="inlineStr">
        <is>
          <t>Principles of medicinal chemistry / [edited by] William O. Foye, Thomas L. Lemke, David A. Williams.</t>
        </is>
      </c>
      <c r="H595" t="inlineStr">
        <is>
          <t>No</t>
        </is>
      </c>
      <c r="I595" t="inlineStr">
        <is>
          <t>1</t>
        </is>
      </c>
      <c r="J595" t="inlineStr">
        <is>
          <t>No</t>
        </is>
      </c>
      <c r="K595" t="inlineStr">
        <is>
          <t>No</t>
        </is>
      </c>
      <c r="L595" t="inlineStr">
        <is>
          <t>0</t>
        </is>
      </c>
      <c r="N595" t="inlineStr">
        <is>
          <t>Baltimore ; Williams &amp; Wilkins, c1995.</t>
        </is>
      </c>
      <c r="O595" t="inlineStr">
        <is>
          <t>1995</t>
        </is>
      </c>
      <c r="P595" t="inlineStr">
        <is>
          <t>4th ed.</t>
        </is>
      </c>
      <c r="Q595" t="inlineStr">
        <is>
          <t>eng</t>
        </is>
      </c>
      <c r="R595" t="inlineStr">
        <is>
          <t>pau</t>
        </is>
      </c>
      <c r="T595" t="inlineStr">
        <is>
          <t xml:space="preserve">QV </t>
        </is>
      </c>
      <c r="U595" t="n">
        <v>202</v>
      </c>
      <c r="V595" t="n">
        <v>202</v>
      </c>
      <c r="W595" t="inlineStr">
        <is>
          <t>2010-12-04</t>
        </is>
      </c>
      <c r="X595" t="inlineStr">
        <is>
          <t>2010-12-04</t>
        </is>
      </c>
      <c r="Y595" t="inlineStr">
        <is>
          <t>1996-05-01</t>
        </is>
      </c>
      <c r="Z595" t="inlineStr">
        <is>
          <t>1996-05-01</t>
        </is>
      </c>
      <c r="AA595" t="n">
        <v>232</v>
      </c>
      <c r="AB595" t="n">
        <v>147</v>
      </c>
      <c r="AC595" t="n">
        <v>211</v>
      </c>
      <c r="AD595" t="n">
        <v>1</v>
      </c>
      <c r="AE595" t="n">
        <v>1</v>
      </c>
      <c r="AF595" t="n">
        <v>8</v>
      </c>
      <c r="AG595" t="n">
        <v>9</v>
      </c>
      <c r="AH595" t="n">
        <v>4</v>
      </c>
      <c r="AI595" t="n">
        <v>4</v>
      </c>
      <c r="AJ595" t="n">
        <v>2</v>
      </c>
      <c r="AK595" t="n">
        <v>2</v>
      </c>
      <c r="AL595" t="n">
        <v>4</v>
      </c>
      <c r="AM595" t="n">
        <v>5</v>
      </c>
      <c r="AN595" t="n">
        <v>0</v>
      </c>
      <c r="AO595" t="n">
        <v>0</v>
      </c>
      <c r="AP595" t="n">
        <v>0</v>
      </c>
      <c r="AQ595" t="n">
        <v>0</v>
      </c>
      <c r="AR595" t="inlineStr">
        <is>
          <t>No</t>
        </is>
      </c>
      <c r="AS595" t="inlineStr">
        <is>
          <t>Yes</t>
        </is>
      </c>
      <c r="AT595">
        <f>HYPERLINK("http://catalog.hathitrust.org/Record/004572487","HathiTrust Record")</f>
        <v/>
      </c>
      <c r="AU595">
        <f>HYPERLINK("https://creighton-primo.hosted.exlibrisgroup.com/primo-explore/search?tab=default_tab&amp;search_scope=EVERYTHING&amp;vid=01CRU&amp;lang=en_US&amp;offset=0&amp;query=any,contains,991001491849702656","Catalog Record")</f>
        <v/>
      </c>
      <c r="AV595">
        <f>HYPERLINK("http://www.worldcat.org/oclc/30892084","WorldCat Record")</f>
        <v/>
      </c>
      <c r="AW595" t="inlineStr">
        <is>
          <t>354622242:eng</t>
        </is>
      </c>
      <c r="AX595" t="inlineStr">
        <is>
          <t>30892084</t>
        </is>
      </c>
      <c r="AY595" t="inlineStr">
        <is>
          <t>991001491849702656</t>
        </is>
      </c>
      <c r="AZ595" t="inlineStr">
        <is>
          <t>991001491849702656</t>
        </is>
      </c>
      <c r="BA595" t="inlineStr">
        <is>
          <t>2270150990002656</t>
        </is>
      </c>
      <c r="BB595" t="inlineStr">
        <is>
          <t>BOOK</t>
        </is>
      </c>
      <c r="BD595" t="inlineStr">
        <is>
          <t>9780683033236</t>
        </is>
      </c>
      <c r="BE595" t="inlineStr">
        <is>
          <t>30001003264688</t>
        </is>
      </c>
      <c r="BF595" t="inlineStr">
        <is>
          <t>893374653</t>
        </is>
      </c>
    </row>
    <row r="596">
      <c r="B596" t="inlineStr">
        <is>
          <t>CUHSL</t>
        </is>
      </c>
      <c r="C596" t="inlineStr">
        <is>
          <t>SHELVES</t>
        </is>
      </c>
      <c r="D596" t="inlineStr">
        <is>
          <t>QV 744 R845a 1991 v.2</t>
        </is>
      </c>
      <c r="E596" t="inlineStr">
        <is>
          <t>0                      QV 0744000R  845a        1991                                        v.2</t>
        </is>
      </c>
      <c r="F596" t="inlineStr">
        <is>
          <t>Pharmaceutical chemistry / H.J. Roth and A. Kleemann, in collaboration with T. Beisswenger ; translated by M.D. Cooke ; special consultant, P.G. Sammes.</t>
        </is>
      </c>
      <c r="G596" t="inlineStr">
        <is>
          <t>V.2</t>
        </is>
      </c>
      <c r="H596" t="inlineStr">
        <is>
          <t>No</t>
        </is>
      </c>
      <c r="I596" t="inlineStr">
        <is>
          <t>1</t>
        </is>
      </c>
      <c r="J596" t="inlineStr">
        <is>
          <t>No</t>
        </is>
      </c>
      <c r="K596" t="inlineStr">
        <is>
          <t>No</t>
        </is>
      </c>
      <c r="L596" t="inlineStr">
        <is>
          <t>0</t>
        </is>
      </c>
      <c r="M596" t="inlineStr">
        <is>
          <t>Roth, Hermann J.</t>
        </is>
      </c>
      <c r="N596" t="inlineStr">
        <is>
          <t>Chichester : Ellis Horwood ; New York : Halstead Press, c1991.</t>
        </is>
      </c>
      <c r="O596" t="inlineStr">
        <is>
          <t>1991</t>
        </is>
      </c>
      <c r="Q596" t="inlineStr">
        <is>
          <t>eng</t>
        </is>
      </c>
      <c r="R596" t="inlineStr">
        <is>
          <t>enk</t>
        </is>
      </c>
      <c r="S596" t="inlineStr">
        <is>
          <t>v. 2: Ellis Horwood series in pharmaceutical technology</t>
        </is>
      </c>
      <c r="T596" t="inlineStr">
        <is>
          <t xml:space="preserve">QV </t>
        </is>
      </c>
      <c r="U596" t="n">
        <v>20</v>
      </c>
      <c r="V596" t="n">
        <v>20</v>
      </c>
      <c r="W596" t="inlineStr">
        <is>
          <t>2006-08-03</t>
        </is>
      </c>
      <c r="X596" t="inlineStr">
        <is>
          <t>2006-08-03</t>
        </is>
      </c>
      <c r="Y596" t="inlineStr">
        <is>
          <t>1992-02-20</t>
        </is>
      </c>
      <c r="Z596" t="inlineStr">
        <is>
          <t>1992-02-20</t>
        </is>
      </c>
      <c r="AA596" t="n">
        <v>106</v>
      </c>
      <c r="AB596" t="n">
        <v>62</v>
      </c>
      <c r="AC596" t="n">
        <v>64</v>
      </c>
      <c r="AD596" t="n">
        <v>1</v>
      </c>
      <c r="AE596" t="n">
        <v>1</v>
      </c>
      <c r="AF596" t="n">
        <v>2</v>
      </c>
      <c r="AG596" t="n">
        <v>2</v>
      </c>
      <c r="AH596" t="n">
        <v>1</v>
      </c>
      <c r="AI596" t="n">
        <v>1</v>
      </c>
      <c r="AJ596" t="n">
        <v>1</v>
      </c>
      <c r="AK596" t="n">
        <v>1</v>
      </c>
      <c r="AL596" t="n">
        <v>0</v>
      </c>
      <c r="AM596" t="n">
        <v>0</v>
      </c>
      <c r="AN596" t="n">
        <v>0</v>
      </c>
      <c r="AO596" t="n">
        <v>0</v>
      </c>
      <c r="AP596" t="n">
        <v>0</v>
      </c>
      <c r="AQ596" t="n">
        <v>0</v>
      </c>
      <c r="AR596" t="inlineStr">
        <is>
          <t>No</t>
        </is>
      </c>
      <c r="AS596" t="inlineStr">
        <is>
          <t>Yes</t>
        </is>
      </c>
      <c r="AT596">
        <f>HYPERLINK("http://catalog.hathitrust.org/Record/000951229","HathiTrust Record")</f>
        <v/>
      </c>
      <c r="AU596">
        <f>HYPERLINK("https://creighton-primo.hosted.exlibrisgroup.com/primo-explore/search?tab=default_tab&amp;search_scope=EVERYTHING&amp;vid=01CRU&amp;lang=en_US&amp;offset=0&amp;query=any,contains,991001297119702656","Catalog Record")</f>
        <v/>
      </c>
      <c r="AV596">
        <f>HYPERLINK("http://www.worldcat.org/oclc/17440756","WorldCat Record")</f>
        <v/>
      </c>
      <c r="AW596" t="inlineStr">
        <is>
          <t>10678214717:eng</t>
        </is>
      </c>
      <c r="AX596" t="inlineStr">
        <is>
          <t>17440756</t>
        </is>
      </c>
      <c r="AY596" t="inlineStr">
        <is>
          <t>991001297119702656</t>
        </is>
      </c>
      <c r="AZ596" t="inlineStr">
        <is>
          <t>991001297119702656</t>
        </is>
      </c>
      <c r="BA596" t="inlineStr">
        <is>
          <t>2256461290002656</t>
        </is>
      </c>
      <c r="BB596" t="inlineStr">
        <is>
          <t>BOOK</t>
        </is>
      </c>
      <c r="BD596" t="inlineStr">
        <is>
          <t>9780136633600</t>
        </is>
      </c>
      <c r="BE596" t="inlineStr">
        <is>
          <t>30001002410209</t>
        </is>
      </c>
      <c r="BF596" t="inlineStr">
        <is>
          <t>893455673</t>
        </is>
      </c>
    </row>
    <row r="597">
      <c r="B597" t="inlineStr">
        <is>
          <t>CUHSL</t>
        </is>
      </c>
      <c r="C597" t="inlineStr">
        <is>
          <t>SHELVES</t>
        </is>
      </c>
      <c r="D597" t="inlineStr">
        <is>
          <t>QV 744 W754 1991</t>
        </is>
      </c>
      <c r="E597" t="inlineStr">
        <is>
          <t>0                      QV 0744000W  754         1991</t>
        </is>
      </c>
      <c r="F597" t="inlineStr">
        <is>
          <t>Wilson and Gisvold's textbook of organic medicinal and pharmaceutical chemistry.</t>
        </is>
      </c>
      <c r="H597" t="inlineStr">
        <is>
          <t>No</t>
        </is>
      </c>
      <c r="I597" t="inlineStr">
        <is>
          <t>1</t>
        </is>
      </c>
      <c r="J597" t="inlineStr">
        <is>
          <t>No</t>
        </is>
      </c>
      <c r="K597" t="inlineStr">
        <is>
          <t>Yes</t>
        </is>
      </c>
      <c r="L597" t="inlineStr">
        <is>
          <t>0</t>
        </is>
      </c>
      <c r="N597" t="inlineStr">
        <is>
          <t>Philadelphia : Lippincott, c1991.</t>
        </is>
      </c>
      <c r="O597" t="inlineStr">
        <is>
          <t>1991</t>
        </is>
      </c>
      <c r="P597" t="inlineStr">
        <is>
          <t>9th ed. / edited by Jaime N. Delgado and William A. Remers ; 17 contributors.</t>
        </is>
      </c>
      <c r="Q597" t="inlineStr">
        <is>
          <t>eng</t>
        </is>
      </c>
      <c r="R597" t="inlineStr">
        <is>
          <t>xxu</t>
        </is>
      </c>
      <c r="T597" t="inlineStr">
        <is>
          <t xml:space="preserve">QV </t>
        </is>
      </c>
      <c r="U597" t="n">
        <v>120</v>
      </c>
      <c r="V597" t="n">
        <v>120</v>
      </c>
      <c r="W597" t="inlineStr">
        <is>
          <t>2003-09-07</t>
        </is>
      </c>
      <c r="X597" t="inlineStr">
        <is>
          <t>2003-09-07</t>
        </is>
      </c>
      <c r="Y597" t="inlineStr">
        <is>
          <t>1991-07-26</t>
        </is>
      </c>
      <c r="Z597" t="inlineStr">
        <is>
          <t>1991-07-26</t>
        </is>
      </c>
      <c r="AA597" t="n">
        <v>157</v>
      </c>
      <c r="AB597" t="n">
        <v>110</v>
      </c>
      <c r="AC597" t="n">
        <v>364</v>
      </c>
      <c r="AD597" t="n">
        <v>1</v>
      </c>
      <c r="AE597" t="n">
        <v>3</v>
      </c>
      <c r="AF597" t="n">
        <v>1</v>
      </c>
      <c r="AG597" t="n">
        <v>13</v>
      </c>
      <c r="AH597" t="n">
        <v>0</v>
      </c>
      <c r="AI597" t="n">
        <v>8</v>
      </c>
      <c r="AJ597" t="n">
        <v>1</v>
      </c>
      <c r="AK597" t="n">
        <v>4</v>
      </c>
      <c r="AL597" t="n">
        <v>0</v>
      </c>
      <c r="AM597" t="n">
        <v>3</v>
      </c>
      <c r="AN597" t="n">
        <v>0</v>
      </c>
      <c r="AO597" t="n">
        <v>1</v>
      </c>
      <c r="AP597" t="n">
        <v>0</v>
      </c>
      <c r="AQ597" t="n">
        <v>0</v>
      </c>
      <c r="AR597" t="inlineStr">
        <is>
          <t>No</t>
        </is>
      </c>
      <c r="AS597" t="inlineStr">
        <is>
          <t>Yes</t>
        </is>
      </c>
      <c r="AT597">
        <f>HYPERLINK("http://catalog.hathitrust.org/Record/002443443","HathiTrust Record")</f>
        <v/>
      </c>
      <c r="AU597">
        <f>HYPERLINK("https://creighton-primo.hosted.exlibrisgroup.com/primo-explore/search?tab=default_tab&amp;search_scope=EVERYTHING&amp;vid=01CRU&amp;lang=en_US&amp;offset=0&amp;query=any,contains,991000943969702656","Catalog Record")</f>
        <v/>
      </c>
      <c r="AV597">
        <f>HYPERLINK("http://www.worldcat.org/oclc/22813514","WorldCat Record")</f>
        <v/>
      </c>
      <c r="AW597" t="inlineStr">
        <is>
          <t>3376589301:eng</t>
        </is>
      </c>
      <c r="AX597" t="inlineStr">
        <is>
          <t>22813514</t>
        </is>
      </c>
      <c r="AY597" t="inlineStr">
        <is>
          <t>991000943969702656</t>
        </is>
      </c>
      <c r="AZ597" t="inlineStr">
        <is>
          <t>991000943969702656</t>
        </is>
      </c>
      <c r="BA597" t="inlineStr">
        <is>
          <t>2267958900002656</t>
        </is>
      </c>
      <c r="BB597" t="inlineStr">
        <is>
          <t>BOOK</t>
        </is>
      </c>
      <c r="BD597" t="inlineStr">
        <is>
          <t>9780397508778</t>
        </is>
      </c>
      <c r="BE597" t="inlineStr">
        <is>
          <t>30001002193227</t>
        </is>
      </c>
      <c r="BF597" t="inlineStr">
        <is>
          <t>893727106</t>
        </is>
      </c>
    </row>
    <row r="598">
      <c r="B598" t="inlineStr">
        <is>
          <t>CUHSL</t>
        </is>
      </c>
      <c r="C598" t="inlineStr">
        <is>
          <t>SHELVES</t>
        </is>
      </c>
      <c r="D598" t="inlineStr">
        <is>
          <t>QV 748 D794 1989</t>
        </is>
      </c>
      <c r="E598" t="inlineStr">
        <is>
          <t>0                      QV 0748000D  794         1989</t>
        </is>
      </c>
      <c r="F598" t="inlineStr">
        <is>
          <t>Drug regimen review : a process guide for pharmacists.</t>
        </is>
      </c>
      <c r="H598" t="inlineStr">
        <is>
          <t>No</t>
        </is>
      </c>
      <c r="I598" t="inlineStr">
        <is>
          <t>1</t>
        </is>
      </c>
      <c r="J598" t="inlineStr">
        <is>
          <t>No</t>
        </is>
      </c>
      <c r="K598" t="inlineStr">
        <is>
          <t>No</t>
        </is>
      </c>
      <c r="L598" t="inlineStr">
        <is>
          <t>0</t>
        </is>
      </c>
      <c r="N598" t="inlineStr">
        <is>
          <t>Philadelphia : Geriatric Pharmacy Institute, Philadelphia College of Pharmacy and Science ; Arlington, VA. : American Society of Consultant Pharmacists, 1989.</t>
        </is>
      </c>
      <c r="O598" t="inlineStr">
        <is>
          <t>1989</t>
        </is>
      </c>
      <c r="Q598" t="inlineStr">
        <is>
          <t>eng</t>
        </is>
      </c>
      <c r="R598" t="inlineStr">
        <is>
          <t>nju</t>
        </is>
      </c>
      <c r="T598" t="inlineStr">
        <is>
          <t xml:space="preserve">QV </t>
        </is>
      </c>
      <c r="U598" t="n">
        <v>10</v>
      </c>
      <c r="V598" t="n">
        <v>10</v>
      </c>
      <c r="W598" t="inlineStr">
        <is>
          <t>1999-06-04</t>
        </is>
      </c>
      <c r="X598" t="inlineStr">
        <is>
          <t>1999-06-04</t>
        </is>
      </c>
      <c r="Y598" t="inlineStr">
        <is>
          <t>1992-03-31</t>
        </is>
      </c>
      <c r="Z598" t="inlineStr">
        <is>
          <t>1992-03-31</t>
        </is>
      </c>
      <c r="AA598" t="n">
        <v>8</v>
      </c>
      <c r="AB598" t="n">
        <v>8</v>
      </c>
      <c r="AC598" t="n">
        <v>18</v>
      </c>
      <c r="AD598" t="n">
        <v>1</v>
      </c>
      <c r="AE598" t="n">
        <v>1</v>
      </c>
      <c r="AF598" t="n">
        <v>0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0</v>
      </c>
      <c r="AM598" t="n">
        <v>0</v>
      </c>
      <c r="AN598" t="n">
        <v>0</v>
      </c>
      <c r="AO598" t="n">
        <v>0</v>
      </c>
      <c r="AP598" t="n">
        <v>0</v>
      </c>
      <c r="AQ598" t="n">
        <v>0</v>
      </c>
      <c r="AR598" t="inlineStr">
        <is>
          <t>No</t>
        </is>
      </c>
      <c r="AS598" t="inlineStr">
        <is>
          <t>No</t>
        </is>
      </c>
      <c r="AU598">
        <f>HYPERLINK("https://creighton-primo.hosted.exlibrisgroup.com/primo-explore/search?tab=default_tab&amp;search_scope=EVERYTHING&amp;vid=01CRU&amp;lang=en_US&amp;offset=0&amp;query=any,contains,991001298779702656","Catalog Record")</f>
        <v/>
      </c>
      <c r="AV598">
        <f>HYPERLINK("http://www.worldcat.org/oclc/20803463","WorldCat Record")</f>
        <v/>
      </c>
      <c r="AW598" t="inlineStr">
        <is>
          <t>432617950:eng</t>
        </is>
      </c>
      <c r="AX598" t="inlineStr">
        <is>
          <t>20803463</t>
        </is>
      </c>
      <c r="AY598" t="inlineStr">
        <is>
          <t>991001298779702656</t>
        </is>
      </c>
      <c r="AZ598" t="inlineStr">
        <is>
          <t>991001298779702656</t>
        </is>
      </c>
      <c r="BA598" t="inlineStr">
        <is>
          <t>2256514790002656</t>
        </is>
      </c>
      <c r="BB598" t="inlineStr">
        <is>
          <t>BOOK</t>
        </is>
      </c>
      <c r="BE598" t="inlineStr">
        <is>
          <t>30001002411009</t>
        </is>
      </c>
      <c r="BF598" t="inlineStr">
        <is>
          <t>893121383</t>
        </is>
      </c>
    </row>
    <row r="599">
      <c r="B599" t="inlineStr">
        <is>
          <t>CUHSL</t>
        </is>
      </c>
      <c r="C599" t="inlineStr">
        <is>
          <t>SHELVES</t>
        </is>
      </c>
      <c r="D599" t="inlineStr">
        <is>
          <t>QV 748 G778c 2006</t>
        </is>
      </c>
      <c r="E599" t="inlineStr">
        <is>
          <t>0                      QV 0748000G  778c        2006</t>
        </is>
      </c>
      <c r="F599" t="inlineStr">
        <is>
          <t>Calculate with confidence / Deborah C. Morris Gray.</t>
        </is>
      </c>
      <c r="H599" t="inlineStr">
        <is>
          <t>No</t>
        </is>
      </c>
      <c r="I599" t="inlineStr">
        <is>
          <t>1</t>
        </is>
      </c>
      <c r="J599" t="inlineStr">
        <is>
          <t>No</t>
        </is>
      </c>
      <c r="K599" t="inlineStr">
        <is>
          <t>No</t>
        </is>
      </c>
      <c r="L599" t="inlineStr">
        <is>
          <t>0</t>
        </is>
      </c>
      <c r="M599" t="inlineStr">
        <is>
          <t>Morris, Deborah Gray.</t>
        </is>
      </c>
      <c r="N599" t="inlineStr">
        <is>
          <t>St. Louis, Mo. ; London : Elsevier Mosby, 2006.</t>
        </is>
      </c>
      <c r="O599" t="inlineStr">
        <is>
          <t>2006</t>
        </is>
      </c>
      <c r="P599" t="inlineStr">
        <is>
          <t>4th ed.</t>
        </is>
      </c>
      <c r="Q599" t="inlineStr">
        <is>
          <t>eng</t>
        </is>
      </c>
      <c r="R599" t="inlineStr">
        <is>
          <t>mou</t>
        </is>
      </c>
      <c r="T599" t="inlineStr">
        <is>
          <t xml:space="preserve">QV </t>
        </is>
      </c>
      <c r="U599" t="n">
        <v>0</v>
      </c>
      <c r="V599" t="n">
        <v>0</v>
      </c>
      <c r="W599" t="inlineStr">
        <is>
          <t>2006-09-03</t>
        </is>
      </c>
      <c r="X599" t="inlineStr">
        <is>
          <t>2006-09-03</t>
        </is>
      </c>
      <c r="Y599" t="inlineStr">
        <is>
          <t>2006-08-25</t>
        </is>
      </c>
      <c r="Z599" t="inlineStr">
        <is>
          <t>2006-08-25</t>
        </is>
      </c>
      <c r="AA599" t="n">
        <v>44</v>
      </c>
      <c r="AB599" t="n">
        <v>36</v>
      </c>
      <c r="AC599" t="n">
        <v>698</v>
      </c>
      <c r="AD599" t="n">
        <v>0</v>
      </c>
      <c r="AE599" t="n">
        <v>5</v>
      </c>
      <c r="AF599" t="n">
        <v>0</v>
      </c>
      <c r="AG599" t="n">
        <v>19</v>
      </c>
      <c r="AH599" t="n">
        <v>0</v>
      </c>
      <c r="AI599" t="n">
        <v>7</v>
      </c>
      <c r="AJ599" t="n">
        <v>0</v>
      </c>
      <c r="AK599" t="n">
        <v>1</v>
      </c>
      <c r="AL599" t="n">
        <v>0</v>
      </c>
      <c r="AM599" t="n">
        <v>8</v>
      </c>
      <c r="AN599" t="n">
        <v>0</v>
      </c>
      <c r="AO599" t="n">
        <v>3</v>
      </c>
      <c r="AP599" t="n">
        <v>0</v>
      </c>
      <c r="AQ599" t="n">
        <v>0</v>
      </c>
      <c r="AR599" t="inlineStr">
        <is>
          <t>No</t>
        </is>
      </c>
      <c r="AS599" t="inlineStr">
        <is>
          <t>No</t>
        </is>
      </c>
      <c r="AU599">
        <f>HYPERLINK("https://creighton-primo.hosted.exlibrisgroup.com/primo-explore/search?tab=default_tab&amp;search_scope=EVERYTHING&amp;vid=01CRU&amp;lang=en_US&amp;offset=0&amp;query=any,contains,991001737179702656","Catalog Record")</f>
        <v/>
      </c>
      <c r="AV599">
        <f>HYPERLINK("http://www.worldcat.org/oclc/61424876","WorldCat Record")</f>
        <v/>
      </c>
      <c r="AW599" t="inlineStr">
        <is>
          <t>622721:eng</t>
        </is>
      </c>
      <c r="AX599" t="inlineStr">
        <is>
          <t>61424876</t>
        </is>
      </c>
      <c r="AY599" t="inlineStr">
        <is>
          <t>991001737179702656</t>
        </is>
      </c>
      <c r="AZ599" t="inlineStr">
        <is>
          <t>991001737179702656</t>
        </is>
      </c>
      <c r="BA599" t="inlineStr">
        <is>
          <t>2265981300002656</t>
        </is>
      </c>
      <c r="BB599" t="inlineStr">
        <is>
          <t>BOOK</t>
        </is>
      </c>
      <c r="BD599" t="inlineStr">
        <is>
          <t>9780323029285</t>
        </is>
      </c>
      <c r="BE599" t="inlineStr">
        <is>
          <t>30001005120409</t>
        </is>
      </c>
      <c r="BF599" t="inlineStr">
        <is>
          <t>893279356</t>
        </is>
      </c>
    </row>
    <row r="600">
      <c r="B600" t="inlineStr">
        <is>
          <t>CUHSL</t>
        </is>
      </c>
      <c r="C600" t="inlineStr">
        <is>
          <t>SHELVES</t>
        </is>
      </c>
      <c r="D600" t="inlineStr">
        <is>
          <t>QV 748 K26c 1988</t>
        </is>
      </c>
      <c r="E600" t="inlineStr">
        <is>
          <t>0                      QV 0748000K  26c         1988</t>
        </is>
      </c>
      <c r="F600" t="inlineStr">
        <is>
          <t>Clinical calculations : with applications to general and specialty areas / Joyce L. Kee, Sally M. Marshall.</t>
        </is>
      </c>
      <c r="H600" t="inlineStr">
        <is>
          <t>No</t>
        </is>
      </c>
      <c r="I600" t="inlineStr">
        <is>
          <t>1</t>
        </is>
      </c>
      <c r="J600" t="inlineStr">
        <is>
          <t>No</t>
        </is>
      </c>
      <c r="K600" t="inlineStr">
        <is>
          <t>No</t>
        </is>
      </c>
      <c r="L600" t="inlineStr">
        <is>
          <t>0</t>
        </is>
      </c>
      <c r="M600" t="inlineStr">
        <is>
          <t>Kee, Joyce LeFever.</t>
        </is>
      </c>
      <c r="N600" t="inlineStr">
        <is>
          <t>Philadelphia : Saunders, c1988.</t>
        </is>
      </c>
      <c r="O600" t="inlineStr">
        <is>
          <t>1988</t>
        </is>
      </c>
      <c r="Q600" t="inlineStr">
        <is>
          <t>eng</t>
        </is>
      </c>
      <c r="R600" t="inlineStr">
        <is>
          <t>xxu</t>
        </is>
      </c>
      <c r="T600" t="inlineStr">
        <is>
          <t xml:space="preserve">QV </t>
        </is>
      </c>
      <c r="U600" t="n">
        <v>6</v>
      </c>
      <c r="V600" t="n">
        <v>6</v>
      </c>
      <c r="W600" t="inlineStr">
        <is>
          <t>2000-10-03</t>
        </is>
      </c>
      <c r="X600" t="inlineStr">
        <is>
          <t>2000-10-03</t>
        </is>
      </c>
      <c r="Y600" t="inlineStr">
        <is>
          <t>1989-08-08</t>
        </is>
      </c>
      <c r="Z600" t="inlineStr">
        <is>
          <t>1989-08-08</t>
        </is>
      </c>
      <c r="AA600" t="n">
        <v>113</v>
      </c>
      <c r="AB600" t="n">
        <v>101</v>
      </c>
      <c r="AC600" t="n">
        <v>764</v>
      </c>
      <c r="AD600" t="n">
        <v>2</v>
      </c>
      <c r="AE600" t="n">
        <v>3</v>
      </c>
      <c r="AF600" t="n">
        <v>1</v>
      </c>
      <c r="AG600" t="n">
        <v>18</v>
      </c>
      <c r="AH600" t="n">
        <v>1</v>
      </c>
      <c r="AI600" t="n">
        <v>9</v>
      </c>
      <c r="AJ600" t="n">
        <v>0</v>
      </c>
      <c r="AK600" t="n">
        <v>3</v>
      </c>
      <c r="AL600" t="n">
        <v>0</v>
      </c>
      <c r="AM600" t="n">
        <v>8</v>
      </c>
      <c r="AN600" t="n">
        <v>0</v>
      </c>
      <c r="AO600" t="n">
        <v>1</v>
      </c>
      <c r="AP600" t="n">
        <v>0</v>
      </c>
      <c r="AQ600" t="n">
        <v>0</v>
      </c>
      <c r="AR600" t="inlineStr">
        <is>
          <t>No</t>
        </is>
      </c>
      <c r="AS600" t="inlineStr">
        <is>
          <t>No</t>
        </is>
      </c>
      <c r="AU600">
        <f>HYPERLINK("https://creighton-primo.hosted.exlibrisgroup.com/primo-explore/search?tab=default_tab&amp;search_scope=EVERYTHING&amp;vid=01CRU&amp;lang=en_US&amp;offset=0&amp;query=any,contains,991001313139702656","Catalog Record")</f>
        <v/>
      </c>
      <c r="AV600">
        <f>HYPERLINK("http://www.worldcat.org/oclc/17201041","WorldCat Record")</f>
        <v/>
      </c>
      <c r="AW600" t="inlineStr">
        <is>
          <t>11949816:eng</t>
        </is>
      </c>
      <c r="AX600" t="inlineStr">
        <is>
          <t>17201041</t>
        </is>
      </c>
      <c r="AY600" t="inlineStr">
        <is>
          <t>991001313139702656</t>
        </is>
      </c>
      <c r="AZ600" t="inlineStr">
        <is>
          <t>991001313139702656</t>
        </is>
      </c>
      <c r="BA600" t="inlineStr">
        <is>
          <t>2255403010002656</t>
        </is>
      </c>
      <c r="BB600" t="inlineStr">
        <is>
          <t>BOOK</t>
        </is>
      </c>
      <c r="BD600" t="inlineStr">
        <is>
          <t>9780721620732</t>
        </is>
      </c>
      <c r="BE600" t="inlineStr">
        <is>
          <t>30001001751637</t>
        </is>
      </c>
      <c r="BF600" t="inlineStr">
        <is>
          <t>893121398</t>
        </is>
      </c>
    </row>
    <row r="601">
      <c r="B601" t="inlineStr">
        <is>
          <t>CUHSL</t>
        </is>
      </c>
      <c r="C601" t="inlineStr">
        <is>
          <t>SHELVES</t>
        </is>
      </c>
      <c r="D601" t="inlineStr">
        <is>
          <t>QV 748 M489d 1988</t>
        </is>
      </c>
      <c r="E601" t="inlineStr">
        <is>
          <t>0                      QV 0748000M  489d        1988</t>
        </is>
      </c>
      <c r="F601" t="inlineStr">
        <is>
          <t>Drug dosage calculations : a guide for clinical practice / Geraldine Ann Medici.</t>
        </is>
      </c>
      <c r="H601" t="inlineStr">
        <is>
          <t>No</t>
        </is>
      </c>
      <c r="I601" t="inlineStr">
        <is>
          <t>1</t>
        </is>
      </c>
      <c r="J601" t="inlineStr">
        <is>
          <t>No</t>
        </is>
      </c>
      <c r="K601" t="inlineStr">
        <is>
          <t>No</t>
        </is>
      </c>
      <c r="L601" t="inlineStr">
        <is>
          <t>0</t>
        </is>
      </c>
      <c r="M601" t="inlineStr">
        <is>
          <t>Medici, Geraldine Ann.</t>
        </is>
      </c>
      <c r="N601" t="inlineStr">
        <is>
          <t>Norwalk, Conn. : Appleton &amp; Lange, c1988.</t>
        </is>
      </c>
      <c r="O601" t="inlineStr">
        <is>
          <t>1988</t>
        </is>
      </c>
      <c r="P601" t="inlineStr">
        <is>
          <t>2nd ed.</t>
        </is>
      </c>
      <c r="Q601" t="inlineStr">
        <is>
          <t>eng</t>
        </is>
      </c>
      <c r="R601" t="inlineStr">
        <is>
          <t>xxu</t>
        </is>
      </c>
      <c r="T601" t="inlineStr">
        <is>
          <t xml:space="preserve">QV </t>
        </is>
      </c>
      <c r="U601" t="n">
        <v>12</v>
      </c>
      <c r="V601" t="n">
        <v>12</v>
      </c>
      <c r="W601" t="inlineStr">
        <is>
          <t>1995-08-06</t>
        </is>
      </c>
      <c r="X601" t="inlineStr">
        <is>
          <t>1995-08-06</t>
        </is>
      </c>
      <c r="Y601" t="inlineStr">
        <is>
          <t>1988-08-05</t>
        </is>
      </c>
      <c r="Z601" t="inlineStr">
        <is>
          <t>1988-08-05</t>
        </is>
      </c>
      <c r="AA601" t="n">
        <v>101</v>
      </c>
      <c r="AB601" t="n">
        <v>80</v>
      </c>
      <c r="AC601" t="n">
        <v>124</v>
      </c>
      <c r="AD601" t="n">
        <v>1</v>
      </c>
      <c r="AE601" t="n">
        <v>1</v>
      </c>
      <c r="AF601" t="n">
        <v>0</v>
      </c>
      <c r="AG601" t="n">
        <v>2</v>
      </c>
      <c r="AH601" t="n">
        <v>0</v>
      </c>
      <c r="AI601" t="n">
        <v>1</v>
      </c>
      <c r="AJ601" t="n">
        <v>0</v>
      </c>
      <c r="AK601" t="n">
        <v>0</v>
      </c>
      <c r="AL601" t="n">
        <v>0</v>
      </c>
      <c r="AM601" t="n">
        <v>2</v>
      </c>
      <c r="AN601" t="n">
        <v>0</v>
      </c>
      <c r="AO601" t="n">
        <v>0</v>
      </c>
      <c r="AP601" t="n">
        <v>0</v>
      </c>
      <c r="AQ601" t="n">
        <v>0</v>
      </c>
      <c r="AR601" t="inlineStr">
        <is>
          <t>No</t>
        </is>
      </c>
      <c r="AS601" t="inlineStr">
        <is>
          <t>Yes</t>
        </is>
      </c>
      <c r="AT601">
        <f>HYPERLINK("http://catalog.hathitrust.org/Record/001298407","HathiTrust Record")</f>
        <v/>
      </c>
      <c r="AU601">
        <f>HYPERLINK("https://creighton-primo.hosted.exlibrisgroup.com/primo-explore/search?tab=default_tab&amp;search_scope=EVERYTHING&amp;vid=01CRU&amp;lang=en_US&amp;offset=0&amp;query=any,contains,991001419079702656","Catalog Record")</f>
        <v/>
      </c>
      <c r="AV601">
        <f>HYPERLINK("http://www.worldcat.org/oclc/16525315","WorldCat Record")</f>
        <v/>
      </c>
      <c r="AW601" t="inlineStr">
        <is>
          <t>969678:eng</t>
        </is>
      </c>
      <c r="AX601" t="inlineStr">
        <is>
          <t>16525315</t>
        </is>
      </c>
      <c r="AY601" t="inlineStr">
        <is>
          <t>991001419079702656</t>
        </is>
      </c>
      <c r="AZ601" t="inlineStr">
        <is>
          <t>991001419079702656</t>
        </is>
      </c>
      <c r="BA601" t="inlineStr">
        <is>
          <t>2255978610002656</t>
        </is>
      </c>
      <c r="BB601" t="inlineStr">
        <is>
          <t>BOOK</t>
        </is>
      </c>
      <c r="BD601" t="inlineStr">
        <is>
          <t>9780838517758</t>
        </is>
      </c>
      <c r="BE601" t="inlineStr">
        <is>
          <t>30001001181694</t>
        </is>
      </c>
      <c r="BF601" t="inlineStr">
        <is>
          <t>893557972</t>
        </is>
      </c>
    </row>
    <row r="602">
      <c r="B602" t="inlineStr">
        <is>
          <t>CUHSL</t>
        </is>
      </c>
      <c r="C602" t="inlineStr">
        <is>
          <t>SHELVES</t>
        </is>
      </c>
      <c r="D602" t="inlineStr">
        <is>
          <t>QV 748 M694 1987</t>
        </is>
      </c>
      <c r="E602" t="inlineStr">
        <is>
          <t>0                      QV 0748000M  694         1987</t>
        </is>
      </c>
      <c r="F602" t="inlineStr">
        <is>
          <t>Medical dosage calculations / June Looby Olsen ... [et al.].</t>
        </is>
      </c>
      <c r="H602" t="inlineStr">
        <is>
          <t>No</t>
        </is>
      </c>
      <c r="I602" t="inlineStr">
        <is>
          <t>1</t>
        </is>
      </c>
      <c r="J602" t="inlineStr">
        <is>
          <t>No</t>
        </is>
      </c>
      <c r="K602" t="inlineStr">
        <is>
          <t>Yes</t>
        </is>
      </c>
      <c r="L602" t="inlineStr">
        <is>
          <t>0</t>
        </is>
      </c>
      <c r="N602" t="inlineStr">
        <is>
          <t>Menlo Park, Calif. : Addison-Wesley Pub. Co., Health Sciences Division, c1987.</t>
        </is>
      </c>
      <c r="O602" t="inlineStr">
        <is>
          <t>1987</t>
        </is>
      </c>
      <c r="P602" t="inlineStr">
        <is>
          <t>4th ed.</t>
        </is>
      </c>
      <c r="Q602" t="inlineStr">
        <is>
          <t>eng</t>
        </is>
      </c>
      <c r="R602" t="inlineStr">
        <is>
          <t>xxu</t>
        </is>
      </c>
      <c r="T602" t="inlineStr">
        <is>
          <t xml:space="preserve">QV </t>
        </is>
      </c>
      <c r="U602" t="n">
        <v>10</v>
      </c>
      <c r="V602" t="n">
        <v>10</v>
      </c>
      <c r="W602" t="inlineStr">
        <is>
          <t>2001-09-07</t>
        </is>
      </c>
      <c r="X602" t="inlineStr">
        <is>
          <t>2001-09-07</t>
        </is>
      </c>
      <c r="Y602" t="inlineStr">
        <is>
          <t>1987-10-21</t>
        </is>
      </c>
      <c r="Z602" t="inlineStr">
        <is>
          <t>1987-10-21</t>
        </is>
      </c>
      <c r="AA602" t="n">
        <v>72</v>
      </c>
      <c r="AB602" t="n">
        <v>55</v>
      </c>
      <c r="AC602" t="n">
        <v>578</v>
      </c>
      <c r="AD602" t="n">
        <v>2</v>
      </c>
      <c r="AE602" t="n">
        <v>3</v>
      </c>
      <c r="AF602" t="n">
        <v>0</v>
      </c>
      <c r="AG602" t="n">
        <v>11</v>
      </c>
      <c r="AH602" t="n">
        <v>0</v>
      </c>
      <c r="AI602" t="n">
        <v>7</v>
      </c>
      <c r="AJ602" t="n">
        <v>0</v>
      </c>
      <c r="AK602" t="n">
        <v>2</v>
      </c>
      <c r="AL602" t="n">
        <v>0</v>
      </c>
      <c r="AM602" t="n">
        <v>3</v>
      </c>
      <c r="AN602" t="n">
        <v>0</v>
      </c>
      <c r="AO602" t="n">
        <v>1</v>
      </c>
      <c r="AP602" t="n">
        <v>0</v>
      </c>
      <c r="AQ602" t="n">
        <v>0</v>
      </c>
      <c r="AR602" t="inlineStr">
        <is>
          <t>No</t>
        </is>
      </c>
      <c r="AS602" t="inlineStr">
        <is>
          <t>Yes</t>
        </is>
      </c>
      <c r="AT602">
        <f>HYPERLINK("http://catalog.hathitrust.org/Record/000839525","HathiTrust Record")</f>
        <v/>
      </c>
      <c r="AU602">
        <f>HYPERLINK("https://creighton-primo.hosted.exlibrisgroup.com/primo-explore/search?tab=default_tab&amp;search_scope=EVERYTHING&amp;vid=01CRU&amp;lang=en_US&amp;offset=0&amp;query=any,contains,991001527989702656","Catalog Record")</f>
        <v/>
      </c>
      <c r="AV602">
        <f>HYPERLINK("http://www.worldcat.org/oclc/14691947","WorldCat Record")</f>
        <v/>
      </c>
      <c r="AW602" t="inlineStr">
        <is>
          <t>54386439:eng</t>
        </is>
      </c>
      <c r="AX602" t="inlineStr">
        <is>
          <t>14691947</t>
        </is>
      </c>
      <c r="AY602" t="inlineStr">
        <is>
          <t>991001527989702656</t>
        </is>
      </c>
      <c r="AZ602" t="inlineStr">
        <is>
          <t>991001527989702656</t>
        </is>
      </c>
      <c r="BA602" t="inlineStr">
        <is>
          <t>2272507340002656</t>
        </is>
      </c>
      <c r="BB602" t="inlineStr">
        <is>
          <t>BOOK</t>
        </is>
      </c>
      <c r="BD602" t="inlineStr">
        <is>
          <t>9780201191851</t>
        </is>
      </c>
      <c r="BE602" t="inlineStr">
        <is>
          <t>30001000620460</t>
        </is>
      </c>
      <c r="BF602" t="inlineStr">
        <is>
          <t>893743892</t>
        </is>
      </c>
    </row>
    <row r="603">
      <c r="B603" t="inlineStr">
        <is>
          <t>CUHSL</t>
        </is>
      </c>
      <c r="C603" t="inlineStr">
        <is>
          <t>SHELVES</t>
        </is>
      </c>
      <c r="D603" t="inlineStr">
        <is>
          <t>QV 748 N937 1988</t>
        </is>
      </c>
      <c r="E603" t="inlineStr">
        <is>
          <t>0                      QV 0748000N  937         1988</t>
        </is>
      </c>
      <c r="F603" t="inlineStr">
        <is>
          <t>Novel drug delivery and its therapeutic application / edited by L.F. Prescott and W.S. Nimmo.</t>
        </is>
      </c>
      <c r="H603" t="inlineStr">
        <is>
          <t>No</t>
        </is>
      </c>
      <c r="I603" t="inlineStr">
        <is>
          <t>1</t>
        </is>
      </c>
      <c r="J603" t="inlineStr">
        <is>
          <t>No</t>
        </is>
      </c>
      <c r="K603" t="inlineStr">
        <is>
          <t>No</t>
        </is>
      </c>
      <c r="L603" t="inlineStr">
        <is>
          <t>0</t>
        </is>
      </c>
      <c r="N603" t="inlineStr">
        <is>
          <t>Chichester ; New York : Wiley, c1989.</t>
        </is>
      </c>
      <c r="O603" t="inlineStr">
        <is>
          <t>1989</t>
        </is>
      </c>
      <c r="Q603" t="inlineStr">
        <is>
          <t>eng</t>
        </is>
      </c>
      <c r="R603" t="inlineStr">
        <is>
          <t>enk</t>
        </is>
      </c>
      <c r="T603" t="inlineStr">
        <is>
          <t xml:space="preserve">QV </t>
        </is>
      </c>
      <c r="U603" t="n">
        <v>16</v>
      </c>
      <c r="V603" t="n">
        <v>16</v>
      </c>
      <c r="W603" t="inlineStr">
        <is>
          <t>2000-04-14</t>
        </is>
      </c>
      <c r="X603" t="inlineStr">
        <is>
          <t>2000-04-14</t>
        </is>
      </c>
      <c r="Y603" t="inlineStr">
        <is>
          <t>1990-03-23</t>
        </is>
      </c>
      <c r="Z603" t="inlineStr">
        <is>
          <t>1990-03-23</t>
        </is>
      </c>
      <c r="AA603" t="n">
        <v>113</v>
      </c>
      <c r="AB603" t="n">
        <v>65</v>
      </c>
      <c r="AC603" t="n">
        <v>67</v>
      </c>
      <c r="AD603" t="n">
        <v>1</v>
      </c>
      <c r="AE603" t="n">
        <v>1</v>
      </c>
      <c r="AF603" t="n">
        <v>2</v>
      </c>
      <c r="AG603" t="n">
        <v>2</v>
      </c>
      <c r="AH603" t="n">
        <v>0</v>
      </c>
      <c r="AI603" t="n">
        <v>0</v>
      </c>
      <c r="AJ603" t="n">
        <v>1</v>
      </c>
      <c r="AK603" t="n">
        <v>1</v>
      </c>
      <c r="AL603" t="n">
        <v>1</v>
      </c>
      <c r="AM603" t="n">
        <v>1</v>
      </c>
      <c r="AN603" t="n">
        <v>0</v>
      </c>
      <c r="AO603" t="n">
        <v>0</v>
      </c>
      <c r="AP603" t="n">
        <v>0</v>
      </c>
      <c r="AQ603" t="n">
        <v>0</v>
      </c>
      <c r="AR603" t="inlineStr">
        <is>
          <t>No</t>
        </is>
      </c>
      <c r="AS603" t="inlineStr">
        <is>
          <t>Yes</t>
        </is>
      </c>
      <c r="AT603">
        <f>HYPERLINK("http://catalog.hathitrust.org/Record/001836274","HathiTrust Record")</f>
        <v/>
      </c>
      <c r="AU603">
        <f>HYPERLINK("https://creighton-primo.hosted.exlibrisgroup.com/primo-explore/search?tab=default_tab&amp;search_scope=EVERYTHING&amp;vid=01CRU&amp;lang=en_US&amp;offset=0&amp;query=any,contains,991001447699702656","Catalog Record")</f>
        <v/>
      </c>
      <c r="AV603">
        <f>HYPERLINK("http://www.worldcat.org/oclc/19815352","WorldCat Record")</f>
        <v/>
      </c>
      <c r="AW603" t="inlineStr">
        <is>
          <t>510072093:eng</t>
        </is>
      </c>
      <c r="AX603" t="inlineStr">
        <is>
          <t>19815352</t>
        </is>
      </c>
      <c r="AY603" t="inlineStr">
        <is>
          <t>991001447699702656</t>
        </is>
      </c>
      <c r="AZ603" t="inlineStr">
        <is>
          <t>991001447699702656</t>
        </is>
      </c>
      <c r="BA603" t="inlineStr">
        <is>
          <t>2259267850002656</t>
        </is>
      </c>
      <c r="BB603" t="inlineStr">
        <is>
          <t>BOOK</t>
        </is>
      </c>
      <c r="BD603" t="inlineStr">
        <is>
          <t>9780471921547</t>
        </is>
      </c>
      <c r="BE603" t="inlineStr">
        <is>
          <t>30001001881194</t>
        </is>
      </c>
      <c r="BF603" t="inlineStr">
        <is>
          <t>893652028</t>
        </is>
      </c>
    </row>
    <row r="604">
      <c r="B604" t="inlineStr">
        <is>
          <t>CUHSL</t>
        </is>
      </c>
      <c r="C604" t="inlineStr">
        <is>
          <t>SHELVES</t>
        </is>
      </c>
      <c r="D604" t="inlineStr">
        <is>
          <t>QV 748 P365h 1978</t>
        </is>
      </c>
      <c r="E604" t="inlineStr">
        <is>
          <t>0                      QV 0748000P  365h        1978</t>
        </is>
      </c>
      <c r="F604" t="inlineStr">
        <is>
          <t>How to calculate drug dosages : a ready reference and textbook / by Angela R. Pecherer and Suzanne L. Vertuno ; consulting editor, Jill Burk.</t>
        </is>
      </c>
      <c r="H604" t="inlineStr">
        <is>
          <t>No</t>
        </is>
      </c>
      <c r="I604" t="inlineStr">
        <is>
          <t>1</t>
        </is>
      </c>
      <c r="J604" t="inlineStr">
        <is>
          <t>No</t>
        </is>
      </c>
      <c r="K604" t="inlineStr">
        <is>
          <t>No</t>
        </is>
      </c>
      <c r="L604" t="inlineStr">
        <is>
          <t>0</t>
        </is>
      </c>
      <c r="M604" t="inlineStr">
        <is>
          <t>Carver, Angela R.</t>
        </is>
      </c>
      <c r="N604" t="inlineStr">
        <is>
          <t>Oradell, N.J. : Medical Economics Co., c1978.</t>
        </is>
      </c>
      <c r="O604" t="inlineStr">
        <is>
          <t>1978</t>
        </is>
      </c>
      <c r="Q604" t="inlineStr">
        <is>
          <t>eng</t>
        </is>
      </c>
      <c r="R604" t="inlineStr">
        <is>
          <t>nju</t>
        </is>
      </c>
      <c r="T604" t="inlineStr">
        <is>
          <t xml:space="preserve">QV </t>
        </is>
      </c>
      <c r="U604" t="n">
        <v>9</v>
      </c>
      <c r="V604" t="n">
        <v>9</v>
      </c>
      <c r="W604" t="inlineStr">
        <is>
          <t>2002-04-06</t>
        </is>
      </c>
      <c r="X604" t="inlineStr">
        <is>
          <t>2002-04-06</t>
        </is>
      </c>
      <c r="Y604" t="inlineStr">
        <is>
          <t>1987-12-11</t>
        </is>
      </c>
      <c r="Z604" t="inlineStr">
        <is>
          <t>1987-12-11</t>
        </is>
      </c>
      <c r="AA604" t="n">
        <v>121</v>
      </c>
      <c r="AB604" t="n">
        <v>114</v>
      </c>
      <c r="AC604" t="n">
        <v>187</v>
      </c>
      <c r="AD604" t="n">
        <v>1</v>
      </c>
      <c r="AE604" t="n">
        <v>2</v>
      </c>
      <c r="AF604" t="n">
        <v>3</v>
      </c>
      <c r="AG604" t="n">
        <v>5</v>
      </c>
      <c r="AH604" t="n">
        <v>1</v>
      </c>
      <c r="AI604" t="n">
        <v>3</v>
      </c>
      <c r="AJ604" t="n">
        <v>1</v>
      </c>
      <c r="AK604" t="n">
        <v>1</v>
      </c>
      <c r="AL604" t="n">
        <v>1</v>
      </c>
      <c r="AM604" t="n">
        <v>3</v>
      </c>
      <c r="AN604" t="n">
        <v>0</v>
      </c>
      <c r="AO604" t="n">
        <v>0</v>
      </c>
      <c r="AP604" t="n">
        <v>0</v>
      </c>
      <c r="AQ604" t="n">
        <v>0</v>
      </c>
      <c r="AR604" t="inlineStr">
        <is>
          <t>No</t>
        </is>
      </c>
      <c r="AS604" t="inlineStr">
        <is>
          <t>No</t>
        </is>
      </c>
      <c r="AU604">
        <f>HYPERLINK("https://creighton-primo.hosted.exlibrisgroup.com/primo-explore/search?tab=default_tab&amp;search_scope=EVERYTHING&amp;vid=01CRU&amp;lang=en_US&amp;offset=0&amp;query=any,contains,991001282179702656","Catalog Record")</f>
        <v/>
      </c>
      <c r="AV604">
        <f>HYPERLINK("http://www.worldcat.org/oclc/5513214","WorldCat Record")</f>
        <v/>
      </c>
      <c r="AW604" t="inlineStr">
        <is>
          <t>7045811:eng</t>
        </is>
      </c>
      <c r="AX604" t="inlineStr">
        <is>
          <t>5513214</t>
        </is>
      </c>
      <c r="AY604" t="inlineStr">
        <is>
          <t>991001282179702656</t>
        </is>
      </c>
      <c r="AZ604" t="inlineStr">
        <is>
          <t>991001282179702656</t>
        </is>
      </c>
      <c r="BA604" t="inlineStr">
        <is>
          <t>2271841050002656</t>
        </is>
      </c>
      <c r="BB604" t="inlineStr">
        <is>
          <t>BOOK</t>
        </is>
      </c>
      <c r="BD604" t="inlineStr">
        <is>
          <t>9780874891409</t>
        </is>
      </c>
      <c r="BE604" t="inlineStr">
        <is>
          <t>30001000369589</t>
        </is>
      </c>
      <c r="BF604" t="inlineStr">
        <is>
          <t>893826617</t>
        </is>
      </c>
    </row>
    <row r="605">
      <c r="B605" t="inlineStr">
        <is>
          <t>CUHSL</t>
        </is>
      </c>
      <c r="C605" t="inlineStr">
        <is>
          <t>SHELVES</t>
        </is>
      </c>
      <c r="D605" t="inlineStr">
        <is>
          <t>QV 748 P594d 1990</t>
        </is>
      </c>
      <c r="E605" t="inlineStr">
        <is>
          <t>0                      QV 0748000P  594d        1990</t>
        </is>
      </c>
      <c r="F605" t="inlineStr">
        <is>
          <t>Dosage calculations / Gloria D. Pickar.</t>
        </is>
      </c>
      <c r="H605" t="inlineStr">
        <is>
          <t>No</t>
        </is>
      </c>
      <c r="I605" t="inlineStr">
        <is>
          <t>1</t>
        </is>
      </c>
      <c r="J605" t="inlineStr">
        <is>
          <t>No</t>
        </is>
      </c>
      <c r="K605" t="inlineStr">
        <is>
          <t>Yes</t>
        </is>
      </c>
      <c r="L605" t="inlineStr">
        <is>
          <t>0</t>
        </is>
      </c>
      <c r="M605" t="inlineStr">
        <is>
          <t>Pickar, Gloria D., 1946-</t>
        </is>
      </c>
      <c r="N605" t="inlineStr">
        <is>
          <t>Albany, N.Y. : Delmar Publishers, c1990.</t>
        </is>
      </c>
      <c r="O605" t="inlineStr">
        <is>
          <t>1990</t>
        </is>
      </c>
      <c r="P605" t="inlineStr">
        <is>
          <t>3rd ed.</t>
        </is>
      </c>
      <c r="Q605" t="inlineStr">
        <is>
          <t>eng</t>
        </is>
      </c>
      <c r="R605" t="inlineStr">
        <is>
          <t>xxu</t>
        </is>
      </c>
      <c r="T605" t="inlineStr">
        <is>
          <t xml:space="preserve">QV </t>
        </is>
      </c>
      <c r="U605" t="n">
        <v>9</v>
      </c>
      <c r="V605" t="n">
        <v>9</v>
      </c>
      <c r="W605" t="inlineStr">
        <is>
          <t>2002-04-06</t>
        </is>
      </c>
      <c r="X605" t="inlineStr">
        <is>
          <t>2002-04-06</t>
        </is>
      </c>
      <c r="Y605" t="inlineStr">
        <is>
          <t>1991-01-24</t>
        </is>
      </c>
      <c r="Z605" t="inlineStr">
        <is>
          <t>1991-01-24</t>
        </is>
      </c>
      <c r="AA605" t="n">
        <v>64</v>
      </c>
      <c r="AB605" t="n">
        <v>57</v>
      </c>
      <c r="AC605" t="n">
        <v>700</v>
      </c>
      <c r="AD605" t="n">
        <v>1</v>
      </c>
      <c r="AE605" t="n">
        <v>4</v>
      </c>
      <c r="AF605" t="n">
        <v>1</v>
      </c>
      <c r="AG605" t="n">
        <v>14</v>
      </c>
      <c r="AH605" t="n">
        <v>0</v>
      </c>
      <c r="AI605" t="n">
        <v>6</v>
      </c>
      <c r="AJ605" t="n">
        <v>0</v>
      </c>
      <c r="AK605" t="n">
        <v>1</v>
      </c>
      <c r="AL605" t="n">
        <v>1</v>
      </c>
      <c r="AM605" t="n">
        <v>6</v>
      </c>
      <c r="AN605" t="n">
        <v>0</v>
      </c>
      <c r="AO605" t="n">
        <v>2</v>
      </c>
      <c r="AP605" t="n">
        <v>0</v>
      </c>
      <c r="AQ605" t="n">
        <v>0</v>
      </c>
      <c r="AR605" t="inlineStr">
        <is>
          <t>No</t>
        </is>
      </c>
      <c r="AS605" t="inlineStr">
        <is>
          <t>No</t>
        </is>
      </c>
      <c r="AU605">
        <f>HYPERLINK("https://creighton-primo.hosted.exlibrisgroup.com/primo-explore/search?tab=default_tab&amp;search_scope=EVERYTHING&amp;vid=01CRU&amp;lang=en_US&amp;offset=0&amp;query=any,contains,991000815839702656","Catalog Record")</f>
        <v/>
      </c>
      <c r="AV605">
        <f>HYPERLINK("http://www.worldcat.org/oclc/20220212","WorldCat Record")</f>
        <v/>
      </c>
      <c r="AW605" t="inlineStr">
        <is>
          <t>789203:eng</t>
        </is>
      </c>
      <c r="AX605" t="inlineStr">
        <is>
          <t>20220212</t>
        </is>
      </c>
      <c r="AY605" t="inlineStr">
        <is>
          <t>991000815839702656</t>
        </is>
      </c>
      <c r="AZ605" t="inlineStr">
        <is>
          <t>991000815839702656</t>
        </is>
      </c>
      <c r="BA605" t="inlineStr">
        <is>
          <t>2255181000002656</t>
        </is>
      </c>
      <c r="BB605" t="inlineStr">
        <is>
          <t>BOOK</t>
        </is>
      </c>
      <c r="BD605" t="inlineStr">
        <is>
          <t>9780827339514</t>
        </is>
      </c>
      <c r="BE605" t="inlineStr">
        <is>
          <t>30001002086272</t>
        </is>
      </c>
      <c r="BF605" t="inlineStr">
        <is>
          <t>893557286</t>
        </is>
      </c>
    </row>
    <row r="606">
      <c r="B606" t="inlineStr">
        <is>
          <t>CUHSL</t>
        </is>
      </c>
      <c r="C606" t="inlineStr">
        <is>
          <t>SHELVES</t>
        </is>
      </c>
      <c r="D606" t="inlineStr">
        <is>
          <t>QV 748 P594d 2004</t>
        </is>
      </c>
      <c r="E606" t="inlineStr">
        <is>
          <t>0                      QV 0748000P  594d        2004</t>
        </is>
      </c>
      <c r="F606" t="inlineStr">
        <is>
          <t>Dosage calculations / Gloria D. Pickar.</t>
        </is>
      </c>
      <c r="H606" t="inlineStr">
        <is>
          <t>No</t>
        </is>
      </c>
      <c r="I606" t="inlineStr">
        <is>
          <t>1</t>
        </is>
      </c>
      <c r="J606" t="inlineStr">
        <is>
          <t>No</t>
        </is>
      </c>
      <c r="K606" t="inlineStr">
        <is>
          <t>Yes</t>
        </is>
      </c>
      <c r="L606" t="inlineStr">
        <is>
          <t>0</t>
        </is>
      </c>
      <c r="M606" t="inlineStr">
        <is>
          <t>Pickar, Gloria D., 1946-</t>
        </is>
      </c>
      <c r="N606" t="inlineStr">
        <is>
          <t>Australia ; Clifton Park, NY : Thomson/Delmar Learning, c2004.</t>
        </is>
      </c>
      <c r="O606" t="inlineStr">
        <is>
          <t>2004</t>
        </is>
      </c>
      <c r="P606" t="inlineStr">
        <is>
          <t>7th ed.</t>
        </is>
      </c>
      <c r="Q606" t="inlineStr">
        <is>
          <t>eng</t>
        </is>
      </c>
      <c r="R606" t="inlineStr">
        <is>
          <t xml:space="preserve">at </t>
        </is>
      </c>
      <c r="T606" t="inlineStr">
        <is>
          <t xml:space="preserve">QV </t>
        </is>
      </c>
      <c r="U606" t="n">
        <v>0</v>
      </c>
      <c r="V606" t="n">
        <v>0</v>
      </c>
      <c r="W606" t="inlineStr">
        <is>
          <t>2006-09-03</t>
        </is>
      </c>
      <c r="X606" t="inlineStr">
        <is>
          <t>2006-09-03</t>
        </is>
      </c>
      <c r="Y606" t="inlineStr">
        <is>
          <t>2006-08-25</t>
        </is>
      </c>
      <c r="Z606" t="inlineStr">
        <is>
          <t>2006-08-25</t>
        </is>
      </c>
      <c r="AA606" t="n">
        <v>201</v>
      </c>
      <c r="AB606" t="n">
        <v>164</v>
      </c>
      <c r="AC606" t="n">
        <v>700</v>
      </c>
      <c r="AD606" t="n">
        <v>1</v>
      </c>
      <c r="AE606" t="n">
        <v>4</v>
      </c>
      <c r="AF606" t="n">
        <v>4</v>
      </c>
      <c r="AG606" t="n">
        <v>14</v>
      </c>
      <c r="AH606" t="n">
        <v>0</v>
      </c>
      <c r="AI606" t="n">
        <v>6</v>
      </c>
      <c r="AJ606" t="n">
        <v>1</v>
      </c>
      <c r="AK606" t="n">
        <v>1</v>
      </c>
      <c r="AL606" t="n">
        <v>3</v>
      </c>
      <c r="AM606" t="n">
        <v>6</v>
      </c>
      <c r="AN606" t="n">
        <v>0</v>
      </c>
      <c r="AO606" t="n">
        <v>2</v>
      </c>
      <c r="AP606" t="n">
        <v>0</v>
      </c>
      <c r="AQ606" t="n">
        <v>0</v>
      </c>
      <c r="AR606" t="inlineStr">
        <is>
          <t>No</t>
        </is>
      </c>
      <c r="AS606" t="inlineStr">
        <is>
          <t>No</t>
        </is>
      </c>
      <c r="AU606">
        <f>HYPERLINK("https://creighton-primo.hosted.exlibrisgroup.com/primo-explore/search?tab=default_tab&amp;search_scope=EVERYTHING&amp;vid=01CRU&amp;lang=en_US&amp;offset=0&amp;query=any,contains,991001743909702656","Catalog Record")</f>
        <v/>
      </c>
      <c r="AV606">
        <f>HYPERLINK("http://www.worldcat.org/oclc/52041266","WorldCat Record")</f>
        <v/>
      </c>
      <c r="AW606" t="inlineStr">
        <is>
          <t>789203:eng</t>
        </is>
      </c>
      <c r="AX606" t="inlineStr">
        <is>
          <t>52041266</t>
        </is>
      </c>
      <c r="AY606" t="inlineStr">
        <is>
          <t>991001743909702656</t>
        </is>
      </c>
      <c r="AZ606" t="inlineStr">
        <is>
          <t>991001743909702656</t>
        </is>
      </c>
      <c r="BA606" t="inlineStr">
        <is>
          <t>2258963170002656</t>
        </is>
      </c>
      <c r="BB606" t="inlineStr">
        <is>
          <t>BOOK</t>
        </is>
      </c>
      <c r="BD606" t="inlineStr">
        <is>
          <t>9780766862869</t>
        </is>
      </c>
      <c r="BE606" t="inlineStr">
        <is>
          <t>30001005120177</t>
        </is>
      </c>
      <c r="BF606" t="inlineStr">
        <is>
          <t>893633338</t>
        </is>
      </c>
    </row>
    <row r="607">
      <c r="B607" t="inlineStr">
        <is>
          <t>CUHSL</t>
        </is>
      </c>
      <c r="C607" t="inlineStr">
        <is>
          <t>SHELVES</t>
        </is>
      </c>
      <c r="D607" t="inlineStr">
        <is>
          <t>QV 748 P594d 2008</t>
        </is>
      </c>
      <c r="E607" t="inlineStr">
        <is>
          <t>0                      QV 0748000P  594d        2008</t>
        </is>
      </c>
      <c r="F607" t="inlineStr">
        <is>
          <t>Dosage calculations / Gloria D. Pickar, Amy Pickar Abernethy.</t>
        </is>
      </c>
      <c r="H607" t="inlineStr">
        <is>
          <t>No</t>
        </is>
      </c>
      <c r="I607" t="inlineStr">
        <is>
          <t>1</t>
        </is>
      </c>
      <c r="J607" t="inlineStr">
        <is>
          <t>No</t>
        </is>
      </c>
      <c r="K607" t="inlineStr">
        <is>
          <t>Yes</t>
        </is>
      </c>
      <c r="L607" t="inlineStr">
        <is>
          <t>0</t>
        </is>
      </c>
      <c r="M607" t="inlineStr">
        <is>
          <t>Pickar, Gloria D., 1946-</t>
        </is>
      </c>
      <c r="N607" t="inlineStr">
        <is>
          <t>Clifton Park, NY : Thomson Delmar Learning, c2008.</t>
        </is>
      </c>
      <c r="O607" t="inlineStr">
        <is>
          <t>2008</t>
        </is>
      </c>
      <c r="P607" t="inlineStr">
        <is>
          <t>8th ed.</t>
        </is>
      </c>
      <c r="Q607" t="inlineStr">
        <is>
          <t>eng</t>
        </is>
      </c>
      <c r="R607" t="inlineStr">
        <is>
          <t>nyu</t>
        </is>
      </c>
      <c r="T607" t="inlineStr">
        <is>
          <t xml:space="preserve">QV </t>
        </is>
      </c>
      <c r="U607" t="n">
        <v>0</v>
      </c>
      <c r="V607" t="n">
        <v>0</v>
      </c>
      <c r="W607" t="inlineStr">
        <is>
          <t>2008-10-03</t>
        </is>
      </c>
      <c r="X607" t="inlineStr">
        <is>
          <t>2008-10-03</t>
        </is>
      </c>
      <c r="Y607" t="inlineStr">
        <is>
          <t>2008-10-02</t>
        </is>
      </c>
      <c r="Z607" t="inlineStr">
        <is>
          <t>2008-10-02</t>
        </is>
      </c>
      <c r="AA607" t="n">
        <v>247</v>
      </c>
      <c r="AB607" t="n">
        <v>212</v>
      </c>
      <c r="AC607" t="n">
        <v>700</v>
      </c>
      <c r="AD607" t="n">
        <v>2</v>
      </c>
      <c r="AE607" t="n">
        <v>4</v>
      </c>
      <c r="AF607" t="n">
        <v>4</v>
      </c>
      <c r="AG607" t="n">
        <v>14</v>
      </c>
      <c r="AH607" t="n">
        <v>2</v>
      </c>
      <c r="AI607" t="n">
        <v>6</v>
      </c>
      <c r="AJ607" t="n">
        <v>0</v>
      </c>
      <c r="AK607" t="n">
        <v>1</v>
      </c>
      <c r="AL607" t="n">
        <v>1</v>
      </c>
      <c r="AM607" t="n">
        <v>6</v>
      </c>
      <c r="AN607" t="n">
        <v>1</v>
      </c>
      <c r="AO607" t="n">
        <v>2</v>
      </c>
      <c r="AP607" t="n">
        <v>0</v>
      </c>
      <c r="AQ607" t="n">
        <v>0</v>
      </c>
      <c r="AR607" t="inlineStr">
        <is>
          <t>No</t>
        </is>
      </c>
      <c r="AS607" t="inlineStr">
        <is>
          <t>No</t>
        </is>
      </c>
      <c r="AU607">
        <f>HYPERLINK("https://creighton-primo.hosted.exlibrisgroup.com/primo-explore/search?tab=default_tab&amp;search_scope=EVERYTHING&amp;vid=01CRU&amp;lang=en_US&amp;offset=0&amp;query=any,contains,991001322359702656","Catalog Record")</f>
        <v/>
      </c>
      <c r="AV607">
        <f>HYPERLINK("http://www.worldcat.org/oclc/167769589","WorldCat Record")</f>
        <v/>
      </c>
      <c r="AW607" t="inlineStr">
        <is>
          <t>789203:eng</t>
        </is>
      </c>
      <c r="AX607" t="inlineStr">
        <is>
          <t>167769589</t>
        </is>
      </c>
      <c r="AY607" t="inlineStr">
        <is>
          <t>991001322359702656</t>
        </is>
      </c>
      <c r="AZ607" t="inlineStr">
        <is>
          <t>991001322359702656</t>
        </is>
      </c>
      <c r="BA607" t="inlineStr">
        <is>
          <t>2272213650002656</t>
        </is>
      </c>
      <c r="BB607" t="inlineStr">
        <is>
          <t>BOOK</t>
        </is>
      </c>
      <c r="BD607" t="inlineStr">
        <is>
          <t>9781418080471</t>
        </is>
      </c>
      <c r="BE607" t="inlineStr">
        <is>
          <t>30001005372349</t>
        </is>
      </c>
      <c r="BF607" t="inlineStr">
        <is>
          <t>893731884</t>
        </is>
      </c>
    </row>
    <row r="608">
      <c r="B608" t="inlineStr">
        <is>
          <t>CUHSL</t>
        </is>
      </c>
      <c r="C608" t="inlineStr">
        <is>
          <t>SHELVES</t>
        </is>
      </c>
      <c r="D608" t="inlineStr">
        <is>
          <t>QV 748 R496m 1993</t>
        </is>
      </c>
      <c r="E608" t="inlineStr">
        <is>
          <t>0                      QV 0748000R  496m        1993</t>
        </is>
      </c>
      <c r="F608" t="inlineStr">
        <is>
          <t>Medications and mathematics for the nurse / Jane Rice, Esther G. Skelley.</t>
        </is>
      </c>
      <c r="H608" t="inlineStr">
        <is>
          <t>No</t>
        </is>
      </c>
      <c r="I608" t="inlineStr">
        <is>
          <t>1</t>
        </is>
      </c>
      <c r="J608" t="inlineStr">
        <is>
          <t>No</t>
        </is>
      </c>
      <c r="K608" t="inlineStr">
        <is>
          <t>No</t>
        </is>
      </c>
      <c r="L608" t="inlineStr">
        <is>
          <t>0</t>
        </is>
      </c>
      <c r="M608" t="inlineStr">
        <is>
          <t>Rice, Jane.</t>
        </is>
      </c>
      <c r="N608" t="inlineStr">
        <is>
          <t>Albany, N.Y. : Delmar Publishers, c1993.</t>
        </is>
      </c>
      <c r="O608" t="inlineStr">
        <is>
          <t>1993</t>
        </is>
      </c>
      <c r="P608" t="inlineStr">
        <is>
          <t>7th ed.</t>
        </is>
      </c>
      <c r="Q608" t="inlineStr">
        <is>
          <t>eng</t>
        </is>
      </c>
      <c r="R608" t="inlineStr">
        <is>
          <t>nyu</t>
        </is>
      </c>
      <c r="T608" t="inlineStr">
        <is>
          <t xml:space="preserve">QV </t>
        </is>
      </c>
      <c r="U608" t="n">
        <v>4</v>
      </c>
      <c r="V608" t="n">
        <v>4</v>
      </c>
      <c r="W608" t="inlineStr">
        <is>
          <t>1993-09-03</t>
        </is>
      </c>
      <c r="X608" t="inlineStr">
        <is>
          <t>1993-09-03</t>
        </is>
      </c>
      <c r="Y608" t="inlineStr">
        <is>
          <t>1993-08-31</t>
        </is>
      </c>
      <c r="Z608" t="inlineStr">
        <is>
          <t>1993-08-31</t>
        </is>
      </c>
      <c r="AA608" t="n">
        <v>126</v>
      </c>
      <c r="AB608" t="n">
        <v>111</v>
      </c>
      <c r="AC608" t="n">
        <v>461</v>
      </c>
      <c r="AD608" t="n">
        <v>2</v>
      </c>
      <c r="AE608" t="n">
        <v>3</v>
      </c>
      <c r="AF608" t="n">
        <v>2</v>
      </c>
      <c r="AG608" t="n">
        <v>9</v>
      </c>
      <c r="AH608" t="n">
        <v>1</v>
      </c>
      <c r="AI608" t="n">
        <v>2</v>
      </c>
      <c r="AJ608" t="n">
        <v>1</v>
      </c>
      <c r="AK608" t="n">
        <v>2</v>
      </c>
      <c r="AL608" t="n">
        <v>1</v>
      </c>
      <c r="AM608" t="n">
        <v>5</v>
      </c>
      <c r="AN608" t="n">
        <v>0</v>
      </c>
      <c r="AO608" t="n">
        <v>1</v>
      </c>
      <c r="AP608" t="n">
        <v>0</v>
      </c>
      <c r="AQ608" t="n">
        <v>0</v>
      </c>
      <c r="AR608" t="inlineStr">
        <is>
          <t>No</t>
        </is>
      </c>
      <c r="AS608" t="inlineStr">
        <is>
          <t>Yes</t>
        </is>
      </c>
      <c r="AT608">
        <f>HYPERLINK("http://catalog.hathitrust.org/Record/012280356","HathiTrust Record")</f>
        <v/>
      </c>
      <c r="AU608">
        <f>HYPERLINK("https://creighton-primo.hosted.exlibrisgroup.com/primo-explore/search?tab=default_tab&amp;search_scope=EVERYTHING&amp;vid=01CRU&amp;lang=en_US&amp;offset=0&amp;query=any,contains,991001512899702656","Catalog Record")</f>
        <v/>
      </c>
      <c r="AV608">
        <f>HYPERLINK("http://www.worldcat.org/oclc/25867222","WorldCat Record")</f>
        <v/>
      </c>
      <c r="AW608" t="inlineStr">
        <is>
          <t>4820364200:eng</t>
        </is>
      </c>
      <c r="AX608" t="inlineStr">
        <is>
          <t>25867222</t>
        </is>
      </c>
      <c r="AY608" t="inlineStr">
        <is>
          <t>991001512899702656</t>
        </is>
      </c>
      <c r="AZ608" t="inlineStr">
        <is>
          <t>991001512899702656</t>
        </is>
      </c>
      <c r="BA608" t="inlineStr">
        <is>
          <t>2256143770002656</t>
        </is>
      </c>
      <c r="BB608" t="inlineStr">
        <is>
          <t>BOOK</t>
        </is>
      </c>
      <c r="BD608" t="inlineStr">
        <is>
          <t>9780827351196</t>
        </is>
      </c>
      <c r="BE608" t="inlineStr">
        <is>
          <t>30001002601161</t>
        </is>
      </c>
      <c r="BF608" t="inlineStr">
        <is>
          <t>893649286</t>
        </is>
      </c>
    </row>
    <row r="609">
      <c r="B609" t="inlineStr">
        <is>
          <t>CUHSL</t>
        </is>
      </c>
      <c r="C609" t="inlineStr">
        <is>
          <t>SHELVES</t>
        </is>
      </c>
      <c r="D609" t="inlineStr">
        <is>
          <t>QV 748 S432a 1957</t>
        </is>
      </c>
      <c r="E609" t="inlineStr">
        <is>
          <t>0                      QV 0748000S  432a        1957</t>
        </is>
      </c>
      <c r="F609" t="inlineStr">
        <is>
          <t>Scoville's The art of compounding / by Glenn L. Jenkins [and others]</t>
        </is>
      </c>
      <c r="H609" t="inlineStr">
        <is>
          <t>No</t>
        </is>
      </c>
      <c r="I609" t="inlineStr">
        <is>
          <t>1</t>
        </is>
      </c>
      <c r="J609" t="inlineStr">
        <is>
          <t>No</t>
        </is>
      </c>
      <c r="K609" t="inlineStr">
        <is>
          <t>No</t>
        </is>
      </c>
      <c r="L609" t="inlineStr">
        <is>
          <t>0</t>
        </is>
      </c>
      <c r="M609" t="inlineStr">
        <is>
          <t>Scoville, Wilbur L. (Wilbur Lincoln), 1865-1942.</t>
        </is>
      </c>
      <c r="N609" t="inlineStr">
        <is>
          <t>New York : Blakiston Division, 1957.</t>
        </is>
      </c>
      <c r="O609" t="inlineStr">
        <is>
          <t>1957</t>
        </is>
      </c>
      <c r="P609" t="inlineStr">
        <is>
          <t>9th ed.</t>
        </is>
      </c>
      <c r="Q609" t="inlineStr">
        <is>
          <t>eng</t>
        </is>
      </c>
      <c r="R609" t="inlineStr">
        <is>
          <t xml:space="preserve">xx </t>
        </is>
      </c>
      <c r="T609" t="inlineStr">
        <is>
          <t xml:space="preserve">QV </t>
        </is>
      </c>
      <c r="U609" t="n">
        <v>7</v>
      </c>
      <c r="V609" t="n">
        <v>7</v>
      </c>
      <c r="W609" t="inlineStr">
        <is>
          <t>1995-04-26</t>
        </is>
      </c>
      <c r="X609" t="inlineStr">
        <is>
          <t>1995-04-26</t>
        </is>
      </c>
      <c r="Y609" t="inlineStr">
        <is>
          <t>1988-03-03</t>
        </is>
      </c>
      <c r="Z609" t="inlineStr">
        <is>
          <t>1988-03-03</t>
        </is>
      </c>
      <c r="AA609" t="n">
        <v>68</v>
      </c>
      <c r="AB609" t="n">
        <v>56</v>
      </c>
      <c r="AC609" t="n">
        <v>108</v>
      </c>
      <c r="AD609" t="n">
        <v>1</v>
      </c>
      <c r="AE609" t="n">
        <v>2</v>
      </c>
      <c r="AF609" t="n">
        <v>2</v>
      </c>
      <c r="AG609" t="n">
        <v>7</v>
      </c>
      <c r="AH609" t="n">
        <v>1</v>
      </c>
      <c r="AI609" t="n">
        <v>4</v>
      </c>
      <c r="AJ609" t="n">
        <v>1</v>
      </c>
      <c r="AK609" t="n">
        <v>2</v>
      </c>
      <c r="AL609" t="n">
        <v>0</v>
      </c>
      <c r="AM609" t="n">
        <v>1</v>
      </c>
      <c r="AN609" t="n">
        <v>0</v>
      </c>
      <c r="AO609" t="n">
        <v>1</v>
      </c>
      <c r="AP609" t="n">
        <v>0</v>
      </c>
      <c r="AQ609" t="n">
        <v>0</v>
      </c>
      <c r="AR609" t="inlineStr">
        <is>
          <t>No</t>
        </is>
      </c>
      <c r="AS609" t="inlineStr">
        <is>
          <t>Yes</t>
        </is>
      </c>
      <c r="AT609">
        <f>HYPERLINK("http://catalog.hathitrust.org/Record/001573653","HathiTrust Record")</f>
        <v/>
      </c>
      <c r="AU609">
        <f>HYPERLINK("https://creighton-primo.hosted.exlibrisgroup.com/primo-explore/search?tab=default_tab&amp;search_scope=EVERYTHING&amp;vid=01CRU&amp;lang=en_US&amp;offset=0&amp;query=any,contains,991000992379702656","Catalog Record")</f>
        <v/>
      </c>
      <c r="AV609">
        <f>HYPERLINK("http://www.worldcat.org/oclc/14591769","WorldCat Record")</f>
        <v/>
      </c>
      <c r="AW609" t="inlineStr">
        <is>
          <t>192646136:eng</t>
        </is>
      </c>
      <c r="AX609" t="inlineStr">
        <is>
          <t>14591769</t>
        </is>
      </c>
      <c r="AY609" t="inlineStr">
        <is>
          <t>991000992379702656</t>
        </is>
      </c>
      <c r="AZ609" t="inlineStr">
        <is>
          <t>991000992379702656</t>
        </is>
      </c>
      <c r="BA609" t="inlineStr">
        <is>
          <t>2255026050002656</t>
        </is>
      </c>
      <c r="BB609" t="inlineStr">
        <is>
          <t>BOOK</t>
        </is>
      </c>
      <c r="BE609" t="inlineStr">
        <is>
          <t>30001000226011</t>
        </is>
      </c>
      <c r="BF609" t="inlineStr">
        <is>
          <t>893740657</t>
        </is>
      </c>
    </row>
    <row r="610">
      <c r="B610" t="inlineStr">
        <is>
          <t>CUHSL</t>
        </is>
      </c>
      <c r="C610" t="inlineStr">
        <is>
          <t>SHELVES</t>
        </is>
      </c>
      <c r="D610" t="inlineStr">
        <is>
          <t>QV 748 W644d 1992</t>
        </is>
      </c>
      <c r="E610" t="inlineStr">
        <is>
          <t>0                      QV 0748000W  644d        1992</t>
        </is>
      </c>
      <c r="F610" t="inlineStr">
        <is>
          <t>Dosages and calculations / by Richard Wiederhold.</t>
        </is>
      </c>
      <c r="H610" t="inlineStr">
        <is>
          <t>No</t>
        </is>
      </c>
      <c r="I610" t="inlineStr">
        <is>
          <t>1</t>
        </is>
      </c>
      <c r="J610" t="inlineStr">
        <is>
          <t>No</t>
        </is>
      </c>
      <c r="K610" t="inlineStr">
        <is>
          <t>No</t>
        </is>
      </c>
      <c r="L610" t="inlineStr">
        <is>
          <t>0</t>
        </is>
      </c>
      <c r="M610" t="inlineStr">
        <is>
          <t>Wiederhold, Richard.</t>
        </is>
      </c>
      <c r="N610" t="inlineStr">
        <is>
          <t>Orlando, FL : Prentice Hall, c1992.</t>
        </is>
      </c>
      <c r="O610" t="inlineStr">
        <is>
          <t>1992</t>
        </is>
      </c>
      <c r="Q610" t="inlineStr">
        <is>
          <t>eng</t>
        </is>
      </c>
      <c r="R610" t="inlineStr">
        <is>
          <t>flu</t>
        </is>
      </c>
      <c r="T610" t="inlineStr">
        <is>
          <t xml:space="preserve">QV </t>
        </is>
      </c>
      <c r="U610" t="n">
        <v>3</v>
      </c>
      <c r="V610" t="n">
        <v>3</v>
      </c>
      <c r="W610" t="inlineStr">
        <is>
          <t>1999-06-25</t>
        </is>
      </c>
      <c r="X610" t="inlineStr">
        <is>
          <t>1999-06-25</t>
        </is>
      </c>
      <c r="Y610" t="inlineStr">
        <is>
          <t>1992-02-28</t>
        </is>
      </c>
      <c r="Z610" t="inlineStr">
        <is>
          <t>1992-02-28</t>
        </is>
      </c>
      <c r="AA610" t="n">
        <v>44</v>
      </c>
      <c r="AB610" t="n">
        <v>42</v>
      </c>
      <c r="AC610" t="n">
        <v>97</v>
      </c>
      <c r="AD610" t="n">
        <v>1</v>
      </c>
      <c r="AE610" t="n">
        <v>2</v>
      </c>
      <c r="AF610" t="n">
        <v>0</v>
      </c>
      <c r="AG610" t="n">
        <v>2</v>
      </c>
      <c r="AH610" t="n">
        <v>0</v>
      </c>
      <c r="AI610" t="n">
        <v>0</v>
      </c>
      <c r="AJ610" t="n">
        <v>0</v>
      </c>
      <c r="AK610" t="n">
        <v>0</v>
      </c>
      <c r="AL610" t="n">
        <v>0</v>
      </c>
      <c r="AM610" t="n">
        <v>2</v>
      </c>
      <c r="AN610" t="n">
        <v>0</v>
      </c>
      <c r="AO610" t="n">
        <v>0</v>
      </c>
      <c r="AP610" t="n">
        <v>0</v>
      </c>
      <c r="AQ610" t="n">
        <v>0</v>
      </c>
      <c r="AR610" t="inlineStr">
        <is>
          <t>No</t>
        </is>
      </c>
      <c r="AS610" t="inlineStr">
        <is>
          <t>No</t>
        </is>
      </c>
      <c r="AU610">
        <f>HYPERLINK("https://creighton-primo.hosted.exlibrisgroup.com/primo-explore/search?tab=default_tab&amp;search_scope=EVERYTHING&amp;vid=01CRU&amp;lang=en_US&amp;offset=0&amp;query=any,contains,991001297989702656","Catalog Record")</f>
        <v/>
      </c>
      <c r="AV610">
        <f>HYPERLINK("http://www.worldcat.org/oclc/24068479","WorldCat Record")</f>
        <v/>
      </c>
      <c r="AW610" t="inlineStr">
        <is>
          <t>25154214:eng</t>
        </is>
      </c>
      <c r="AX610" t="inlineStr">
        <is>
          <t>24068479</t>
        </is>
      </c>
      <c r="AY610" t="inlineStr">
        <is>
          <t>991001297989702656</t>
        </is>
      </c>
      <c r="AZ610" t="inlineStr">
        <is>
          <t>991001297989702656</t>
        </is>
      </c>
      <c r="BA610" t="inlineStr">
        <is>
          <t>2261468810002656</t>
        </is>
      </c>
      <c r="BB610" t="inlineStr">
        <is>
          <t>BOOK</t>
        </is>
      </c>
      <c r="BE610" t="inlineStr">
        <is>
          <t>30001002410498</t>
        </is>
      </c>
      <c r="BF610" t="inlineStr">
        <is>
          <t>893727443</t>
        </is>
      </c>
    </row>
    <row r="611">
      <c r="B611" t="inlineStr">
        <is>
          <t>CUHSL</t>
        </is>
      </c>
      <c r="C611" t="inlineStr">
        <is>
          <t>SHELVES</t>
        </is>
      </c>
      <c r="D611" t="inlineStr">
        <is>
          <t>QV 752 D782c 1928</t>
        </is>
      </c>
      <c r="E611" t="inlineStr">
        <is>
          <t>0                      QV 0752000D  782c        1928</t>
        </is>
      </c>
      <c r="F611" t="inlineStr">
        <is>
          <t>The chemistry of crude drugs : an elementary textbook for students of pharmacognosy / by John Edmund Driver and George Edward Trease.</t>
        </is>
      </c>
      <c r="H611" t="inlineStr">
        <is>
          <t>No</t>
        </is>
      </c>
      <c r="I611" t="inlineStr">
        <is>
          <t>1</t>
        </is>
      </c>
      <c r="J611" t="inlineStr">
        <is>
          <t>No</t>
        </is>
      </c>
      <c r="K611" t="inlineStr">
        <is>
          <t>No</t>
        </is>
      </c>
      <c r="L611" t="inlineStr">
        <is>
          <t>0</t>
        </is>
      </c>
      <c r="M611" t="inlineStr">
        <is>
          <t>Driver, John Edmund, 1900-</t>
        </is>
      </c>
      <c r="N611" t="inlineStr">
        <is>
          <t>London ; New York : Longmans, Green, c1928.</t>
        </is>
      </c>
      <c r="O611" t="inlineStr">
        <is>
          <t>1928</t>
        </is>
      </c>
      <c r="Q611" t="inlineStr">
        <is>
          <t>eng</t>
        </is>
      </c>
      <c r="R611" t="inlineStr">
        <is>
          <t xml:space="preserve">xx </t>
        </is>
      </c>
      <c r="T611" t="inlineStr">
        <is>
          <t xml:space="preserve">QV </t>
        </is>
      </c>
      <c r="U611" t="n">
        <v>2</v>
      </c>
      <c r="V611" t="n">
        <v>2</v>
      </c>
      <c r="W611" t="inlineStr">
        <is>
          <t>2000-04-04</t>
        </is>
      </c>
      <c r="X611" t="inlineStr">
        <is>
          <t>2000-04-04</t>
        </is>
      </c>
      <c r="Y611" t="inlineStr">
        <is>
          <t>1988-02-04</t>
        </is>
      </c>
      <c r="Z611" t="inlineStr">
        <is>
          <t>1988-02-04</t>
        </is>
      </c>
      <c r="AA611" t="n">
        <v>44</v>
      </c>
      <c r="AB611" t="n">
        <v>31</v>
      </c>
      <c r="AC611" t="n">
        <v>31</v>
      </c>
      <c r="AD611" t="n">
        <v>1</v>
      </c>
      <c r="AE611" t="n">
        <v>1</v>
      </c>
      <c r="AF611" t="n">
        <v>0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0</v>
      </c>
      <c r="AM611" t="n">
        <v>0</v>
      </c>
      <c r="AN611" t="n">
        <v>0</v>
      </c>
      <c r="AO611" t="n">
        <v>0</v>
      </c>
      <c r="AP611" t="n">
        <v>0</v>
      </c>
      <c r="AQ611" t="n">
        <v>0</v>
      </c>
      <c r="AR611" t="inlineStr">
        <is>
          <t>No</t>
        </is>
      </c>
      <c r="AS611" t="inlineStr">
        <is>
          <t>No</t>
        </is>
      </c>
      <c r="AU611">
        <f>HYPERLINK("https://creighton-primo.hosted.exlibrisgroup.com/primo-explore/search?tab=default_tab&amp;search_scope=EVERYTHING&amp;vid=01CRU&amp;lang=en_US&amp;offset=0&amp;query=any,contains,991000992249702656","Catalog Record")</f>
        <v/>
      </c>
      <c r="AV611">
        <f>HYPERLINK("http://www.worldcat.org/oclc/2406076","WorldCat Record")</f>
        <v/>
      </c>
      <c r="AW611" t="inlineStr">
        <is>
          <t>4021049058:eng</t>
        </is>
      </c>
      <c r="AX611" t="inlineStr">
        <is>
          <t>2406076</t>
        </is>
      </c>
      <c r="AY611" t="inlineStr">
        <is>
          <t>991000992249702656</t>
        </is>
      </c>
      <c r="AZ611" t="inlineStr">
        <is>
          <t>991000992249702656</t>
        </is>
      </c>
      <c r="BA611" t="inlineStr">
        <is>
          <t>2272353790002656</t>
        </is>
      </c>
      <c r="BB611" t="inlineStr">
        <is>
          <t>BOOK</t>
        </is>
      </c>
      <c r="BE611" t="inlineStr">
        <is>
          <t>30001000225955</t>
        </is>
      </c>
      <c r="BF611" t="inlineStr">
        <is>
          <t>893815987</t>
        </is>
      </c>
    </row>
    <row r="612">
      <c r="B612" t="inlineStr">
        <is>
          <t>CUHSL</t>
        </is>
      </c>
      <c r="C612" t="inlineStr">
        <is>
          <t>SHELVES</t>
        </is>
      </c>
      <c r="D612" t="inlineStr">
        <is>
          <t>QV 752 H918 1992</t>
        </is>
      </c>
      <c r="E612" t="inlineStr">
        <is>
          <t>0                      QV 0752000H  918         1992</t>
        </is>
      </c>
      <c r="F612" t="inlineStr">
        <is>
          <t>Human medicinal agents from plants / [editors], A. Douglas Kinghorn, Manuel F. Balandrin.</t>
        </is>
      </c>
      <c r="H612" t="inlineStr">
        <is>
          <t>No</t>
        </is>
      </c>
      <c r="I612" t="inlineStr">
        <is>
          <t>1</t>
        </is>
      </c>
      <c r="J612" t="inlineStr">
        <is>
          <t>No</t>
        </is>
      </c>
      <c r="K612" t="inlineStr">
        <is>
          <t>No</t>
        </is>
      </c>
      <c r="L612" t="inlineStr">
        <is>
          <t>0</t>
        </is>
      </c>
      <c r="N612" t="inlineStr">
        <is>
          <t>Washington, D.C. : American Chemical Society, c1993.</t>
        </is>
      </c>
      <c r="O612" t="inlineStr">
        <is>
          <t>1993</t>
        </is>
      </c>
      <c r="Q612" t="inlineStr">
        <is>
          <t>eng</t>
        </is>
      </c>
      <c r="R612" t="inlineStr">
        <is>
          <t>dcu</t>
        </is>
      </c>
      <c r="S612" t="inlineStr">
        <is>
          <t>ACS symposium series, 0097-6156 ; 534</t>
        </is>
      </c>
      <c r="T612" t="inlineStr">
        <is>
          <t xml:space="preserve">QV </t>
        </is>
      </c>
      <c r="U612" t="n">
        <v>9</v>
      </c>
      <c r="V612" t="n">
        <v>9</v>
      </c>
      <c r="W612" t="inlineStr">
        <is>
          <t>2000-04-04</t>
        </is>
      </c>
      <c r="X612" t="inlineStr">
        <is>
          <t>2000-04-04</t>
        </is>
      </c>
      <c r="Y612" t="inlineStr">
        <is>
          <t>1994-04-21</t>
        </is>
      </c>
      <c r="Z612" t="inlineStr">
        <is>
          <t>1994-04-21</t>
        </is>
      </c>
      <c r="AA612" t="n">
        <v>441</v>
      </c>
      <c r="AB612" t="n">
        <v>359</v>
      </c>
      <c r="AC612" t="n">
        <v>416</v>
      </c>
      <c r="AD612" t="n">
        <v>5</v>
      </c>
      <c r="AE612" t="n">
        <v>5</v>
      </c>
      <c r="AF612" t="n">
        <v>14</v>
      </c>
      <c r="AG612" t="n">
        <v>15</v>
      </c>
      <c r="AH612" t="n">
        <v>2</v>
      </c>
      <c r="AI612" t="n">
        <v>3</v>
      </c>
      <c r="AJ612" t="n">
        <v>4</v>
      </c>
      <c r="AK612" t="n">
        <v>4</v>
      </c>
      <c r="AL612" t="n">
        <v>5</v>
      </c>
      <c r="AM612" t="n">
        <v>6</v>
      </c>
      <c r="AN612" t="n">
        <v>4</v>
      </c>
      <c r="AO612" t="n">
        <v>4</v>
      </c>
      <c r="AP612" t="n">
        <v>0</v>
      </c>
      <c r="AQ612" t="n">
        <v>0</v>
      </c>
      <c r="AR612" t="inlineStr">
        <is>
          <t>No</t>
        </is>
      </c>
      <c r="AS612" t="inlineStr">
        <is>
          <t>Yes</t>
        </is>
      </c>
      <c r="AT612">
        <f>HYPERLINK("http://catalog.hathitrust.org/Record/002716584","HathiTrust Record")</f>
        <v/>
      </c>
      <c r="AU612">
        <f>HYPERLINK("https://creighton-primo.hosted.exlibrisgroup.com/primo-explore/search?tab=default_tab&amp;search_scope=EVERYTHING&amp;vid=01CRU&amp;lang=en_US&amp;offset=0&amp;query=any,contains,991001161429702656","Catalog Record")</f>
        <v/>
      </c>
      <c r="AV612">
        <f>HYPERLINK("http://www.worldcat.org/oclc/28291173","WorldCat Record")</f>
        <v/>
      </c>
      <c r="AW612" t="inlineStr">
        <is>
          <t>807475105:eng</t>
        </is>
      </c>
      <c r="AX612" t="inlineStr">
        <is>
          <t>28291173</t>
        </is>
      </c>
      <c r="AY612" t="inlineStr">
        <is>
          <t>991001161429702656</t>
        </is>
      </c>
      <c r="AZ612" t="inlineStr">
        <is>
          <t>991001161429702656</t>
        </is>
      </c>
      <c r="BA612" t="inlineStr">
        <is>
          <t>2257945720002656</t>
        </is>
      </c>
      <c r="BB612" t="inlineStr">
        <is>
          <t>BOOK</t>
        </is>
      </c>
      <c r="BD612" t="inlineStr">
        <is>
          <t>9780841227057</t>
        </is>
      </c>
      <c r="BE612" t="inlineStr">
        <is>
          <t>30001002974154</t>
        </is>
      </c>
      <c r="BF612" t="inlineStr">
        <is>
          <t>893374298</t>
        </is>
      </c>
    </row>
    <row r="613">
      <c r="B613" t="inlineStr">
        <is>
          <t>CUHSL</t>
        </is>
      </c>
      <c r="C613" t="inlineStr">
        <is>
          <t>SHELVES</t>
        </is>
      </c>
      <c r="D613" t="inlineStr">
        <is>
          <t>QV 752 R183m 1959</t>
        </is>
      </c>
      <c r="E613" t="inlineStr">
        <is>
          <t>0                      QV 0752000R  183m        1959</t>
        </is>
      </c>
      <c r="F613" t="inlineStr">
        <is>
          <t>Modern pharmacognosy.</t>
        </is>
      </c>
      <c r="H613" t="inlineStr">
        <is>
          <t>No</t>
        </is>
      </c>
      <c r="I613" t="inlineStr">
        <is>
          <t>1</t>
        </is>
      </c>
      <c r="J613" t="inlineStr">
        <is>
          <t>No</t>
        </is>
      </c>
      <c r="K613" t="inlineStr">
        <is>
          <t>No</t>
        </is>
      </c>
      <c r="L613" t="inlineStr">
        <is>
          <t>0</t>
        </is>
      </c>
      <c r="M613" t="inlineStr">
        <is>
          <t>Ramstad, Egil.</t>
        </is>
      </c>
      <c r="N613" t="inlineStr">
        <is>
          <t>New York : Blackiston Division, McGraw-Hill, 1959.</t>
        </is>
      </c>
      <c r="O613" t="inlineStr">
        <is>
          <t>1959</t>
        </is>
      </c>
      <c r="Q613" t="inlineStr">
        <is>
          <t>eng</t>
        </is>
      </c>
      <c r="R613" t="inlineStr">
        <is>
          <t>nyu</t>
        </is>
      </c>
      <c r="T613" t="inlineStr">
        <is>
          <t xml:space="preserve">QV </t>
        </is>
      </c>
      <c r="U613" t="n">
        <v>6</v>
      </c>
      <c r="V613" t="n">
        <v>6</v>
      </c>
      <c r="W613" t="inlineStr">
        <is>
          <t>1997-10-02</t>
        </is>
      </c>
      <c r="X613" t="inlineStr">
        <is>
          <t>1997-10-02</t>
        </is>
      </c>
      <c r="Y613" t="inlineStr">
        <is>
          <t>1988-03-03</t>
        </is>
      </c>
      <c r="Z613" t="inlineStr">
        <is>
          <t>1988-03-03</t>
        </is>
      </c>
      <c r="AA613" t="n">
        <v>81</v>
      </c>
      <c r="AB613" t="n">
        <v>48</v>
      </c>
      <c r="AC613" t="n">
        <v>55</v>
      </c>
      <c r="AD613" t="n">
        <v>1</v>
      </c>
      <c r="AE613" t="n">
        <v>1</v>
      </c>
      <c r="AF613" t="n">
        <v>1</v>
      </c>
      <c r="AG613" t="n">
        <v>1</v>
      </c>
      <c r="AH613" t="n">
        <v>1</v>
      </c>
      <c r="AI613" t="n">
        <v>1</v>
      </c>
      <c r="AJ613" t="n">
        <v>0</v>
      </c>
      <c r="AK613" t="n">
        <v>0</v>
      </c>
      <c r="AL613" t="n">
        <v>0</v>
      </c>
      <c r="AM613" t="n">
        <v>0</v>
      </c>
      <c r="AN613" t="n">
        <v>0</v>
      </c>
      <c r="AO613" t="n">
        <v>0</v>
      </c>
      <c r="AP613" t="n">
        <v>0</v>
      </c>
      <c r="AQ613" t="n">
        <v>0</v>
      </c>
      <c r="AR613" t="inlineStr">
        <is>
          <t>No</t>
        </is>
      </c>
      <c r="AS613" t="inlineStr">
        <is>
          <t>Yes</t>
        </is>
      </c>
      <c r="AT613">
        <f>HYPERLINK("http://catalog.hathitrust.org/Record/001573805","HathiTrust Record")</f>
        <v/>
      </c>
      <c r="AU613">
        <f>HYPERLINK("https://creighton-primo.hosted.exlibrisgroup.com/primo-explore/search?tab=default_tab&amp;search_scope=EVERYTHING&amp;vid=01CRU&amp;lang=en_US&amp;offset=0&amp;query=any,contains,991000992169702656","Catalog Record")</f>
        <v/>
      </c>
      <c r="AV613">
        <f>HYPERLINK("http://www.worldcat.org/oclc/1824580","WorldCat Record")</f>
        <v/>
      </c>
      <c r="AW613" t="inlineStr">
        <is>
          <t>2675601:eng</t>
        </is>
      </c>
      <c r="AX613" t="inlineStr">
        <is>
          <t>1824580</t>
        </is>
      </c>
      <c r="AY613" t="inlineStr">
        <is>
          <t>991000992169702656</t>
        </is>
      </c>
      <c r="AZ613" t="inlineStr">
        <is>
          <t>991000992169702656</t>
        </is>
      </c>
      <c r="BA613" t="inlineStr">
        <is>
          <t>2257266430002656</t>
        </is>
      </c>
      <c r="BB613" t="inlineStr">
        <is>
          <t>BOOK</t>
        </is>
      </c>
      <c r="BE613" t="inlineStr">
        <is>
          <t>30001000225922</t>
        </is>
      </c>
      <c r="BF613" t="inlineStr">
        <is>
          <t>893736125</t>
        </is>
      </c>
    </row>
    <row r="614">
      <c r="B614" t="inlineStr">
        <is>
          <t>CUHSL</t>
        </is>
      </c>
      <c r="C614" t="inlineStr">
        <is>
          <t>SHELVES</t>
        </is>
      </c>
      <c r="D614" t="inlineStr">
        <is>
          <t>QV 752 T984p 1981</t>
        </is>
      </c>
      <c r="E614" t="inlineStr">
        <is>
          <t>0                      QV 0752000T  984p        1981</t>
        </is>
      </c>
      <c r="F614" t="inlineStr">
        <is>
          <t>Pharmacognosy / Varro E. Tyler, Lynn R. Brady, James E. Robbers.</t>
        </is>
      </c>
      <c r="H614" t="inlineStr">
        <is>
          <t>No</t>
        </is>
      </c>
      <c r="I614" t="inlineStr">
        <is>
          <t>1</t>
        </is>
      </c>
      <c r="J614" t="inlineStr">
        <is>
          <t>No</t>
        </is>
      </c>
      <c r="K614" t="inlineStr">
        <is>
          <t>Yes</t>
        </is>
      </c>
      <c r="L614" t="inlineStr">
        <is>
          <t>0</t>
        </is>
      </c>
      <c r="M614" t="inlineStr">
        <is>
          <t>Tyler, Varro E.</t>
        </is>
      </c>
      <c r="N614" t="inlineStr">
        <is>
          <t>Philadelphia : Lea &amp; Febiger, c1981.</t>
        </is>
      </c>
      <c r="O614" t="inlineStr">
        <is>
          <t>1981</t>
        </is>
      </c>
      <c r="P614" t="inlineStr">
        <is>
          <t>8th ed.</t>
        </is>
      </c>
      <c r="Q614" t="inlineStr">
        <is>
          <t>eng</t>
        </is>
      </c>
      <c r="R614" t="inlineStr">
        <is>
          <t>xxu</t>
        </is>
      </c>
      <c r="T614" t="inlineStr">
        <is>
          <t xml:space="preserve">QV </t>
        </is>
      </c>
      <c r="U614" t="n">
        <v>36</v>
      </c>
      <c r="V614" t="n">
        <v>36</v>
      </c>
      <c r="W614" t="inlineStr">
        <is>
          <t>2000-04-04</t>
        </is>
      </c>
      <c r="X614" t="inlineStr">
        <is>
          <t>2000-04-04</t>
        </is>
      </c>
      <c r="Y614" t="inlineStr">
        <is>
          <t>1988-02-04</t>
        </is>
      </c>
      <c r="Z614" t="inlineStr">
        <is>
          <t>1988-02-04</t>
        </is>
      </c>
      <c r="AA614" t="n">
        <v>170</v>
      </c>
      <c r="AB614" t="n">
        <v>117</v>
      </c>
      <c r="AC614" t="n">
        <v>391</v>
      </c>
      <c r="AD614" t="n">
        <v>1</v>
      </c>
      <c r="AE614" t="n">
        <v>3</v>
      </c>
      <c r="AF614" t="n">
        <v>5</v>
      </c>
      <c r="AG614" t="n">
        <v>12</v>
      </c>
      <c r="AH614" t="n">
        <v>2</v>
      </c>
      <c r="AI614" t="n">
        <v>5</v>
      </c>
      <c r="AJ614" t="n">
        <v>1</v>
      </c>
      <c r="AK614" t="n">
        <v>3</v>
      </c>
      <c r="AL614" t="n">
        <v>3</v>
      </c>
      <c r="AM614" t="n">
        <v>5</v>
      </c>
      <c r="AN614" t="n">
        <v>0</v>
      </c>
      <c r="AO614" t="n">
        <v>2</v>
      </c>
      <c r="AP614" t="n">
        <v>0</v>
      </c>
      <c r="AQ614" t="n">
        <v>0</v>
      </c>
      <c r="AR614" t="inlineStr">
        <is>
          <t>No</t>
        </is>
      </c>
      <c r="AS614" t="inlineStr">
        <is>
          <t>Yes</t>
        </is>
      </c>
      <c r="AT614">
        <f>HYPERLINK("http://catalog.hathitrust.org/Record/000263074","HathiTrust Record")</f>
        <v/>
      </c>
      <c r="AU614">
        <f>HYPERLINK("https://creighton-primo.hosted.exlibrisgroup.com/primo-explore/search?tab=default_tab&amp;search_scope=EVERYTHING&amp;vid=01CRU&amp;lang=en_US&amp;offset=0&amp;query=any,contains,991000992129702656","Catalog Record")</f>
        <v/>
      </c>
      <c r="AV614">
        <f>HYPERLINK("http://www.worldcat.org/oclc/7555681","WorldCat Record")</f>
        <v/>
      </c>
      <c r="AW614" t="inlineStr">
        <is>
          <t>4187526:eng</t>
        </is>
      </c>
      <c r="AX614" t="inlineStr">
        <is>
          <t>7555681</t>
        </is>
      </c>
      <c r="AY614" t="inlineStr">
        <is>
          <t>991000992129702656</t>
        </is>
      </c>
      <c r="AZ614" t="inlineStr">
        <is>
          <t>991000992129702656</t>
        </is>
      </c>
      <c r="BA614" t="inlineStr">
        <is>
          <t>2257180070002656</t>
        </is>
      </c>
      <c r="BB614" t="inlineStr">
        <is>
          <t>BOOK</t>
        </is>
      </c>
      <c r="BD614" t="inlineStr">
        <is>
          <t>9780812107937</t>
        </is>
      </c>
      <c r="BE614" t="inlineStr">
        <is>
          <t>30001000225906</t>
        </is>
      </c>
      <c r="BF614" t="inlineStr">
        <is>
          <t>893815986</t>
        </is>
      </c>
    </row>
    <row r="615">
      <c r="B615" t="inlineStr">
        <is>
          <t>CUHSL</t>
        </is>
      </c>
      <c r="C615" t="inlineStr">
        <is>
          <t>SHELVES</t>
        </is>
      </c>
      <c r="D615" t="inlineStr">
        <is>
          <t>QV 766 E53n 1972</t>
        </is>
      </c>
      <c r="E615" t="inlineStr">
        <is>
          <t>0                      QV 0766000E  53n         1972</t>
        </is>
      </c>
      <c r="F615" t="inlineStr">
        <is>
          <t>Narcotic plants / William Emboden.</t>
        </is>
      </c>
      <c r="H615" t="inlineStr">
        <is>
          <t>No</t>
        </is>
      </c>
      <c r="I615" t="inlineStr">
        <is>
          <t>1</t>
        </is>
      </c>
      <c r="J615" t="inlineStr">
        <is>
          <t>No</t>
        </is>
      </c>
      <c r="K615" t="inlineStr">
        <is>
          <t>No</t>
        </is>
      </c>
      <c r="L615" t="inlineStr">
        <is>
          <t>0</t>
        </is>
      </c>
      <c r="M615" t="inlineStr">
        <is>
          <t>Emboden, William A.</t>
        </is>
      </c>
      <c r="N615" t="inlineStr">
        <is>
          <t>London : Studio Vista, 1972.</t>
        </is>
      </c>
      <c r="O615" t="inlineStr">
        <is>
          <t>1972</t>
        </is>
      </c>
      <c r="Q615" t="inlineStr">
        <is>
          <t>eng</t>
        </is>
      </c>
      <c r="R615" t="inlineStr">
        <is>
          <t>enk</t>
        </is>
      </c>
      <c r="T615" t="inlineStr">
        <is>
          <t xml:space="preserve">QV </t>
        </is>
      </c>
      <c r="U615" t="n">
        <v>6</v>
      </c>
      <c r="V615" t="n">
        <v>6</v>
      </c>
      <c r="W615" t="inlineStr">
        <is>
          <t>2006-09-18</t>
        </is>
      </c>
      <c r="X615" t="inlineStr">
        <is>
          <t>2006-09-18</t>
        </is>
      </c>
      <c r="Y615" t="inlineStr">
        <is>
          <t>1988-03-25</t>
        </is>
      </c>
      <c r="Z615" t="inlineStr">
        <is>
          <t>1988-03-25</t>
        </is>
      </c>
      <c r="AA615" t="n">
        <v>83</v>
      </c>
      <c r="AB615" t="n">
        <v>16</v>
      </c>
      <c r="AC615" t="n">
        <v>611</v>
      </c>
      <c r="AD615" t="n">
        <v>1</v>
      </c>
      <c r="AE615" t="n">
        <v>9</v>
      </c>
      <c r="AF615" t="n">
        <v>0</v>
      </c>
      <c r="AG615" t="n">
        <v>9</v>
      </c>
      <c r="AH615" t="n">
        <v>0</v>
      </c>
      <c r="AI615" t="n">
        <v>1</v>
      </c>
      <c r="AJ615" t="n">
        <v>0</v>
      </c>
      <c r="AK615" t="n">
        <v>1</v>
      </c>
      <c r="AL615" t="n">
        <v>0</v>
      </c>
      <c r="AM615" t="n">
        <v>2</v>
      </c>
      <c r="AN615" t="n">
        <v>0</v>
      </c>
      <c r="AO615" t="n">
        <v>6</v>
      </c>
      <c r="AP615" t="n">
        <v>0</v>
      </c>
      <c r="AQ615" t="n">
        <v>0</v>
      </c>
      <c r="AR615" t="inlineStr">
        <is>
          <t>No</t>
        </is>
      </c>
      <c r="AS615" t="inlineStr">
        <is>
          <t>No</t>
        </is>
      </c>
      <c r="AU615">
        <f>HYPERLINK("https://creighton-primo.hosted.exlibrisgroup.com/primo-explore/search?tab=default_tab&amp;search_scope=EVERYTHING&amp;vid=01CRU&amp;lang=en_US&amp;offset=0&amp;query=any,contains,991000992009702656","Catalog Record")</f>
        <v/>
      </c>
      <c r="AV615">
        <f>HYPERLINK("http://www.worldcat.org/oclc/2090997","WorldCat Record")</f>
        <v/>
      </c>
      <c r="AW615" t="inlineStr">
        <is>
          <t>398173:eng</t>
        </is>
      </c>
      <c r="AX615" t="inlineStr">
        <is>
          <t>2090997</t>
        </is>
      </c>
      <c r="AY615" t="inlineStr">
        <is>
          <t>991000992009702656</t>
        </is>
      </c>
      <c r="AZ615" t="inlineStr">
        <is>
          <t>991000992009702656</t>
        </is>
      </c>
      <c r="BA615" t="inlineStr">
        <is>
          <t>2267011090002656</t>
        </is>
      </c>
      <c r="BB615" t="inlineStr">
        <is>
          <t>BOOK</t>
        </is>
      </c>
      <c r="BE615" t="inlineStr">
        <is>
          <t>30001000225864</t>
        </is>
      </c>
      <c r="BF615" t="inlineStr">
        <is>
          <t>893731585</t>
        </is>
      </c>
    </row>
    <row r="616">
      <c r="B616" t="inlineStr">
        <is>
          <t>CUHSL</t>
        </is>
      </c>
      <c r="C616" t="inlineStr">
        <is>
          <t>SHELVES</t>
        </is>
      </c>
      <c r="D616" t="inlineStr">
        <is>
          <t>QV 766 K92g 1964</t>
        </is>
      </c>
      <c r="E616" t="inlineStr">
        <is>
          <t>0                      QV 0766000K  92g         1964</t>
        </is>
      </c>
      <c r="F616" t="inlineStr">
        <is>
          <t>Green medicine : the search for plants that heal.</t>
        </is>
      </c>
      <c r="H616" t="inlineStr">
        <is>
          <t>No</t>
        </is>
      </c>
      <c r="I616" t="inlineStr">
        <is>
          <t>1</t>
        </is>
      </c>
      <c r="J616" t="inlineStr">
        <is>
          <t>No</t>
        </is>
      </c>
      <c r="K616" t="inlineStr">
        <is>
          <t>No</t>
        </is>
      </c>
      <c r="L616" t="inlineStr">
        <is>
          <t>0</t>
        </is>
      </c>
      <c r="M616" t="inlineStr">
        <is>
          <t>Kreig, Margaret.</t>
        </is>
      </c>
      <c r="N616" t="inlineStr">
        <is>
          <t>Chicago : Rand McNally, [1964]</t>
        </is>
      </c>
      <c r="O616" t="inlineStr">
        <is>
          <t>1964</t>
        </is>
      </c>
      <c r="Q616" t="inlineStr">
        <is>
          <t>eng</t>
        </is>
      </c>
      <c r="R616" t="inlineStr">
        <is>
          <t>ilu</t>
        </is>
      </c>
      <c r="T616" t="inlineStr">
        <is>
          <t xml:space="preserve">QV </t>
        </is>
      </c>
      <c r="U616" t="n">
        <v>7</v>
      </c>
      <c r="V616" t="n">
        <v>7</v>
      </c>
      <c r="W616" t="inlineStr">
        <is>
          <t>1997-10-10</t>
        </is>
      </c>
      <c r="X616" t="inlineStr">
        <is>
          <t>1997-10-10</t>
        </is>
      </c>
      <c r="Y616" t="inlineStr">
        <is>
          <t>1988-03-25</t>
        </is>
      </c>
      <c r="Z616" t="inlineStr">
        <is>
          <t>1988-03-25</t>
        </is>
      </c>
      <c r="AA616" t="n">
        <v>1158</v>
      </c>
      <c r="AB616" t="n">
        <v>1077</v>
      </c>
      <c r="AC616" t="n">
        <v>1091</v>
      </c>
      <c r="AD616" t="n">
        <v>10</v>
      </c>
      <c r="AE616" t="n">
        <v>10</v>
      </c>
      <c r="AF616" t="n">
        <v>22</v>
      </c>
      <c r="AG616" t="n">
        <v>22</v>
      </c>
      <c r="AH616" t="n">
        <v>8</v>
      </c>
      <c r="AI616" t="n">
        <v>8</v>
      </c>
      <c r="AJ616" t="n">
        <v>4</v>
      </c>
      <c r="AK616" t="n">
        <v>4</v>
      </c>
      <c r="AL616" t="n">
        <v>9</v>
      </c>
      <c r="AM616" t="n">
        <v>9</v>
      </c>
      <c r="AN616" t="n">
        <v>6</v>
      </c>
      <c r="AO616" t="n">
        <v>6</v>
      </c>
      <c r="AP616" t="n">
        <v>0</v>
      </c>
      <c r="AQ616" t="n">
        <v>0</v>
      </c>
      <c r="AR616" t="inlineStr">
        <is>
          <t>No</t>
        </is>
      </c>
      <c r="AS616" t="inlineStr">
        <is>
          <t>Yes</t>
        </is>
      </c>
      <c r="AT616">
        <f>HYPERLINK("http://catalog.hathitrust.org/Record/001493887","HathiTrust Record")</f>
        <v/>
      </c>
      <c r="AU616">
        <f>HYPERLINK("https://creighton-primo.hosted.exlibrisgroup.com/primo-explore/search?tab=default_tab&amp;search_scope=EVERYTHING&amp;vid=01CRU&amp;lang=en_US&amp;offset=0&amp;query=any,contains,991000992059702656","Catalog Record")</f>
        <v/>
      </c>
      <c r="AV616">
        <f>HYPERLINK("http://www.worldcat.org/oclc/552260","WorldCat Record")</f>
        <v/>
      </c>
      <c r="AW616" t="inlineStr">
        <is>
          <t>1599916:eng</t>
        </is>
      </c>
      <c r="AX616" t="inlineStr">
        <is>
          <t>552260</t>
        </is>
      </c>
      <c r="AY616" t="inlineStr">
        <is>
          <t>991000992059702656</t>
        </is>
      </c>
      <c r="AZ616" t="inlineStr">
        <is>
          <t>991000992059702656</t>
        </is>
      </c>
      <c r="BA616" t="inlineStr">
        <is>
          <t>2259781030002656</t>
        </is>
      </c>
      <c r="BB616" t="inlineStr">
        <is>
          <t>BOOK</t>
        </is>
      </c>
      <c r="BE616" t="inlineStr">
        <is>
          <t>30001000225856</t>
        </is>
      </c>
      <c r="BF616" t="inlineStr">
        <is>
          <t>893148793</t>
        </is>
      </c>
    </row>
    <row r="617">
      <c r="B617" t="inlineStr">
        <is>
          <t>CUHSL</t>
        </is>
      </c>
      <c r="C617" t="inlineStr">
        <is>
          <t>SHELVES</t>
        </is>
      </c>
      <c r="D617" t="inlineStr">
        <is>
          <t>QV 766 S588m 1965</t>
        </is>
      </c>
      <c r="E617" t="inlineStr">
        <is>
          <t>0                      QV 0766000S  588m        1965</t>
        </is>
      </c>
      <c r="F617" t="inlineStr">
        <is>
          <t>Medicinal plant alkaloids : an introduction for pharmacy students / Stephen K. Sim.</t>
        </is>
      </c>
      <c r="H617" t="inlineStr">
        <is>
          <t>No</t>
        </is>
      </c>
      <c r="I617" t="inlineStr">
        <is>
          <t>1</t>
        </is>
      </c>
      <c r="J617" t="inlineStr">
        <is>
          <t>No</t>
        </is>
      </c>
      <c r="K617" t="inlineStr">
        <is>
          <t>No</t>
        </is>
      </c>
      <c r="L617" t="inlineStr">
        <is>
          <t>0</t>
        </is>
      </c>
      <c r="M617" t="inlineStr">
        <is>
          <t>Sim, Stephen K.</t>
        </is>
      </c>
      <c r="N617" t="inlineStr">
        <is>
          <t>[Toronto] : University of Toronto Press, [1965]</t>
        </is>
      </c>
      <c r="O617" t="inlineStr">
        <is>
          <t>1965</t>
        </is>
      </c>
      <c r="P617" t="inlineStr">
        <is>
          <t>2d ed.</t>
        </is>
      </c>
      <c r="Q617" t="inlineStr">
        <is>
          <t>eng</t>
        </is>
      </c>
      <c r="R617" t="inlineStr">
        <is>
          <t>onc</t>
        </is>
      </c>
      <c r="T617" t="inlineStr">
        <is>
          <t xml:space="preserve">QV </t>
        </is>
      </c>
      <c r="U617" t="n">
        <v>10</v>
      </c>
      <c r="V617" t="n">
        <v>10</v>
      </c>
      <c r="W617" t="inlineStr">
        <is>
          <t>1988-11-15</t>
        </is>
      </c>
      <c r="X617" t="inlineStr">
        <is>
          <t>1988-11-15</t>
        </is>
      </c>
      <c r="Y617" t="inlineStr">
        <is>
          <t>1988-03-25</t>
        </is>
      </c>
      <c r="Z617" t="inlineStr">
        <is>
          <t>1988-03-25</t>
        </is>
      </c>
      <c r="AA617" t="n">
        <v>121</v>
      </c>
      <c r="AB617" t="n">
        <v>94</v>
      </c>
      <c r="AC617" t="n">
        <v>598</v>
      </c>
      <c r="AD617" t="n">
        <v>2</v>
      </c>
      <c r="AE617" t="n">
        <v>13</v>
      </c>
      <c r="AF617" t="n">
        <v>5</v>
      </c>
      <c r="AG617" t="n">
        <v>31</v>
      </c>
      <c r="AH617" t="n">
        <v>2</v>
      </c>
      <c r="AI617" t="n">
        <v>8</v>
      </c>
      <c r="AJ617" t="n">
        <v>2</v>
      </c>
      <c r="AK617" t="n">
        <v>7</v>
      </c>
      <c r="AL617" t="n">
        <v>1</v>
      </c>
      <c r="AM617" t="n">
        <v>8</v>
      </c>
      <c r="AN617" t="n">
        <v>1</v>
      </c>
      <c r="AO617" t="n">
        <v>11</v>
      </c>
      <c r="AP617" t="n">
        <v>0</v>
      </c>
      <c r="AQ617" t="n">
        <v>1</v>
      </c>
      <c r="AR617" t="inlineStr">
        <is>
          <t>No</t>
        </is>
      </c>
      <c r="AS617" t="inlineStr">
        <is>
          <t>No</t>
        </is>
      </c>
      <c r="AU617">
        <f>HYPERLINK("https://creighton-primo.hosted.exlibrisgroup.com/primo-explore/search?tab=default_tab&amp;search_scope=EVERYTHING&amp;vid=01CRU&amp;lang=en_US&amp;offset=0&amp;query=any,contains,991000991959702656","Catalog Record")</f>
        <v/>
      </c>
      <c r="AV617">
        <f>HYPERLINK("http://www.worldcat.org/oclc/824858","WorldCat Record")</f>
        <v/>
      </c>
      <c r="AW617" t="inlineStr">
        <is>
          <t>8776313:eng</t>
        </is>
      </c>
      <c r="AX617" t="inlineStr">
        <is>
          <t>824858</t>
        </is>
      </c>
      <c r="AY617" t="inlineStr">
        <is>
          <t>991000991959702656</t>
        </is>
      </c>
      <c r="AZ617" t="inlineStr">
        <is>
          <t>991000991959702656</t>
        </is>
      </c>
      <c r="BA617" t="inlineStr">
        <is>
          <t>2267529770002656</t>
        </is>
      </c>
      <c r="BB617" t="inlineStr">
        <is>
          <t>BOOK</t>
        </is>
      </c>
      <c r="BE617" t="inlineStr">
        <is>
          <t>30001000225831</t>
        </is>
      </c>
      <c r="BF617" t="inlineStr">
        <is>
          <t>893632643</t>
        </is>
      </c>
    </row>
    <row r="618">
      <c r="B618" t="inlineStr">
        <is>
          <t>CUHSL</t>
        </is>
      </c>
      <c r="C618" t="inlineStr">
        <is>
          <t>SHELVES</t>
        </is>
      </c>
      <c r="D618" t="inlineStr">
        <is>
          <t>QV 766 S989p 1968</t>
        </is>
      </c>
      <c r="E618" t="inlineStr">
        <is>
          <t>0                      QV 0766000S  989p        1968</t>
        </is>
      </c>
      <c r="F618" t="inlineStr">
        <is>
          <t>Plants in the development of modern medicine / Edited by Tony Swain.</t>
        </is>
      </c>
      <c r="H618" t="inlineStr">
        <is>
          <t>No</t>
        </is>
      </c>
      <c r="I618" t="inlineStr">
        <is>
          <t>1</t>
        </is>
      </c>
      <c r="J618" t="inlineStr">
        <is>
          <t>No</t>
        </is>
      </c>
      <c r="K618" t="inlineStr">
        <is>
          <t>No</t>
        </is>
      </c>
      <c r="L618" t="inlineStr">
        <is>
          <t>0</t>
        </is>
      </c>
      <c r="M618" t="inlineStr">
        <is>
          <t>Symposium "Plants in the Development of Modern Medicine" (1968 : Harvard University)</t>
        </is>
      </c>
      <c r="N618" t="inlineStr">
        <is>
          <t>Cambridge, Mass. : Harvard University Press, 1972.</t>
        </is>
      </c>
      <c r="O618" t="inlineStr">
        <is>
          <t>1972</t>
        </is>
      </c>
      <c r="Q618" t="inlineStr">
        <is>
          <t>eng</t>
        </is>
      </c>
      <c r="R618" t="inlineStr">
        <is>
          <t>mau</t>
        </is>
      </c>
      <c r="T618" t="inlineStr">
        <is>
          <t xml:space="preserve">QV </t>
        </is>
      </c>
      <c r="U618" t="n">
        <v>10</v>
      </c>
      <c r="V618" t="n">
        <v>10</v>
      </c>
      <c r="W618" t="inlineStr">
        <is>
          <t>1997-10-10</t>
        </is>
      </c>
      <c r="X618" t="inlineStr">
        <is>
          <t>1997-10-10</t>
        </is>
      </c>
      <c r="Y618" t="inlineStr">
        <is>
          <t>1988-03-25</t>
        </is>
      </c>
      <c r="Z618" t="inlineStr">
        <is>
          <t>1988-03-25</t>
        </is>
      </c>
      <c r="AA618" t="n">
        <v>649</v>
      </c>
      <c r="AB618" t="n">
        <v>555</v>
      </c>
      <c r="AC618" t="n">
        <v>563</v>
      </c>
      <c r="AD618" t="n">
        <v>3</v>
      </c>
      <c r="AE618" t="n">
        <v>3</v>
      </c>
      <c r="AF618" t="n">
        <v>19</v>
      </c>
      <c r="AG618" t="n">
        <v>19</v>
      </c>
      <c r="AH618" t="n">
        <v>8</v>
      </c>
      <c r="AI618" t="n">
        <v>8</v>
      </c>
      <c r="AJ618" t="n">
        <v>6</v>
      </c>
      <c r="AK618" t="n">
        <v>6</v>
      </c>
      <c r="AL618" t="n">
        <v>7</v>
      </c>
      <c r="AM618" t="n">
        <v>7</v>
      </c>
      <c r="AN618" t="n">
        <v>2</v>
      </c>
      <c r="AO618" t="n">
        <v>2</v>
      </c>
      <c r="AP618" t="n">
        <v>0</v>
      </c>
      <c r="AQ618" t="n">
        <v>0</v>
      </c>
      <c r="AR618" t="inlineStr">
        <is>
          <t>No</t>
        </is>
      </c>
      <c r="AS618" t="inlineStr">
        <is>
          <t>No</t>
        </is>
      </c>
      <c r="AU618">
        <f>HYPERLINK("https://creighton-primo.hosted.exlibrisgroup.com/primo-explore/search?tab=default_tab&amp;search_scope=EVERYTHING&amp;vid=01CRU&amp;lang=en_US&amp;offset=0&amp;query=any,contains,991000991929702656","Catalog Record")</f>
        <v/>
      </c>
      <c r="AV618">
        <f>HYPERLINK("http://www.worldcat.org/oclc/315554","WorldCat Record")</f>
        <v/>
      </c>
      <c r="AW618" t="inlineStr">
        <is>
          <t>473851397:eng</t>
        </is>
      </c>
      <c r="AX618" t="inlineStr">
        <is>
          <t>315554</t>
        </is>
      </c>
      <c r="AY618" t="inlineStr">
        <is>
          <t>991000991929702656</t>
        </is>
      </c>
      <c r="AZ618" t="inlineStr">
        <is>
          <t>991000991929702656</t>
        </is>
      </c>
      <c r="BA618" t="inlineStr">
        <is>
          <t>2268811690002656</t>
        </is>
      </c>
      <c r="BB618" t="inlineStr">
        <is>
          <t>BOOK</t>
        </is>
      </c>
      <c r="BD618" t="inlineStr">
        <is>
          <t>9780674673304</t>
        </is>
      </c>
      <c r="BE618" t="inlineStr">
        <is>
          <t>30001000225807</t>
        </is>
      </c>
      <c r="BF618" t="inlineStr">
        <is>
          <t>893540918</t>
        </is>
      </c>
    </row>
    <row r="619">
      <c r="B619" t="inlineStr">
        <is>
          <t>CUHSL</t>
        </is>
      </c>
      <c r="C619" t="inlineStr">
        <is>
          <t>SHELVES</t>
        </is>
      </c>
      <c r="D619" t="inlineStr">
        <is>
          <t>QV 766 T244p 1965</t>
        </is>
      </c>
      <c r="E619" t="inlineStr">
        <is>
          <t>0                      QV 0766000T  244p        1965</t>
        </is>
      </c>
      <c r="F619" t="inlineStr">
        <is>
          <t>Plant drugs that changed the world / by Norman Taylor ; with drawings by Margaret Cosgrove.</t>
        </is>
      </c>
      <c r="H619" t="inlineStr">
        <is>
          <t>No</t>
        </is>
      </c>
      <c r="I619" t="inlineStr">
        <is>
          <t>1</t>
        </is>
      </c>
      <c r="J619" t="inlineStr">
        <is>
          <t>No</t>
        </is>
      </c>
      <c r="K619" t="inlineStr">
        <is>
          <t>No</t>
        </is>
      </c>
      <c r="L619" t="inlineStr">
        <is>
          <t>0</t>
        </is>
      </c>
      <c r="M619" t="inlineStr">
        <is>
          <t>Taylor, Norman, 1883-1967.</t>
        </is>
      </c>
      <c r="N619" t="inlineStr">
        <is>
          <t>New York : Dodd, Mead, c1965.</t>
        </is>
      </c>
      <c r="O619" t="inlineStr">
        <is>
          <t>1965</t>
        </is>
      </c>
      <c r="Q619" t="inlineStr">
        <is>
          <t>eng</t>
        </is>
      </c>
      <c r="R619" t="inlineStr">
        <is>
          <t>nyu</t>
        </is>
      </c>
      <c r="T619" t="inlineStr">
        <is>
          <t xml:space="preserve">QV </t>
        </is>
      </c>
      <c r="U619" t="n">
        <v>15</v>
      </c>
      <c r="V619" t="n">
        <v>15</v>
      </c>
      <c r="W619" t="inlineStr">
        <is>
          <t>2006-04-12</t>
        </is>
      </c>
      <c r="X619" t="inlineStr">
        <is>
          <t>2006-04-12</t>
        </is>
      </c>
      <c r="Y619" t="inlineStr">
        <is>
          <t>1988-02-04</t>
        </is>
      </c>
      <c r="Z619" t="inlineStr">
        <is>
          <t>1988-02-04</t>
        </is>
      </c>
      <c r="AA619" t="n">
        <v>523</v>
      </c>
      <c r="AB619" t="n">
        <v>482</v>
      </c>
      <c r="AC619" t="n">
        <v>511</v>
      </c>
      <c r="AD619" t="n">
        <v>4</v>
      </c>
      <c r="AE619" t="n">
        <v>4</v>
      </c>
      <c r="AF619" t="n">
        <v>12</v>
      </c>
      <c r="AG619" t="n">
        <v>12</v>
      </c>
      <c r="AH619" t="n">
        <v>4</v>
      </c>
      <c r="AI619" t="n">
        <v>4</v>
      </c>
      <c r="AJ619" t="n">
        <v>3</v>
      </c>
      <c r="AK619" t="n">
        <v>3</v>
      </c>
      <c r="AL619" t="n">
        <v>5</v>
      </c>
      <c r="AM619" t="n">
        <v>5</v>
      </c>
      <c r="AN619" t="n">
        <v>2</v>
      </c>
      <c r="AO619" t="n">
        <v>2</v>
      </c>
      <c r="AP619" t="n">
        <v>0</v>
      </c>
      <c r="AQ619" t="n">
        <v>0</v>
      </c>
      <c r="AR619" t="inlineStr">
        <is>
          <t>No</t>
        </is>
      </c>
      <c r="AS619" t="inlineStr">
        <is>
          <t>No</t>
        </is>
      </c>
      <c r="AU619">
        <f>HYPERLINK("https://creighton-primo.hosted.exlibrisgroup.com/primo-explore/search?tab=default_tab&amp;search_scope=EVERYTHING&amp;vid=01CRU&amp;lang=en_US&amp;offset=0&amp;query=any,contains,991000991909702656","Catalog Record")</f>
        <v/>
      </c>
      <c r="AV619">
        <f>HYPERLINK("http://www.worldcat.org/oclc/711515","WorldCat Record")</f>
        <v/>
      </c>
      <c r="AW619" t="inlineStr">
        <is>
          <t>149214575:eng</t>
        </is>
      </c>
      <c r="AX619" t="inlineStr">
        <is>
          <t>711515</t>
        </is>
      </c>
      <c r="AY619" t="inlineStr">
        <is>
          <t>991000991909702656</t>
        </is>
      </c>
      <c r="AZ619" t="inlineStr">
        <is>
          <t>991000991909702656</t>
        </is>
      </c>
      <c r="BA619" t="inlineStr">
        <is>
          <t>2261910200002656</t>
        </is>
      </c>
      <c r="BB619" t="inlineStr">
        <is>
          <t>BOOK</t>
        </is>
      </c>
      <c r="BE619" t="inlineStr">
        <is>
          <t>30001000225799</t>
        </is>
      </c>
      <c r="BF619" t="inlineStr">
        <is>
          <t>893460196</t>
        </is>
      </c>
    </row>
    <row r="620">
      <c r="B620" t="inlineStr">
        <is>
          <t>CUHSL</t>
        </is>
      </c>
      <c r="C620" t="inlineStr">
        <is>
          <t>SHELVES</t>
        </is>
      </c>
      <c r="D620" t="inlineStr">
        <is>
          <t>QV 770 AA1 C775u 1963</t>
        </is>
      </c>
      <c r="E620" t="inlineStr">
        <is>
          <t>0                      QV 0770000AA 1                  C  775u        1963</t>
        </is>
      </c>
      <c r="F620" t="inlineStr">
        <is>
          <t>Using plants for healing : an American herbal.</t>
        </is>
      </c>
      <c r="H620" t="inlineStr">
        <is>
          <t>No</t>
        </is>
      </c>
      <c r="I620" t="inlineStr">
        <is>
          <t>1</t>
        </is>
      </c>
      <c r="J620" t="inlineStr">
        <is>
          <t>No</t>
        </is>
      </c>
      <c r="K620" t="inlineStr">
        <is>
          <t>No</t>
        </is>
      </c>
      <c r="L620" t="inlineStr">
        <is>
          <t>0</t>
        </is>
      </c>
      <c r="M620" t="inlineStr">
        <is>
          <t>Coon, Nelson.</t>
        </is>
      </c>
      <c r="N620" t="inlineStr">
        <is>
          <t>[New York] : Hearthside Press, [1963]</t>
        </is>
      </c>
      <c r="O620" t="inlineStr">
        <is>
          <t>1963</t>
        </is>
      </c>
      <c r="Q620" t="inlineStr">
        <is>
          <t>eng</t>
        </is>
      </c>
      <c r="R620" t="inlineStr">
        <is>
          <t>nyu</t>
        </is>
      </c>
      <c r="T620" t="inlineStr">
        <is>
          <t xml:space="preserve">QV </t>
        </is>
      </c>
      <c r="U620" t="n">
        <v>13</v>
      </c>
      <c r="V620" t="n">
        <v>13</v>
      </c>
      <c r="W620" t="inlineStr">
        <is>
          <t>1999-09-15</t>
        </is>
      </c>
      <c r="X620" t="inlineStr">
        <is>
          <t>1999-09-15</t>
        </is>
      </c>
      <c r="Y620" t="inlineStr">
        <is>
          <t>1988-03-25</t>
        </is>
      </c>
      <c r="Z620" t="inlineStr">
        <is>
          <t>1988-03-25</t>
        </is>
      </c>
      <c r="AA620" t="n">
        <v>361</v>
      </c>
      <c r="AB620" t="n">
        <v>338</v>
      </c>
      <c r="AC620" t="n">
        <v>760</v>
      </c>
      <c r="AD620" t="n">
        <v>2</v>
      </c>
      <c r="AE620" t="n">
        <v>4</v>
      </c>
      <c r="AF620" t="n">
        <v>3</v>
      </c>
      <c r="AG620" t="n">
        <v>5</v>
      </c>
      <c r="AH620" t="n">
        <v>2</v>
      </c>
      <c r="AI620" t="n">
        <v>4</v>
      </c>
      <c r="AJ620" t="n">
        <v>0</v>
      </c>
      <c r="AK620" t="n">
        <v>0</v>
      </c>
      <c r="AL620" t="n">
        <v>0</v>
      </c>
      <c r="AM620" t="n">
        <v>1</v>
      </c>
      <c r="AN620" t="n">
        <v>1</v>
      </c>
      <c r="AO620" t="n">
        <v>1</v>
      </c>
      <c r="AP620" t="n">
        <v>0</v>
      </c>
      <c r="AQ620" t="n">
        <v>0</v>
      </c>
      <c r="AR620" t="inlineStr">
        <is>
          <t>No</t>
        </is>
      </c>
      <c r="AS620" t="inlineStr">
        <is>
          <t>No</t>
        </is>
      </c>
      <c r="AU620">
        <f>HYPERLINK("https://creighton-primo.hosted.exlibrisgroup.com/primo-explore/search?tab=default_tab&amp;search_scope=EVERYTHING&amp;vid=01CRU&amp;lang=en_US&amp;offset=0&amp;query=any,contains,991000991839702656","Catalog Record")</f>
        <v/>
      </c>
      <c r="AV620">
        <f>HYPERLINK("http://www.worldcat.org/oclc/1183112","WorldCat Record")</f>
        <v/>
      </c>
      <c r="AW620" t="inlineStr">
        <is>
          <t>793076094:eng</t>
        </is>
      </c>
      <c r="AX620" t="inlineStr">
        <is>
          <t>1183112</t>
        </is>
      </c>
      <c r="AY620" t="inlineStr">
        <is>
          <t>991000991839702656</t>
        </is>
      </c>
      <c r="AZ620" t="inlineStr">
        <is>
          <t>991000991839702656</t>
        </is>
      </c>
      <c r="BA620" t="inlineStr">
        <is>
          <t>2267775520002656</t>
        </is>
      </c>
      <c r="BB620" t="inlineStr">
        <is>
          <t>BOOK</t>
        </is>
      </c>
      <c r="BE620" t="inlineStr">
        <is>
          <t>30001000225781</t>
        </is>
      </c>
      <c r="BF620" t="inlineStr">
        <is>
          <t>893134164</t>
        </is>
      </c>
    </row>
    <row r="621">
      <c r="B621" t="inlineStr">
        <is>
          <t>CUHSL</t>
        </is>
      </c>
      <c r="C621" t="inlineStr">
        <is>
          <t>SHELVES</t>
        </is>
      </c>
      <c r="D621" t="inlineStr">
        <is>
          <t>QV 770 JC6 H835p 1993</t>
        </is>
      </c>
      <c r="E621" t="inlineStr">
        <is>
          <t>0                      QV 0770000JC 6                  H  835p        1993</t>
        </is>
      </c>
      <c r="F621" t="inlineStr">
        <is>
          <t>The pharmacology of Chinese herbs / Kee Chang Huang.</t>
        </is>
      </c>
      <c r="H621" t="inlineStr">
        <is>
          <t>No</t>
        </is>
      </c>
      <c r="I621" t="inlineStr">
        <is>
          <t>1</t>
        </is>
      </c>
      <c r="J621" t="inlineStr">
        <is>
          <t>No</t>
        </is>
      </c>
      <c r="K621" t="inlineStr">
        <is>
          <t>No</t>
        </is>
      </c>
      <c r="L621" t="inlineStr">
        <is>
          <t>0</t>
        </is>
      </c>
      <c r="M621" t="inlineStr">
        <is>
          <t>Huang, K. C. (Kee Chang), 1917-</t>
        </is>
      </c>
      <c r="N621" t="inlineStr">
        <is>
          <t>Boca Raton : CRC Press, c1993.</t>
        </is>
      </c>
      <c r="O621" t="inlineStr">
        <is>
          <t>1993</t>
        </is>
      </c>
      <c r="Q621" t="inlineStr">
        <is>
          <t>eng</t>
        </is>
      </c>
      <c r="R621" t="inlineStr">
        <is>
          <t>xxu</t>
        </is>
      </c>
      <c r="T621" t="inlineStr">
        <is>
          <t xml:space="preserve">QV </t>
        </is>
      </c>
      <c r="U621" t="n">
        <v>48</v>
      </c>
      <c r="V621" t="n">
        <v>48</v>
      </c>
      <c r="W621" t="inlineStr">
        <is>
          <t>2004-09-01</t>
        </is>
      </c>
      <c r="X621" t="inlineStr">
        <is>
          <t>2004-09-01</t>
        </is>
      </c>
      <c r="Y621" t="inlineStr">
        <is>
          <t>1993-06-25</t>
        </is>
      </c>
      <c r="Z621" t="inlineStr">
        <is>
          <t>1993-06-25</t>
        </is>
      </c>
      <c r="AA621" t="n">
        <v>214</v>
      </c>
      <c r="AB621" t="n">
        <v>164</v>
      </c>
      <c r="AC621" t="n">
        <v>321</v>
      </c>
      <c r="AD621" t="n">
        <v>2</v>
      </c>
      <c r="AE621" t="n">
        <v>3</v>
      </c>
      <c r="AF621" t="n">
        <v>6</v>
      </c>
      <c r="AG621" t="n">
        <v>13</v>
      </c>
      <c r="AH621" t="n">
        <v>3</v>
      </c>
      <c r="AI621" t="n">
        <v>7</v>
      </c>
      <c r="AJ621" t="n">
        <v>1</v>
      </c>
      <c r="AK621" t="n">
        <v>3</v>
      </c>
      <c r="AL621" t="n">
        <v>3</v>
      </c>
      <c r="AM621" t="n">
        <v>4</v>
      </c>
      <c r="AN621" t="n">
        <v>1</v>
      </c>
      <c r="AO621" t="n">
        <v>2</v>
      </c>
      <c r="AP621" t="n">
        <v>0</v>
      </c>
      <c r="AQ621" t="n">
        <v>0</v>
      </c>
      <c r="AR621" t="inlineStr">
        <is>
          <t>No</t>
        </is>
      </c>
      <c r="AS621" t="inlineStr">
        <is>
          <t>No</t>
        </is>
      </c>
      <c r="AU621">
        <f>HYPERLINK("https://creighton-primo.hosted.exlibrisgroup.com/primo-explore/search?tab=default_tab&amp;search_scope=EVERYTHING&amp;vid=01CRU&amp;lang=en_US&amp;offset=0&amp;query=any,contains,991001509659702656","Catalog Record")</f>
        <v/>
      </c>
      <c r="AV621">
        <f>HYPERLINK("http://www.worldcat.org/oclc/25509156","WorldCat Record")</f>
        <v/>
      </c>
      <c r="AW621" t="inlineStr">
        <is>
          <t>27824460:eng</t>
        </is>
      </c>
      <c r="AX621" t="inlineStr">
        <is>
          <t>25509156</t>
        </is>
      </c>
      <c r="AY621" t="inlineStr">
        <is>
          <t>991001509659702656</t>
        </is>
      </c>
      <c r="AZ621" t="inlineStr">
        <is>
          <t>991001509659702656</t>
        </is>
      </c>
      <c r="BA621" t="inlineStr">
        <is>
          <t>2259108340002656</t>
        </is>
      </c>
      <c r="BB621" t="inlineStr">
        <is>
          <t>BOOK</t>
        </is>
      </c>
      <c r="BD621" t="inlineStr">
        <is>
          <t>9780849349157</t>
        </is>
      </c>
      <c r="BE621" t="inlineStr">
        <is>
          <t>30001002600569</t>
        </is>
      </c>
      <c r="BF621" t="inlineStr">
        <is>
          <t>893643654</t>
        </is>
      </c>
    </row>
    <row r="622">
      <c r="B622" t="inlineStr">
        <is>
          <t>CUHSL</t>
        </is>
      </c>
      <c r="C622" t="inlineStr">
        <is>
          <t>SHELVES</t>
        </is>
      </c>
      <c r="D622" t="inlineStr">
        <is>
          <t>QV 771 D7942 1987</t>
        </is>
      </c>
      <c r="E622" t="inlineStr">
        <is>
          <t>0                      QV 0771000D  7942        1987</t>
        </is>
      </c>
      <c r="F622" t="inlineStr">
        <is>
          <t>Drug discovery and development / edited by Michael Williams and Jeffrey B. Malick.</t>
        </is>
      </c>
      <c r="H622" t="inlineStr">
        <is>
          <t>No</t>
        </is>
      </c>
      <c r="I622" t="inlineStr">
        <is>
          <t>1</t>
        </is>
      </c>
      <c r="J622" t="inlineStr">
        <is>
          <t>No</t>
        </is>
      </c>
      <c r="K622" t="inlineStr">
        <is>
          <t>No</t>
        </is>
      </c>
      <c r="L622" t="inlineStr">
        <is>
          <t>0</t>
        </is>
      </c>
      <c r="N622" t="inlineStr">
        <is>
          <t>Clifton, N.J. : Humana Press, c1987.</t>
        </is>
      </c>
      <c r="O622" t="inlineStr">
        <is>
          <t>1987</t>
        </is>
      </c>
      <c r="Q622" t="inlineStr">
        <is>
          <t>eng</t>
        </is>
      </c>
      <c r="R622" t="inlineStr">
        <is>
          <t>xxu</t>
        </is>
      </c>
      <c r="S622" t="inlineStr">
        <is>
          <t>Contemporary biomedicine</t>
        </is>
      </c>
      <c r="T622" t="inlineStr">
        <is>
          <t xml:space="preserve">QV </t>
        </is>
      </c>
      <c r="U622" t="n">
        <v>15</v>
      </c>
      <c r="V622" t="n">
        <v>15</v>
      </c>
      <c r="W622" t="inlineStr">
        <is>
          <t>1995-03-07</t>
        </is>
      </c>
      <c r="X622" t="inlineStr">
        <is>
          <t>1995-03-07</t>
        </is>
      </c>
      <c r="Y622" t="inlineStr">
        <is>
          <t>1988-08-25</t>
        </is>
      </c>
      <c r="Z622" t="inlineStr">
        <is>
          <t>1988-08-25</t>
        </is>
      </c>
      <c r="AA622" t="n">
        <v>136</v>
      </c>
      <c r="AB622" t="n">
        <v>93</v>
      </c>
      <c r="AC622" t="n">
        <v>125</v>
      </c>
      <c r="AD622" t="n">
        <v>1</v>
      </c>
      <c r="AE622" t="n">
        <v>1</v>
      </c>
      <c r="AF622" t="n">
        <v>1</v>
      </c>
      <c r="AG622" t="n">
        <v>2</v>
      </c>
      <c r="AH622" t="n">
        <v>0</v>
      </c>
      <c r="AI622" t="n">
        <v>1</v>
      </c>
      <c r="AJ622" t="n">
        <v>1</v>
      </c>
      <c r="AK622" t="n">
        <v>1</v>
      </c>
      <c r="AL622" t="n">
        <v>0</v>
      </c>
      <c r="AM622" t="n">
        <v>1</v>
      </c>
      <c r="AN622" t="n">
        <v>0</v>
      </c>
      <c r="AO622" t="n">
        <v>0</v>
      </c>
      <c r="AP622" t="n">
        <v>0</v>
      </c>
      <c r="AQ622" t="n">
        <v>0</v>
      </c>
      <c r="AR622" t="inlineStr">
        <is>
          <t>No</t>
        </is>
      </c>
      <c r="AS622" t="inlineStr">
        <is>
          <t>Yes</t>
        </is>
      </c>
      <c r="AT622">
        <f>HYPERLINK("http://catalog.hathitrust.org/Record/000918457","HathiTrust Record")</f>
        <v/>
      </c>
      <c r="AU622">
        <f>HYPERLINK("https://creighton-primo.hosted.exlibrisgroup.com/primo-explore/search?tab=default_tab&amp;search_scope=EVERYTHING&amp;vid=01CRU&amp;lang=en_US&amp;offset=0&amp;query=any,contains,991001422969702656","Catalog Record")</f>
        <v/>
      </c>
      <c r="AV622">
        <f>HYPERLINK("http://www.worldcat.org/oclc/15860347","WorldCat Record")</f>
        <v/>
      </c>
      <c r="AW622" t="inlineStr">
        <is>
          <t>354616647:eng</t>
        </is>
      </c>
      <c r="AX622" t="inlineStr">
        <is>
          <t>15860347</t>
        </is>
      </c>
      <c r="AY622" t="inlineStr">
        <is>
          <t>991001422969702656</t>
        </is>
      </c>
      <c r="AZ622" t="inlineStr">
        <is>
          <t>991001422969702656</t>
        </is>
      </c>
      <c r="BA622" t="inlineStr">
        <is>
          <t>2262618890002656</t>
        </is>
      </c>
      <c r="BB622" t="inlineStr">
        <is>
          <t>BOOK</t>
        </is>
      </c>
      <c r="BD622" t="inlineStr">
        <is>
          <t>9780896031081</t>
        </is>
      </c>
      <c r="BE622" t="inlineStr">
        <is>
          <t>30001001182965</t>
        </is>
      </c>
      <c r="BF622" t="inlineStr">
        <is>
          <t>893134565</t>
        </is>
      </c>
    </row>
    <row r="623">
      <c r="B623" t="inlineStr">
        <is>
          <t>CUHSL</t>
        </is>
      </c>
      <c r="C623" t="inlineStr">
        <is>
          <t>SHELVES</t>
        </is>
      </c>
      <c r="D623" t="inlineStr">
        <is>
          <t>QV 771 G6465 1998</t>
        </is>
      </c>
      <c r="E623" t="inlineStr">
        <is>
          <t>0                      QV 0771000G  6465        1998</t>
        </is>
      </c>
      <c r="F623" t="inlineStr">
        <is>
          <t>Good clinical practice : standard operating procedures for clinical researchers / edited by Josef Kolman, Paul Meng, and Graeme Scott.</t>
        </is>
      </c>
      <c r="H623" t="inlineStr">
        <is>
          <t>No</t>
        </is>
      </c>
      <c r="I623" t="inlineStr">
        <is>
          <t>1</t>
        </is>
      </c>
      <c r="J623" t="inlineStr">
        <is>
          <t>No</t>
        </is>
      </c>
      <c r="K623" t="inlineStr">
        <is>
          <t>No</t>
        </is>
      </c>
      <c r="L623" t="inlineStr">
        <is>
          <t>0</t>
        </is>
      </c>
      <c r="N623" t="inlineStr">
        <is>
          <t>Chichester, England ; New York : J. Wiley &amp; Sons, c1998.</t>
        </is>
      </c>
      <c r="O623" t="inlineStr">
        <is>
          <t>1998</t>
        </is>
      </c>
      <c r="Q623" t="inlineStr">
        <is>
          <t>eng</t>
        </is>
      </c>
      <c r="R623" t="inlineStr">
        <is>
          <t>enk</t>
        </is>
      </c>
      <c r="T623" t="inlineStr">
        <is>
          <t xml:space="preserve">QV </t>
        </is>
      </c>
      <c r="U623" t="n">
        <v>4</v>
      </c>
      <c r="V623" t="n">
        <v>4</v>
      </c>
      <c r="W623" t="inlineStr">
        <is>
          <t>2003-10-15</t>
        </is>
      </c>
      <c r="X623" t="inlineStr">
        <is>
          <t>2003-10-15</t>
        </is>
      </c>
      <c r="Y623" t="inlineStr">
        <is>
          <t>1999-07-09</t>
        </is>
      </c>
      <c r="Z623" t="inlineStr">
        <is>
          <t>1999-07-09</t>
        </is>
      </c>
      <c r="AA623" t="n">
        <v>121</v>
      </c>
      <c r="AB623" t="n">
        <v>65</v>
      </c>
      <c r="AC623" t="n">
        <v>187</v>
      </c>
      <c r="AD623" t="n">
        <v>1</v>
      </c>
      <c r="AE623" t="n">
        <v>1</v>
      </c>
      <c r="AF623" t="n">
        <v>1</v>
      </c>
      <c r="AG623" t="n">
        <v>4</v>
      </c>
      <c r="AH623" t="n">
        <v>0</v>
      </c>
      <c r="AI623" t="n">
        <v>2</v>
      </c>
      <c r="AJ623" t="n">
        <v>0</v>
      </c>
      <c r="AK623" t="n">
        <v>1</v>
      </c>
      <c r="AL623" t="n">
        <v>1</v>
      </c>
      <c r="AM623" t="n">
        <v>2</v>
      </c>
      <c r="AN623" t="n">
        <v>0</v>
      </c>
      <c r="AO623" t="n">
        <v>0</v>
      </c>
      <c r="AP623" t="n">
        <v>0</v>
      </c>
      <c r="AQ623" t="n">
        <v>0</v>
      </c>
      <c r="AR623" t="inlineStr">
        <is>
          <t>No</t>
        </is>
      </c>
      <c r="AS623" t="inlineStr">
        <is>
          <t>Yes</t>
        </is>
      </c>
      <c r="AT623">
        <f>HYPERLINK("http://catalog.hathitrust.org/Record/003976527","HathiTrust Record")</f>
        <v/>
      </c>
      <c r="AU623">
        <f>HYPERLINK("https://creighton-primo.hosted.exlibrisgroup.com/primo-explore/search?tab=default_tab&amp;search_scope=EVERYTHING&amp;vid=01CRU&amp;lang=en_US&amp;offset=0&amp;query=any,contains,991000795429702656","Catalog Record")</f>
        <v/>
      </c>
      <c r="AV623">
        <f>HYPERLINK("http://www.worldcat.org/oclc/37696634","WorldCat Record")</f>
        <v/>
      </c>
      <c r="AW623" t="inlineStr">
        <is>
          <t>799560761:eng</t>
        </is>
      </c>
      <c r="AX623" t="inlineStr">
        <is>
          <t>37696634</t>
        </is>
      </c>
      <c r="AY623" t="inlineStr">
        <is>
          <t>991000795429702656</t>
        </is>
      </c>
      <c r="AZ623" t="inlineStr">
        <is>
          <t>991000795429702656</t>
        </is>
      </c>
      <c r="BA623" t="inlineStr">
        <is>
          <t>2270370970002656</t>
        </is>
      </c>
      <c r="BB623" t="inlineStr">
        <is>
          <t>BOOK</t>
        </is>
      </c>
      <c r="BD623" t="inlineStr">
        <is>
          <t>9780471969365</t>
        </is>
      </c>
      <c r="BE623" t="inlineStr">
        <is>
          <t>30001004077998</t>
        </is>
      </c>
      <c r="BF623" t="inlineStr">
        <is>
          <t>893368571</t>
        </is>
      </c>
    </row>
    <row r="624">
      <c r="B624" t="inlineStr">
        <is>
          <t>CUHSL</t>
        </is>
      </c>
      <c r="C624" t="inlineStr">
        <is>
          <t>SHELVES</t>
        </is>
      </c>
      <c r="D624" t="inlineStr">
        <is>
          <t>QV771 G946 2000</t>
        </is>
      </c>
      <c r="E624" t="inlineStr">
        <is>
          <t>0                      QV 0771000G  946         2000</t>
        </is>
      </c>
      <c r="F624" t="inlineStr">
        <is>
          <t>A guide to clinical drug research / edited by Adam Cohen and John Posner.</t>
        </is>
      </c>
      <c r="H624" t="inlineStr">
        <is>
          <t>No</t>
        </is>
      </c>
      <c r="I624" t="inlineStr">
        <is>
          <t>1</t>
        </is>
      </c>
      <c r="J624" t="inlineStr">
        <is>
          <t>No</t>
        </is>
      </c>
      <c r="K624" t="inlineStr">
        <is>
          <t>No</t>
        </is>
      </c>
      <c r="L624" t="inlineStr">
        <is>
          <t>0</t>
        </is>
      </c>
      <c r="N624" t="inlineStr">
        <is>
          <t>Dordrecht ; Boston : Kluwer Academic Publishers, 2000.</t>
        </is>
      </c>
      <c r="O624" t="inlineStr">
        <is>
          <t>2000</t>
        </is>
      </c>
      <c r="P624" t="inlineStr">
        <is>
          <t>2nd ed.</t>
        </is>
      </c>
      <c r="Q624" t="inlineStr">
        <is>
          <t>eng</t>
        </is>
      </c>
      <c r="R624" t="inlineStr">
        <is>
          <t xml:space="preserve">ne </t>
        </is>
      </c>
      <c r="T624" t="inlineStr">
        <is>
          <t xml:space="preserve">QV </t>
        </is>
      </c>
      <c r="U624" t="n">
        <v>1</v>
      </c>
      <c r="V624" t="n">
        <v>1</v>
      </c>
      <c r="W624" t="inlineStr">
        <is>
          <t>2002-12-10</t>
        </is>
      </c>
      <c r="X624" t="inlineStr">
        <is>
          <t>2002-12-10</t>
        </is>
      </c>
      <c r="Y624" t="inlineStr">
        <is>
          <t>2002-07-02</t>
        </is>
      </c>
      <c r="Z624" t="inlineStr">
        <is>
          <t>2002-07-02</t>
        </is>
      </c>
      <c r="AA624" t="n">
        <v>114</v>
      </c>
      <c r="AB624" t="n">
        <v>83</v>
      </c>
      <c r="AC624" t="n">
        <v>139</v>
      </c>
      <c r="AD624" t="n">
        <v>1</v>
      </c>
      <c r="AE624" t="n">
        <v>1</v>
      </c>
      <c r="AF624" t="n">
        <v>2</v>
      </c>
      <c r="AG624" t="n">
        <v>5</v>
      </c>
      <c r="AH624" t="n">
        <v>1</v>
      </c>
      <c r="AI624" t="n">
        <v>3</v>
      </c>
      <c r="AJ624" t="n">
        <v>1</v>
      </c>
      <c r="AK624" t="n">
        <v>2</v>
      </c>
      <c r="AL624" t="n">
        <v>0</v>
      </c>
      <c r="AM624" t="n">
        <v>2</v>
      </c>
      <c r="AN624" t="n">
        <v>0</v>
      </c>
      <c r="AO624" t="n">
        <v>0</v>
      </c>
      <c r="AP624" t="n">
        <v>0</v>
      </c>
      <c r="AQ624" t="n">
        <v>0</v>
      </c>
      <c r="AR624" t="inlineStr">
        <is>
          <t>No</t>
        </is>
      </c>
      <c r="AS624" t="inlineStr">
        <is>
          <t>No</t>
        </is>
      </c>
      <c r="AU624">
        <f>HYPERLINK("https://creighton-primo.hosted.exlibrisgroup.com/primo-explore/search?tab=default_tab&amp;search_scope=EVERYTHING&amp;vid=01CRU&amp;lang=en_US&amp;offset=0&amp;query=any,contains,991000321209702656","Catalog Record")</f>
        <v/>
      </c>
      <c r="AV624">
        <f>HYPERLINK("http://www.worldcat.org/oclc/43095597","WorldCat Record")</f>
        <v/>
      </c>
      <c r="AW624" t="inlineStr">
        <is>
          <t>350419779:eng</t>
        </is>
      </c>
      <c r="AX624" t="inlineStr">
        <is>
          <t>43095597</t>
        </is>
      </c>
      <c r="AY624" t="inlineStr">
        <is>
          <t>991000321209702656</t>
        </is>
      </c>
      <c r="AZ624" t="inlineStr">
        <is>
          <t>991000321209702656</t>
        </is>
      </c>
      <c r="BA624" t="inlineStr">
        <is>
          <t>2269355710002656</t>
        </is>
      </c>
      <c r="BB624" t="inlineStr">
        <is>
          <t>BOOK</t>
        </is>
      </c>
      <c r="BD624" t="inlineStr">
        <is>
          <t>9780792361718</t>
        </is>
      </c>
      <c r="BE624" t="inlineStr">
        <is>
          <t>30001004442671</t>
        </is>
      </c>
      <c r="BF624" t="inlineStr">
        <is>
          <t>893629093</t>
        </is>
      </c>
    </row>
    <row r="625">
      <c r="B625" t="inlineStr">
        <is>
          <t>CUHSL</t>
        </is>
      </c>
      <c r="C625" t="inlineStr">
        <is>
          <t>SHELVES</t>
        </is>
      </c>
      <c r="D625" t="inlineStr">
        <is>
          <t>QV 771 H236 1995</t>
        </is>
      </c>
      <c r="E625" t="inlineStr">
        <is>
          <t>0                      QV 0771000H  236         1995</t>
        </is>
      </c>
      <c r="F625" t="inlineStr">
        <is>
          <t>Handbook of workplace drug testing / edited by Ray H. Liu, Bruce A. Goldberger.</t>
        </is>
      </c>
      <c r="H625" t="inlineStr">
        <is>
          <t>No</t>
        </is>
      </c>
      <c r="I625" t="inlineStr">
        <is>
          <t>1</t>
        </is>
      </c>
      <c r="J625" t="inlineStr">
        <is>
          <t>No</t>
        </is>
      </c>
      <c r="K625" t="inlineStr">
        <is>
          <t>No</t>
        </is>
      </c>
      <c r="L625" t="inlineStr">
        <is>
          <t>0</t>
        </is>
      </c>
      <c r="N625" t="inlineStr">
        <is>
          <t>Washington, DC : AACC Press, c1995.</t>
        </is>
      </c>
      <c r="O625" t="inlineStr">
        <is>
          <t>1995</t>
        </is>
      </c>
      <c r="Q625" t="inlineStr">
        <is>
          <t>eng</t>
        </is>
      </c>
      <c r="R625" t="inlineStr">
        <is>
          <t>dcu</t>
        </is>
      </c>
      <c r="T625" t="inlineStr">
        <is>
          <t xml:space="preserve">QV </t>
        </is>
      </c>
      <c r="U625" t="n">
        <v>5</v>
      </c>
      <c r="V625" t="n">
        <v>5</v>
      </c>
      <c r="W625" t="inlineStr">
        <is>
          <t>1998-03-22</t>
        </is>
      </c>
      <c r="X625" t="inlineStr">
        <is>
          <t>1998-03-22</t>
        </is>
      </c>
      <c r="Y625" t="inlineStr">
        <is>
          <t>1996-04-03</t>
        </is>
      </c>
      <c r="Z625" t="inlineStr">
        <is>
          <t>1996-04-03</t>
        </is>
      </c>
      <c r="AA625" t="n">
        <v>69</v>
      </c>
      <c r="AB625" t="n">
        <v>59</v>
      </c>
      <c r="AC625" t="n">
        <v>70</v>
      </c>
      <c r="AD625" t="n">
        <v>1</v>
      </c>
      <c r="AE625" t="n">
        <v>1</v>
      </c>
      <c r="AF625" t="n">
        <v>2</v>
      </c>
      <c r="AG625" t="n">
        <v>2</v>
      </c>
      <c r="AH625" t="n">
        <v>2</v>
      </c>
      <c r="AI625" t="n">
        <v>2</v>
      </c>
      <c r="AJ625" t="n">
        <v>0</v>
      </c>
      <c r="AK625" t="n">
        <v>0</v>
      </c>
      <c r="AL625" t="n">
        <v>1</v>
      </c>
      <c r="AM625" t="n">
        <v>1</v>
      </c>
      <c r="AN625" t="n">
        <v>0</v>
      </c>
      <c r="AO625" t="n">
        <v>0</v>
      </c>
      <c r="AP625" t="n">
        <v>0</v>
      </c>
      <c r="AQ625" t="n">
        <v>0</v>
      </c>
      <c r="AR625" t="inlineStr">
        <is>
          <t>No</t>
        </is>
      </c>
      <c r="AS625" t="inlineStr">
        <is>
          <t>Yes</t>
        </is>
      </c>
      <c r="AT625">
        <f>HYPERLINK("http://catalog.hathitrust.org/Record/003039870","HathiTrust Record")</f>
        <v/>
      </c>
      <c r="AU625">
        <f>HYPERLINK("https://creighton-primo.hosted.exlibrisgroup.com/primo-explore/search?tab=default_tab&amp;search_scope=EVERYTHING&amp;vid=01CRU&amp;lang=en_US&amp;offset=0&amp;query=any,contains,991001505549702656","Catalog Record")</f>
        <v/>
      </c>
      <c r="AV625">
        <f>HYPERLINK("http://www.worldcat.org/oclc/32389235","WorldCat Record")</f>
        <v/>
      </c>
      <c r="AW625" t="inlineStr">
        <is>
          <t>350282879:eng</t>
        </is>
      </c>
      <c r="AX625" t="inlineStr">
        <is>
          <t>32389235</t>
        </is>
      </c>
      <c r="AY625" t="inlineStr">
        <is>
          <t>991001505549702656</t>
        </is>
      </c>
      <c r="AZ625" t="inlineStr">
        <is>
          <t>991001505549702656</t>
        </is>
      </c>
      <c r="BA625" t="inlineStr">
        <is>
          <t>2258762010002656</t>
        </is>
      </c>
      <c r="BB625" t="inlineStr">
        <is>
          <t>BOOK</t>
        </is>
      </c>
      <c r="BD625" t="inlineStr">
        <is>
          <t>9780915274772</t>
        </is>
      </c>
      <c r="BE625" t="inlineStr">
        <is>
          <t>30001003264258</t>
        </is>
      </c>
      <c r="BF625" t="inlineStr">
        <is>
          <t>893374665</t>
        </is>
      </c>
    </row>
    <row r="626">
      <c r="B626" t="inlineStr">
        <is>
          <t>CUHSL</t>
        </is>
      </c>
      <c r="C626" t="inlineStr">
        <is>
          <t>SHELVES</t>
        </is>
      </c>
      <c r="D626" t="inlineStr">
        <is>
          <t>QV 771 M514c 1996</t>
        </is>
      </c>
      <c r="E626" t="inlineStr">
        <is>
          <t>0                      QV 0771000M  514c        1996</t>
        </is>
      </c>
      <c r="F626" t="inlineStr">
        <is>
          <t>Clinical trials dictionary : terminology and usage recommendations / Curtis L. Meinert.</t>
        </is>
      </c>
      <c r="H626" t="inlineStr">
        <is>
          <t>No</t>
        </is>
      </c>
      <c r="I626" t="inlineStr">
        <is>
          <t>1</t>
        </is>
      </c>
      <c r="J626" t="inlineStr">
        <is>
          <t>No</t>
        </is>
      </c>
      <c r="K626" t="inlineStr">
        <is>
          <t>No</t>
        </is>
      </c>
      <c r="L626" t="inlineStr">
        <is>
          <t>0</t>
        </is>
      </c>
      <c r="M626" t="inlineStr">
        <is>
          <t>Meinert, Curtis L.</t>
        </is>
      </c>
      <c r="N626" t="inlineStr">
        <is>
          <t>Baltimore, Md. : The Johns Hopkins University; School of Hygiene and Public Health; Center for Clinical Trials, c1996.</t>
        </is>
      </c>
      <c r="O626" t="inlineStr">
        <is>
          <t>1996</t>
        </is>
      </c>
      <c r="P626" t="inlineStr">
        <is>
          <t>Edition 1.0, 1st printing</t>
        </is>
      </c>
      <c r="Q626" t="inlineStr">
        <is>
          <t>eng</t>
        </is>
      </c>
      <c r="R626" t="inlineStr">
        <is>
          <t>mdu</t>
        </is>
      </c>
      <c r="T626" t="inlineStr">
        <is>
          <t xml:space="preserve">QV </t>
        </is>
      </c>
      <c r="U626" t="n">
        <v>2</v>
      </c>
      <c r="V626" t="n">
        <v>2</v>
      </c>
      <c r="W626" t="inlineStr">
        <is>
          <t>1996-09-27</t>
        </is>
      </c>
      <c r="X626" t="inlineStr">
        <is>
          <t>1996-09-27</t>
        </is>
      </c>
      <c r="Y626" t="inlineStr">
        <is>
          <t>1996-09-10</t>
        </is>
      </c>
      <c r="Z626" t="inlineStr">
        <is>
          <t>1996-09-10</t>
        </is>
      </c>
      <c r="AA626" t="n">
        <v>53</v>
      </c>
      <c r="AB626" t="n">
        <v>41</v>
      </c>
      <c r="AC626" t="n">
        <v>188</v>
      </c>
      <c r="AD626" t="n">
        <v>1</v>
      </c>
      <c r="AE626" t="n">
        <v>1</v>
      </c>
      <c r="AF626" t="n">
        <v>1</v>
      </c>
      <c r="AG626" t="n">
        <v>6</v>
      </c>
      <c r="AH626" t="n">
        <v>1</v>
      </c>
      <c r="AI626" t="n">
        <v>1</v>
      </c>
      <c r="AJ626" t="n">
        <v>0</v>
      </c>
      <c r="AK626" t="n">
        <v>1</v>
      </c>
      <c r="AL626" t="n">
        <v>1</v>
      </c>
      <c r="AM626" t="n">
        <v>6</v>
      </c>
      <c r="AN626" t="n">
        <v>0</v>
      </c>
      <c r="AO626" t="n">
        <v>0</v>
      </c>
      <c r="AP626" t="n">
        <v>0</v>
      </c>
      <c r="AQ626" t="n">
        <v>0</v>
      </c>
      <c r="AR626" t="inlineStr">
        <is>
          <t>No</t>
        </is>
      </c>
      <c r="AS626" t="inlineStr">
        <is>
          <t>Yes</t>
        </is>
      </c>
      <c r="AT626">
        <f>HYPERLINK("http://catalog.hathitrust.org/Record/003120405","HathiTrust Record")</f>
        <v/>
      </c>
      <c r="AU626">
        <f>HYPERLINK("https://creighton-primo.hosted.exlibrisgroup.com/primo-explore/search?tab=default_tab&amp;search_scope=EVERYTHING&amp;vid=01CRU&amp;lang=en_US&amp;offset=0&amp;query=any,contains,991000836119702656","Catalog Record")</f>
        <v/>
      </c>
      <c r="AV626">
        <f>HYPERLINK("http://www.worldcat.org/oclc/34085231","WorldCat Record")</f>
        <v/>
      </c>
      <c r="AW626" t="inlineStr">
        <is>
          <t>1062971721:eng</t>
        </is>
      </c>
      <c r="AX626" t="inlineStr">
        <is>
          <t>34085231</t>
        </is>
      </c>
      <c r="AY626" t="inlineStr">
        <is>
          <t>991000836119702656</t>
        </is>
      </c>
      <c r="AZ626" t="inlineStr">
        <is>
          <t>991000836119702656</t>
        </is>
      </c>
      <c r="BA626" t="inlineStr">
        <is>
          <t>2267917570002656</t>
        </is>
      </c>
      <c r="BB626" t="inlineStr">
        <is>
          <t>BOOK</t>
        </is>
      </c>
      <c r="BD626" t="inlineStr">
        <is>
          <t>9780964642409</t>
        </is>
      </c>
      <c r="BE626" t="inlineStr">
        <is>
          <t>30001003441856</t>
        </is>
      </c>
      <c r="BF626" t="inlineStr">
        <is>
          <t>893368736</t>
        </is>
      </c>
    </row>
    <row r="627">
      <c r="B627" t="inlineStr">
        <is>
          <t>CUHSL</t>
        </is>
      </c>
      <c r="C627" t="inlineStr">
        <is>
          <t>SHELVES</t>
        </is>
      </c>
      <c r="D627" t="inlineStr">
        <is>
          <t>QV 771 N53245 1993</t>
        </is>
      </c>
      <c r="E627" t="inlineStr">
        <is>
          <t>0                      QV 0771000N  53245       1993</t>
        </is>
      </c>
      <c r="F627" t="inlineStr">
        <is>
          <t>New technologies and concepts for reducing drug toxicities / edited by Harry Salem, Steven I. Baskin.</t>
        </is>
      </c>
      <c r="H627" t="inlineStr">
        <is>
          <t>No</t>
        </is>
      </c>
      <c r="I627" t="inlineStr">
        <is>
          <t>1</t>
        </is>
      </c>
      <c r="J627" t="inlineStr">
        <is>
          <t>No</t>
        </is>
      </c>
      <c r="K627" t="inlineStr">
        <is>
          <t>No</t>
        </is>
      </c>
      <c r="L627" t="inlineStr">
        <is>
          <t>0</t>
        </is>
      </c>
      <c r="N627" t="inlineStr">
        <is>
          <t>Boca Raton : CRC Press, c1993.</t>
        </is>
      </c>
      <c r="O627" t="inlineStr">
        <is>
          <t>1993</t>
        </is>
      </c>
      <c r="Q627" t="inlineStr">
        <is>
          <t>eng</t>
        </is>
      </c>
      <c r="R627" t="inlineStr">
        <is>
          <t>xxu</t>
        </is>
      </c>
      <c r="T627" t="inlineStr">
        <is>
          <t xml:space="preserve">QV </t>
        </is>
      </c>
      <c r="U627" t="n">
        <v>4</v>
      </c>
      <c r="V627" t="n">
        <v>4</v>
      </c>
      <c r="W627" t="inlineStr">
        <is>
          <t>1993-09-02</t>
        </is>
      </c>
      <c r="X627" t="inlineStr">
        <is>
          <t>1993-09-02</t>
        </is>
      </c>
      <c r="Y627" t="inlineStr">
        <is>
          <t>1993-08-31</t>
        </is>
      </c>
      <c r="Z627" t="inlineStr">
        <is>
          <t>1993-08-31</t>
        </is>
      </c>
      <c r="AA627" t="n">
        <v>72</v>
      </c>
      <c r="AB627" t="n">
        <v>60</v>
      </c>
      <c r="AC627" t="n">
        <v>60</v>
      </c>
      <c r="AD627" t="n">
        <v>1</v>
      </c>
      <c r="AE627" t="n">
        <v>1</v>
      </c>
      <c r="AF627" t="n">
        <v>0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0</v>
      </c>
      <c r="AM627" t="n">
        <v>0</v>
      </c>
      <c r="AN627" t="n">
        <v>0</v>
      </c>
      <c r="AO627" t="n">
        <v>0</v>
      </c>
      <c r="AP627" t="n">
        <v>0</v>
      </c>
      <c r="AQ627" t="n">
        <v>0</v>
      </c>
      <c r="AR627" t="inlineStr">
        <is>
          <t>No</t>
        </is>
      </c>
      <c r="AS627" t="inlineStr">
        <is>
          <t>No</t>
        </is>
      </c>
      <c r="AU627">
        <f>HYPERLINK("https://creighton-primo.hosted.exlibrisgroup.com/primo-explore/search?tab=default_tab&amp;search_scope=EVERYTHING&amp;vid=01CRU&amp;lang=en_US&amp;offset=0&amp;query=any,contains,991001511269702656","Catalog Record")</f>
        <v/>
      </c>
      <c r="AV627">
        <f>HYPERLINK("http://www.worldcat.org/oclc/26160254","WorldCat Record")</f>
        <v/>
      </c>
      <c r="AW627" t="inlineStr">
        <is>
          <t>365261707:eng</t>
        </is>
      </c>
      <c r="AX627" t="inlineStr">
        <is>
          <t>26160254</t>
        </is>
      </c>
      <c r="AY627" t="inlineStr">
        <is>
          <t>991001511269702656</t>
        </is>
      </c>
      <c r="AZ627" t="inlineStr">
        <is>
          <t>991001511269702656</t>
        </is>
      </c>
      <c r="BA627" t="inlineStr">
        <is>
          <t>2256435330002656</t>
        </is>
      </c>
      <c r="BB627" t="inlineStr">
        <is>
          <t>BOOK</t>
        </is>
      </c>
      <c r="BD627" t="inlineStr">
        <is>
          <t>9780849388965</t>
        </is>
      </c>
      <c r="BE627" t="inlineStr">
        <is>
          <t>30001002600858</t>
        </is>
      </c>
      <c r="BF627" t="inlineStr">
        <is>
          <t>893552588</t>
        </is>
      </c>
    </row>
    <row r="628">
      <c r="B628" t="inlineStr">
        <is>
          <t>CUHSL</t>
        </is>
      </c>
      <c r="C628" t="inlineStr">
        <is>
          <t>SHELVES</t>
        </is>
      </c>
      <c r="D628" t="inlineStr">
        <is>
          <t>QV 771 S525b 2006</t>
        </is>
      </c>
      <c r="E628" t="inlineStr">
        <is>
          <t>0                      QV 0771000S  525b        2006</t>
        </is>
      </c>
      <c r="F628" t="inlineStr">
        <is>
          <t>The body hunters : testing new drugs on the world's poorest patients / Sonia Shah.</t>
        </is>
      </c>
      <c r="H628" t="inlineStr">
        <is>
          <t>No</t>
        </is>
      </c>
      <c r="I628" t="inlineStr">
        <is>
          <t>1</t>
        </is>
      </c>
      <c r="J628" t="inlineStr">
        <is>
          <t>No</t>
        </is>
      </c>
      <c r="K628" t="inlineStr">
        <is>
          <t>No</t>
        </is>
      </c>
      <c r="L628" t="inlineStr">
        <is>
          <t>0</t>
        </is>
      </c>
      <c r="M628" t="inlineStr">
        <is>
          <t>Shah, Sonia.</t>
        </is>
      </c>
      <c r="N628" t="inlineStr">
        <is>
          <t>New York : New Press : Distributed by W.W. Norton, 2006.</t>
        </is>
      </c>
      <c r="O628" t="inlineStr">
        <is>
          <t>2006</t>
        </is>
      </c>
      <c r="Q628" t="inlineStr">
        <is>
          <t>eng</t>
        </is>
      </c>
      <c r="R628" t="inlineStr">
        <is>
          <t>nyu</t>
        </is>
      </c>
      <c r="T628" t="inlineStr">
        <is>
          <t xml:space="preserve">QV </t>
        </is>
      </c>
      <c r="U628" t="n">
        <v>0</v>
      </c>
      <c r="V628" t="n">
        <v>0</v>
      </c>
      <c r="W628" t="inlineStr">
        <is>
          <t>2008-09-26</t>
        </is>
      </c>
      <c r="X628" t="inlineStr">
        <is>
          <t>2008-09-26</t>
        </is>
      </c>
      <c r="Y628" t="inlineStr">
        <is>
          <t>2008-09-26</t>
        </is>
      </c>
      <c r="Z628" t="inlineStr">
        <is>
          <t>2008-09-26</t>
        </is>
      </c>
      <c r="AA628" t="n">
        <v>949</v>
      </c>
      <c r="AB628" t="n">
        <v>812</v>
      </c>
      <c r="AC628" t="n">
        <v>891</v>
      </c>
      <c r="AD628" t="n">
        <v>6</v>
      </c>
      <c r="AE628" t="n">
        <v>6</v>
      </c>
      <c r="AF628" t="n">
        <v>24</v>
      </c>
      <c r="AG628" t="n">
        <v>25</v>
      </c>
      <c r="AH628" t="n">
        <v>9</v>
      </c>
      <c r="AI628" t="n">
        <v>10</v>
      </c>
      <c r="AJ628" t="n">
        <v>8</v>
      </c>
      <c r="AK628" t="n">
        <v>9</v>
      </c>
      <c r="AL628" t="n">
        <v>11</v>
      </c>
      <c r="AM628" t="n">
        <v>11</v>
      </c>
      <c r="AN628" t="n">
        <v>3</v>
      </c>
      <c r="AO628" t="n">
        <v>3</v>
      </c>
      <c r="AP628" t="n">
        <v>0</v>
      </c>
      <c r="AQ628" t="n">
        <v>0</v>
      </c>
      <c r="AR628" t="inlineStr">
        <is>
          <t>No</t>
        </is>
      </c>
      <c r="AS628" t="inlineStr">
        <is>
          <t>No</t>
        </is>
      </c>
      <c r="AU628">
        <f>HYPERLINK("https://creighton-primo.hosted.exlibrisgroup.com/primo-explore/search?tab=default_tab&amp;search_scope=EVERYTHING&amp;vid=01CRU&amp;lang=en_US&amp;offset=0&amp;query=any,contains,991001319229702656","Catalog Record")</f>
        <v/>
      </c>
      <c r="AV628">
        <f>HYPERLINK("http://www.worldcat.org/oclc/62593856","WorldCat Record")</f>
        <v/>
      </c>
      <c r="AW628" t="inlineStr">
        <is>
          <t>865026370:eng</t>
        </is>
      </c>
      <c r="AX628" t="inlineStr">
        <is>
          <t>62593856</t>
        </is>
      </c>
      <c r="AY628" t="inlineStr">
        <is>
          <t>991001319229702656</t>
        </is>
      </c>
      <c r="AZ628" t="inlineStr">
        <is>
          <t>991001319229702656</t>
        </is>
      </c>
      <c r="BA628" t="inlineStr">
        <is>
          <t>2263312520002656</t>
        </is>
      </c>
      <c r="BB628" t="inlineStr">
        <is>
          <t>BOOK</t>
        </is>
      </c>
      <c r="BD628" t="inlineStr">
        <is>
          <t>9781565849129</t>
        </is>
      </c>
      <c r="BE628" t="inlineStr">
        <is>
          <t>30001005372117</t>
        </is>
      </c>
      <c r="BF628" t="inlineStr">
        <is>
          <t>893161888</t>
        </is>
      </c>
    </row>
    <row r="629">
      <c r="B629" t="inlineStr">
        <is>
          <t>CUHSL</t>
        </is>
      </c>
      <c r="C629" t="inlineStr">
        <is>
          <t>SHELVES</t>
        </is>
      </c>
      <c r="D629" t="inlineStr">
        <is>
          <t>QV 771 S562pa 1993</t>
        </is>
      </c>
      <c r="E629" t="inlineStr">
        <is>
          <t>0                      QV 0771000S  562pa       1993</t>
        </is>
      </c>
      <c r="F629" t="inlineStr">
        <is>
          <t>Practical handbook of sample size guidelines for clinical trials / Jonathan J. Shuster.</t>
        </is>
      </c>
      <c r="H629" t="inlineStr">
        <is>
          <t>No</t>
        </is>
      </c>
      <c r="I629" t="inlineStr">
        <is>
          <t>1</t>
        </is>
      </c>
      <c r="J629" t="inlineStr">
        <is>
          <t>No</t>
        </is>
      </c>
      <c r="K629" t="inlineStr">
        <is>
          <t>No</t>
        </is>
      </c>
      <c r="L629" t="inlineStr">
        <is>
          <t>0</t>
        </is>
      </c>
      <c r="M629" t="inlineStr">
        <is>
          <t>Shuster, Jonathan J., 1943-</t>
        </is>
      </c>
      <c r="N629" t="inlineStr">
        <is>
          <t>Boca Raton : CRC Press, c1993.</t>
        </is>
      </c>
      <c r="O629" t="inlineStr">
        <is>
          <t>1992</t>
        </is>
      </c>
      <c r="P629" t="inlineStr">
        <is>
          <t>IBM-compatible version.</t>
        </is>
      </c>
      <c r="Q629" t="inlineStr">
        <is>
          <t>eng</t>
        </is>
      </c>
      <c r="R629" t="inlineStr">
        <is>
          <t>flu</t>
        </is>
      </c>
      <c r="T629" t="inlineStr">
        <is>
          <t xml:space="preserve">QV </t>
        </is>
      </c>
      <c r="U629" t="n">
        <v>10</v>
      </c>
      <c r="V629" t="n">
        <v>10</v>
      </c>
      <c r="W629" t="inlineStr">
        <is>
          <t>2001-10-17</t>
        </is>
      </c>
      <c r="X629" t="inlineStr">
        <is>
          <t>2001-10-17</t>
        </is>
      </c>
      <c r="Y629" t="inlineStr">
        <is>
          <t>1993-08-31</t>
        </is>
      </c>
      <c r="Z629" t="inlineStr">
        <is>
          <t>1993-08-31</t>
        </is>
      </c>
      <c r="AA629" t="n">
        <v>49</v>
      </c>
      <c r="AB629" t="n">
        <v>34</v>
      </c>
      <c r="AC629" t="n">
        <v>51</v>
      </c>
      <c r="AD629" t="n">
        <v>1</v>
      </c>
      <c r="AE629" t="n">
        <v>1</v>
      </c>
      <c r="AF629" t="n">
        <v>1</v>
      </c>
      <c r="AG629" t="n">
        <v>1</v>
      </c>
      <c r="AH629" t="n">
        <v>1</v>
      </c>
      <c r="AI629" t="n">
        <v>1</v>
      </c>
      <c r="AJ629" t="n">
        <v>0</v>
      </c>
      <c r="AK629" t="n">
        <v>0</v>
      </c>
      <c r="AL629" t="n">
        <v>0</v>
      </c>
      <c r="AM629" t="n">
        <v>0</v>
      </c>
      <c r="AN629" t="n">
        <v>0</v>
      </c>
      <c r="AO629" t="n">
        <v>0</v>
      </c>
      <c r="AP629" t="n">
        <v>0</v>
      </c>
      <c r="AQ629" t="n">
        <v>0</v>
      </c>
      <c r="AR629" t="inlineStr">
        <is>
          <t>No</t>
        </is>
      </c>
      <c r="AS629" t="inlineStr">
        <is>
          <t>No</t>
        </is>
      </c>
      <c r="AU629">
        <f>HYPERLINK("https://creighton-primo.hosted.exlibrisgroup.com/primo-explore/search?tab=default_tab&amp;search_scope=EVERYTHING&amp;vid=01CRU&amp;lang=en_US&amp;offset=0&amp;query=any,contains,991001512289702656","Catalog Record")</f>
        <v/>
      </c>
      <c r="AV629">
        <f>HYPERLINK("http://www.worldcat.org/oclc/26550460","WorldCat Record")</f>
        <v/>
      </c>
      <c r="AW629" t="inlineStr">
        <is>
          <t>28573880:eng</t>
        </is>
      </c>
      <c r="AX629" t="inlineStr">
        <is>
          <t>26550460</t>
        </is>
      </c>
      <c r="AY629" t="inlineStr">
        <is>
          <t>991001512289702656</t>
        </is>
      </c>
      <c r="AZ629" t="inlineStr">
        <is>
          <t>991001512289702656</t>
        </is>
      </c>
      <c r="BA629" t="inlineStr">
        <is>
          <t>2256199840002656</t>
        </is>
      </c>
      <c r="BB629" t="inlineStr">
        <is>
          <t>BOOK</t>
        </is>
      </c>
      <c r="BD629" t="inlineStr">
        <is>
          <t>9780849344879</t>
        </is>
      </c>
      <c r="BE629" t="inlineStr">
        <is>
          <t>30001002601039</t>
        </is>
      </c>
      <c r="BF629" t="inlineStr">
        <is>
          <t>893451286</t>
        </is>
      </c>
    </row>
    <row r="630">
      <c r="B630" t="inlineStr">
        <is>
          <t>CUHSL</t>
        </is>
      </c>
      <c r="C630" t="inlineStr">
        <is>
          <t>SHELVES</t>
        </is>
      </c>
      <c r="D630" t="inlineStr">
        <is>
          <t>QV 771 S756ga 1987</t>
        </is>
      </c>
      <c r="E630" t="inlineStr">
        <is>
          <t>0                      QV 0771000S  756ga       1987</t>
        </is>
      </c>
      <c r="F630" t="inlineStr">
        <is>
          <t>Guide to planning and managing multiple clinical studies / Bert Spilker.</t>
        </is>
      </c>
      <c r="H630" t="inlineStr">
        <is>
          <t>No</t>
        </is>
      </c>
      <c r="I630" t="inlineStr">
        <is>
          <t>1</t>
        </is>
      </c>
      <c r="J630" t="inlineStr">
        <is>
          <t>No</t>
        </is>
      </c>
      <c r="K630" t="inlineStr">
        <is>
          <t>No</t>
        </is>
      </c>
      <c r="L630" t="inlineStr">
        <is>
          <t>0</t>
        </is>
      </c>
      <c r="M630" t="inlineStr">
        <is>
          <t>Spilker, Bert.</t>
        </is>
      </c>
      <c r="N630" t="inlineStr">
        <is>
          <t>New York : Raven Press, c1987.</t>
        </is>
      </c>
      <c r="O630" t="inlineStr">
        <is>
          <t>1987</t>
        </is>
      </c>
      <c r="Q630" t="inlineStr">
        <is>
          <t>eng</t>
        </is>
      </c>
      <c r="R630" t="inlineStr">
        <is>
          <t>xxu</t>
        </is>
      </c>
      <c r="T630" t="inlineStr">
        <is>
          <t xml:space="preserve">QV </t>
        </is>
      </c>
      <c r="U630" t="n">
        <v>5</v>
      </c>
      <c r="V630" t="n">
        <v>5</v>
      </c>
      <c r="W630" t="inlineStr">
        <is>
          <t>1999-02-10</t>
        </is>
      </c>
      <c r="X630" t="inlineStr">
        <is>
          <t>1999-02-10</t>
        </is>
      </c>
      <c r="Y630" t="inlineStr">
        <is>
          <t>1988-02-04</t>
        </is>
      </c>
      <c r="Z630" t="inlineStr">
        <is>
          <t>1988-02-04</t>
        </is>
      </c>
      <c r="AA630" t="n">
        <v>142</v>
      </c>
      <c r="AB630" t="n">
        <v>110</v>
      </c>
      <c r="AC630" t="n">
        <v>110</v>
      </c>
      <c r="AD630" t="n">
        <v>1</v>
      </c>
      <c r="AE630" t="n">
        <v>1</v>
      </c>
      <c r="AF630" t="n">
        <v>3</v>
      </c>
      <c r="AG630" t="n">
        <v>3</v>
      </c>
      <c r="AH630" t="n">
        <v>0</v>
      </c>
      <c r="AI630" t="n">
        <v>0</v>
      </c>
      <c r="AJ630" t="n">
        <v>2</v>
      </c>
      <c r="AK630" t="n">
        <v>2</v>
      </c>
      <c r="AL630" t="n">
        <v>1</v>
      </c>
      <c r="AM630" t="n">
        <v>1</v>
      </c>
      <c r="AN630" t="n">
        <v>0</v>
      </c>
      <c r="AO630" t="n">
        <v>0</v>
      </c>
      <c r="AP630" t="n">
        <v>0</v>
      </c>
      <c r="AQ630" t="n">
        <v>0</v>
      </c>
      <c r="AR630" t="inlineStr">
        <is>
          <t>No</t>
        </is>
      </c>
      <c r="AS630" t="inlineStr">
        <is>
          <t>No</t>
        </is>
      </c>
      <c r="AU630">
        <f>HYPERLINK("https://creighton-primo.hosted.exlibrisgroup.com/primo-explore/search?tab=default_tab&amp;search_scope=EVERYTHING&amp;vid=01CRU&amp;lang=en_US&amp;offset=0&amp;query=any,contains,991001266899702656","Catalog Record")</f>
        <v/>
      </c>
      <c r="AV630">
        <f>HYPERLINK("http://www.worldcat.org/oclc/15018790","WorldCat Record")</f>
        <v/>
      </c>
      <c r="AW630" t="inlineStr">
        <is>
          <t>8613460:eng</t>
        </is>
      </c>
      <c r="AX630" t="inlineStr">
        <is>
          <t>15018790</t>
        </is>
      </c>
      <c r="AY630" t="inlineStr">
        <is>
          <t>991001266899702656</t>
        </is>
      </c>
      <c r="AZ630" t="inlineStr">
        <is>
          <t>991001266899702656</t>
        </is>
      </c>
      <c r="BA630" t="inlineStr">
        <is>
          <t>2256015380002656</t>
        </is>
      </c>
      <c r="BB630" t="inlineStr">
        <is>
          <t>BOOK</t>
        </is>
      </c>
      <c r="BD630" t="inlineStr">
        <is>
          <t>9780881672640</t>
        </is>
      </c>
      <c r="BE630" t="inlineStr">
        <is>
          <t>30001000353625</t>
        </is>
      </c>
      <c r="BF630" t="inlineStr">
        <is>
          <t>893560937</t>
        </is>
      </c>
    </row>
    <row r="631">
      <c r="B631" t="inlineStr">
        <is>
          <t>CUHSL</t>
        </is>
      </c>
      <c r="C631" t="inlineStr">
        <is>
          <t>SHELVES</t>
        </is>
      </c>
      <c r="D631" t="inlineStr">
        <is>
          <t>QV 771 S797 1990</t>
        </is>
      </c>
      <c r="E631" t="inlineStr">
        <is>
          <t>0                      QV 0771000S  797         1990</t>
        </is>
      </c>
      <c r="F631" t="inlineStr">
        <is>
          <t>Statistical issues in drug research and development / edited by Karl E. Peace.</t>
        </is>
      </c>
      <c r="H631" t="inlineStr">
        <is>
          <t>No</t>
        </is>
      </c>
      <c r="I631" t="inlineStr">
        <is>
          <t>1</t>
        </is>
      </c>
      <c r="J631" t="inlineStr">
        <is>
          <t>No</t>
        </is>
      </c>
      <c r="K631" t="inlineStr">
        <is>
          <t>No</t>
        </is>
      </c>
      <c r="L631" t="inlineStr">
        <is>
          <t>0</t>
        </is>
      </c>
      <c r="N631" t="inlineStr">
        <is>
          <t>New York : M. Dekker, c1990.</t>
        </is>
      </c>
      <c r="O631" t="inlineStr">
        <is>
          <t>1990</t>
        </is>
      </c>
      <c r="Q631" t="inlineStr">
        <is>
          <t>eng</t>
        </is>
      </c>
      <c r="R631" t="inlineStr">
        <is>
          <t>nyu</t>
        </is>
      </c>
      <c r="S631" t="inlineStr">
        <is>
          <t>Statistics, textbooks and monographs ; vol. 106.</t>
        </is>
      </c>
      <c r="T631" t="inlineStr">
        <is>
          <t xml:space="preserve">QV </t>
        </is>
      </c>
      <c r="U631" t="n">
        <v>9</v>
      </c>
      <c r="V631" t="n">
        <v>9</v>
      </c>
      <c r="W631" t="inlineStr">
        <is>
          <t>2001-10-17</t>
        </is>
      </c>
      <c r="X631" t="inlineStr">
        <is>
          <t>2001-10-17</t>
        </is>
      </c>
      <c r="Y631" t="inlineStr">
        <is>
          <t>1992-07-14</t>
        </is>
      </c>
      <c r="Z631" t="inlineStr">
        <is>
          <t>1992-07-14</t>
        </is>
      </c>
      <c r="AA631" t="n">
        <v>172</v>
      </c>
      <c r="AB631" t="n">
        <v>119</v>
      </c>
      <c r="AC631" t="n">
        <v>159</v>
      </c>
      <c r="AD631" t="n">
        <v>1</v>
      </c>
      <c r="AE631" t="n">
        <v>1</v>
      </c>
      <c r="AF631" t="n">
        <v>5</v>
      </c>
      <c r="AG631" t="n">
        <v>5</v>
      </c>
      <c r="AH631" t="n">
        <v>4</v>
      </c>
      <c r="AI631" t="n">
        <v>4</v>
      </c>
      <c r="AJ631" t="n">
        <v>2</v>
      </c>
      <c r="AK631" t="n">
        <v>2</v>
      </c>
      <c r="AL631" t="n">
        <v>0</v>
      </c>
      <c r="AM631" t="n">
        <v>0</v>
      </c>
      <c r="AN631" t="n">
        <v>0</v>
      </c>
      <c r="AO631" t="n">
        <v>0</v>
      </c>
      <c r="AP631" t="n">
        <v>0</v>
      </c>
      <c r="AQ631" t="n">
        <v>0</v>
      </c>
      <c r="AR631" t="inlineStr">
        <is>
          <t>No</t>
        </is>
      </c>
      <c r="AS631" t="inlineStr">
        <is>
          <t>No</t>
        </is>
      </c>
      <c r="AU631">
        <f>HYPERLINK("https://creighton-primo.hosted.exlibrisgroup.com/primo-explore/search?tab=default_tab&amp;search_scope=EVERYTHING&amp;vid=01CRU&amp;lang=en_US&amp;offset=0&amp;query=any,contains,991001305099702656","Catalog Record")</f>
        <v/>
      </c>
      <c r="AV631">
        <f>HYPERLINK("http://www.worldcat.org/oclc/20491808","WorldCat Record")</f>
        <v/>
      </c>
      <c r="AW631" t="inlineStr">
        <is>
          <t>10227282913:eng</t>
        </is>
      </c>
      <c r="AX631" t="inlineStr">
        <is>
          <t>20491808</t>
        </is>
      </c>
      <c r="AY631" t="inlineStr">
        <is>
          <t>991001305099702656</t>
        </is>
      </c>
      <c r="AZ631" t="inlineStr">
        <is>
          <t>991001305099702656</t>
        </is>
      </c>
      <c r="BA631" t="inlineStr">
        <is>
          <t>2267267160002656</t>
        </is>
      </c>
      <c r="BB631" t="inlineStr">
        <is>
          <t>BOOK</t>
        </is>
      </c>
      <c r="BD631" t="inlineStr">
        <is>
          <t>9780824782900</t>
        </is>
      </c>
      <c r="BE631" t="inlineStr">
        <is>
          <t>30001002413476</t>
        </is>
      </c>
      <c r="BF631" t="inlineStr">
        <is>
          <t>893168126</t>
        </is>
      </c>
    </row>
    <row r="632">
      <c r="B632" t="inlineStr">
        <is>
          <t>CUHSL</t>
        </is>
      </c>
      <c r="C632" t="inlineStr">
        <is>
          <t>SHELVES</t>
        </is>
      </c>
      <c r="D632" t="inlineStr">
        <is>
          <t>QV 772 A287h 1992</t>
        </is>
      </c>
      <c r="E632" t="inlineStr">
        <is>
          <t>0                      QV 0772000A  287h        1992</t>
        </is>
      </c>
      <c r="F632" t="inlineStr">
        <is>
          <t>Handbook of prescribing medications for geriatric patients / Judith C. Ahronheim.</t>
        </is>
      </c>
      <c r="H632" t="inlineStr">
        <is>
          <t>No</t>
        </is>
      </c>
      <c r="I632" t="inlineStr">
        <is>
          <t>1</t>
        </is>
      </c>
      <c r="J632" t="inlineStr">
        <is>
          <t>No</t>
        </is>
      </c>
      <c r="K632" t="inlineStr">
        <is>
          <t>No</t>
        </is>
      </c>
      <c r="L632" t="inlineStr">
        <is>
          <t>0</t>
        </is>
      </c>
      <c r="M632" t="inlineStr">
        <is>
          <t>Ahronheim, Judith C.</t>
        </is>
      </c>
      <c r="N632" t="inlineStr">
        <is>
          <t>Boston : Little, Brown and Company, c1992.</t>
        </is>
      </c>
      <c r="O632" t="inlineStr">
        <is>
          <t>1992</t>
        </is>
      </c>
      <c r="P632" t="inlineStr">
        <is>
          <t>1st ed.</t>
        </is>
      </c>
      <c r="Q632" t="inlineStr">
        <is>
          <t>eng</t>
        </is>
      </c>
      <c r="R632" t="inlineStr">
        <is>
          <t>mau</t>
        </is>
      </c>
      <c r="T632" t="inlineStr">
        <is>
          <t xml:space="preserve">QV </t>
        </is>
      </c>
      <c r="U632" t="n">
        <v>8</v>
      </c>
      <c r="V632" t="n">
        <v>8</v>
      </c>
      <c r="W632" t="inlineStr">
        <is>
          <t>2001-08-17</t>
        </is>
      </c>
      <c r="X632" t="inlineStr">
        <is>
          <t>2001-08-17</t>
        </is>
      </c>
      <c r="Y632" t="inlineStr">
        <is>
          <t>1992-08-06</t>
        </is>
      </c>
      <c r="Z632" t="inlineStr">
        <is>
          <t>1992-08-06</t>
        </is>
      </c>
      <c r="AA632" t="n">
        <v>98</v>
      </c>
      <c r="AB632" t="n">
        <v>79</v>
      </c>
      <c r="AC632" t="n">
        <v>81</v>
      </c>
      <c r="AD632" t="n">
        <v>1</v>
      </c>
      <c r="AE632" t="n">
        <v>1</v>
      </c>
      <c r="AF632" t="n">
        <v>2</v>
      </c>
      <c r="AG632" t="n">
        <v>2</v>
      </c>
      <c r="AH632" t="n">
        <v>0</v>
      </c>
      <c r="AI632" t="n">
        <v>0</v>
      </c>
      <c r="AJ632" t="n">
        <v>1</v>
      </c>
      <c r="AK632" t="n">
        <v>1</v>
      </c>
      <c r="AL632" t="n">
        <v>2</v>
      </c>
      <c r="AM632" t="n">
        <v>2</v>
      </c>
      <c r="AN632" t="n">
        <v>0</v>
      </c>
      <c r="AO632" t="n">
        <v>0</v>
      </c>
      <c r="AP632" t="n">
        <v>0</v>
      </c>
      <c r="AQ632" t="n">
        <v>0</v>
      </c>
      <c r="AR632" t="inlineStr">
        <is>
          <t>No</t>
        </is>
      </c>
      <c r="AS632" t="inlineStr">
        <is>
          <t>Yes</t>
        </is>
      </c>
      <c r="AT632">
        <f>HYPERLINK("http://catalog.hathitrust.org/Record/002549936","HathiTrust Record")</f>
        <v/>
      </c>
      <c r="AU632">
        <f>HYPERLINK("https://creighton-primo.hosted.exlibrisgroup.com/primo-explore/search?tab=default_tab&amp;search_scope=EVERYTHING&amp;vid=01CRU&amp;lang=en_US&amp;offset=0&amp;query=any,contains,991001307949702656","Catalog Record")</f>
        <v/>
      </c>
      <c r="AV632">
        <f>HYPERLINK("http://www.worldcat.org/oclc/24889759","WorldCat Record")</f>
        <v/>
      </c>
      <c r="AW632" t="inlineStr">
        <is>
          <t>44002162:eng</t>
        </is>
      </c>
      <c r="AX632" t="inlineStr">
        <is>
          <t>24889759</t>
        </is>
      </c>
      <c r="AY632" t="inlineStr">
        <is>
          <t>991001307949702656</t>
        </is>
      </c>
      <c r="AZ632" t="inlineStr">
        <is>
          <t>991001307949702656</t>
        </is>
      </c>
      <c r="BA632" t="inlineStr">
        <is>
          <t>2264303700002656</t>
        </is>
      </c>
      <c r="BB632" t="inlineStr">
        <is>
          <t>BOOK</t>
        </is>
      </c>
      <c r="BD632" t="inlineStr">
        <is>
          <t>9780316020428</t>
        </is>
      </c>
      <c r="BE632" t="inlineStr">
        <is>
          <t>30001002414995</t>
        </is>
      </c>
      <c r="BF632" t="inlineStr">
        <is>
          <t>893743723</t>
        </is>
      </c>
    </row>
    <row r="633">
      <c r="B633" t="inlineStr">
        <is>
          <t>CUHSL</t>
        </is>
      </c>
      <c r="C633" t="inlineStr">
        <is>
          <t>SHELVES</t>
        </is>
      </c>
      <c r="D633" t="inlineStr">
        <is>
          <t>QV772 A968p 2003</t>
        </is>
      </c>
      <c r="E633" t="inlineStr">
        <is>
          <t>0                      QV 0772000A  968p        2003</t>
        </is>
      </c>
      <c r="F633" t="inlineStr">
        <is>
          <t>Prehospital providers' guide to medication / Alan J. Azzara ; medical consultant, Matthew Sleeth with contributions by Sarah Mosher Skolfield.</t>
        </is>
      </c>
      <c r="H633" t="inlineStr">
        <is>
          <t>No</t>
        </is>
      </c>
      <c r="I633" t="inlineStr">
        <is>
          <t>1</t>
        </is>
      </c>
      <c r="J633" t="inlineStr">
        <is>
          <t>No</t>
        </is>
      </c>
      <c r="K633" t="inlineStr">
        <is>
          <t>No</t>
        </is>
      </c>
      <c r="L633" t="inlineStr">
        <is>
          <t>0</t>
        </is>
      </c>
      <c r="M633" t="inlineStr">
        <is>
          <t>Azzara, Alan J.</t>
        </is>
      </c>
      <c r="N633" t="inlineStr">
        <is>
          <t>St. Louis, Mo. : MosbyJems, 2003.</t>
        </is>
      </c>
      <c r="O633" t="inlineStr">
        <is>
          <t>2003</t>
        </is>
      </c>
      <c r="Q633" t="inlineStr">
        <is>
          <t>eng</t>
        </is>
      </c>
      <c r="R633" t="inlineStr">
        <is>
          <t>mou</t>
        </is>
      </c>
      <c r="T633" t="inlineStr">
        <is>
          <t xml:space="preserve">QV </t>
        </is>
      </c>
      <c r="U633" t="n">
        <v>4</v>
      </c>
      <c r="V633" t="n">
        <v>4</v>
      </c>
      <c r="W633" t="inlineStr">
        <is>
          <t>2007-06-04</t>
        </is>
      </c>
      <c r="X633" t="inlineStr">
        <is>
          <t>2007-06-04</t>
        </is>
      </c>
      <c r="Y633" t="inlineStr">
        <is>
          <t>2003-06-30</t>
        </is>
      </c>
      <c r="Z633" t="inlineStr">
        <is>
          <t>2003-06-30</t>
        </is>
      </c>
      <c r="AA633" t="n">
        <v>50</v>
      </c>
      <c r="AB633" t="n">
        <v>40</v>
      </c>
      <c r="AC633" t="n">
        <v>75</v>
      </c>
      <c r="AD633" t="n">
        <v>1</v>
      </c>
      <c r="AE633" t="n">
        <v>1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inlineStr">
        <is>
          <t>No</t>
        </is>
      </c>
      <c r="AS633" t="inlineStr">
        <is>
          <t>Yes</t>
        </is>
      </c>
      <c r="AT633">
        <f>HYPERLINK("http://catalog.hathitrust.org/Record/004325127","HathiTrust Record")</f>
        <v/>
      </c>
      <c r="AU633">
        <f>HYPERLINK("https://creighton-primo.hosted.exlibrisgroup.com/primo-explore/search?tab=default_tab&amp;search_scope=EVERYTHING&amp;vid=01CRU&amp;lang=en_US&amp;offset=0&amp;query=any,contains,991000352529702656","Catalog Record")</f>
        <v/>
      </c>
      <c r="AV633">
        <f>HYPERLINK("http://www.worldcat.org/oclc/52337451","WorldCat Record")</f>
        <v/>
      </c>
      <c r="AW633" t="inlineStr">
        <is>
          <t>679714:eng</t>
        </is>
      </c>
      <c r="AX633" t="inlineStr">
        <is>
          <t>52337451</t>
        </is>
      </c>
      <c r="AY633" t="inlineStr">
        <is>
          <t>991000352529702656</t>
        </is>
      </c>
      <c r="AZ633" t="inlineStr">
        <is>
          <t>991000352529702656</t>
        </is>
      </c>
      <c r="BA633" t="inlineStr">
        <is>
          <t>2257089060002656</t>
        </is>
      </c>
      <c r="BB633" t="inlineStr">
        <is>
          <t>BOOK</t>
        </is>
      </c>
      <c r="BD633" t="inlineStr">
        <is>
          <t>9780323024402</t>
        </is>
      </c>
      <c r="BE633" t="inlineStr">
        <is>
          <t>30001004504843</t>
        </is>
      </c>
      <c r="BF633" t="inlineStr">
        <is>
          <t>893370406</t>
        </is>
      </c>
    </row>
    <row r="634">
      <c r="B634" t="inlineStr">
        <is>
          <t>CUHSL</t>
        </is>
      </c>
      <c r="C634" t="inlineStr">
        <is>
          <t>SHELVES</t>
        </is>
      </c>
      <c r="D634" t="inlineStr">
        <is>
          <t>QV 772 C737 1992</t>
        </is>
      </c>
      <c r="E634" t="inlineStr">
        <is>
          <t>0                      QV 0772000C  737         1992</t>
        </is>
      </c>
      <c r="F634" t="inlineStr">
        <is>
          <t>Compendium of pharmaceuticals and specialties / editor-in-chief, Carmen M.E. Krogh.</t>
        </is>
      </c>
      <c r="H634" t="inlineStr">
        <is>
          <t>No</t>
        </is>
      </c>
      <c r="I634" t="inlineStr">
        <is>
          <t>1</t>
        </is>
      </c>
      <c r="J634" t="inlineStr">
        <is>
          <t>No</t>
        </is>
      </c>
      <c r="K634" t="inlineStr">
        <is>
          <t>No</t>
        </is>
      </c>
      <c r="L634" t="inlineStr">
        <is>
          <t>0</t>
        </is>
      </c>
      <c r="N634" t="inlineStr">
        <is>
          <t>Ottawa, Ont., Canada : Canadian Pharmaceutical Association, 1992.</t>
        </is>
      </c>
      <c r="O634" t="inlineStr">
        <is>
          <t>1992</t>
        </is>
      </c>
      <c r="P634" t="inlineStr">
        <is>
          <t>27th ed.</t>
        </is>
      </c>
      <c r="Q634" t="inlineStr">
        <is>
          <t>eng</t>
        </is>
      </c>
      <c r="R634" t="inlineStr">
        <is>
          <t>onc</t>
        </is>
      </c>
      <c r="T634" t="inlineStr">
        <is>
          <t xml:space="preserve">QV </t>
        </is>
      </c>
      <c r="U634" t="n">
        <v>7</v>
      </c>
      <c r="V634" t="n">
        <v>7</v>
      </c>
      <c r="W634" t="inlineStr">
        <is>
          <t>1992-09-16</t>
        </is>
      </c>
      <c r="X634" t="inlineStr">
        <is>
          <t>1992-09-16</t>
        </is>
      </c>
      <c r="Y634" t="inlineStr">
        <is>
          <t>1992-09-09</t>
        </is>
      </c>
      <c r="Z634" t="inlineStr">
        <is>
          <t>1992-09-09</t>
        </is>
      </c>
      <c r="AA634" t="n">
        <v>9</v>
      </c>
      <c r="AB634" t="n">
        <v>8</v>
      </c>
      <c r="AC634" t="n">
        <v>8</v>
      </c>
      <c r="AD634" t="n">
        <v>1</v>
      </c>
      <c r="AE634" t="n">
        <v>1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inlineStr">
        <is>
          <t>No</t>
        </is>
      </c>
      <c r="AS634" t="inlineStr">
        <is>
          <t>No</t>
        </is>
      </c>
      <c r="AU634">
        <f>HYPERLINK("https://creighton-primo.hosted.exlibrisgroup.com/primo-explore/search?tab=default_tab&amp;search_scope=EVERYTHING&amp;vid=01CRU&amp;lang=en_US&amp;offset=0&amp;query=any,contains,991001341649702656","Catalog Record")</f>
        <v/>
      </c>
      <c r="AV634">
        <f>HYPERLINK("http://www.worldcat.org/oclc/26203223","WorldCat Record")</f>
        <v/>
      </c>
      <c r="AW634" t="inlineStr">
        <is>
          <t>2452645418:eng</t>
        </is>
      </c>
      <c r="AX634" t="inlineStr">
        <is>
          <t>26203223</t>
        </is>
      </c>
      <c r="AY634" t="inlineStr">
        <is>
          <t>991001341649702656</t>
        </is>
      </c>
      <c r="AZ634" t="inlineStr">
        <is>
          <t>991001341649702656</t>
        </is>
      </c>
      <c r="BA634" t="inlineStr">
        <is>
          <t>2266696420002656</t>
        </is>
      </c>
      <c r="BB634" t="inlineStr">
        <is>
          <t>BOOK</t>
        </is>
      </c>
      <c r="BD634" t="inlineStr">
        <is>
          <t>9780919115316</t>
        </is>
      </c>
      <c r="BE634" t="inlineStr">
        <is>
          <t>30001002455964</t>
        </is>
      </c>
      <c r="BF634" t="inlineStr">
        <is>
          <t>893821131</t>
        </is>
      </c>
    </row>
    <row r="635">
      <c r="B635" t="inlineStr">
        <is>
          <t>CUHSL</t>
        </is>
      </c>
      <c r="C635" t="inlineStr">
        <is>
          <t>SHELVES</t>
        </is>
      </c>
      <c r="D635" t="inlineStr">
        <is>
          <t>QV 772 C976 1984-86</t>
        </is>
      </c>
      <c r="E635" t="inlineStr">
        <is>
          <t>0                      QV 0772000C  976         1984                                        -86</t>
        </is>
      </c>
      <c r="F635" t="inlineStr">
        <is>
          <t>Current drug handbook 1984-1986 / H. Robert Patterson, Edward A. Gustafson, Eleanor Sidor Sheridan.</t>
        </is>
      </c>
      <c r="H635" t="inlineStr">
        <is>
          <t>No</t>
        </is>
      </c>
      <c r="I635" t="inlineStr">
        <is>
          <t>1</t>
        </is>
      </c>
      <c r="J635" t="inlineStr">
        <is>
          <t>No</t>
        </is>
      </c>
      <c r="K635" t="inlineStr">
        <is>
          <t>No</t>
        </is>
      </c>
      <c r="L635" t="inlineStr">
        <is>
          <t>0</t>
        </is>
      </c>
      <c r="N635" t="inlineStr">
        <is>
          <t>Philadelphia : W.B. Saunders, c1984.</t>
        </is>
      </c>
      <c r="O635" t="inlineStr">
        <is>
          <t>1984</t>
        </is>
      </c>
      <c r="Q635" t="inlineStr">
        <is>
          <t>eng</t>
        </is>
      </c>
      <c r="R635" t="inlineStr">
        <is>
          <t>pau</t>
        </is>
      </c>
      <c r="T635" t="inlineStr">
        <is>
          <t xml:space="preserve">QV </t>
        </is>
      </c>
      <c r="U635" t="n">
        <v>3</v>
      </c>
      <c r="V635" t="n">
        <v>3</v>
      </c>
      <c r="W635" t="inlineStr">
        <is>
          <t>1994-04-28</t>
        </is>
      </c>
      <c r="X635" t="inlineStr">
        <is>
          <t>1994-04-28</t>
        </is>
      </c>
      <c r="Y635" t="inlineStr">
        <is>
          <t>1987-12-11</t>
        </is>
      </c>
      <c r="Z635" t="inlineStr">
        <is>
          <t>1987-12-11</t>
        </is>
      </c>
      <c r="AA635" t="n">
        <v>65</v>
      </c>
      <c r="AB635" t="n">
        <v>48</v>
      </c>
      <c r="AC635" t="n">
        <v>48</v>
      </c>
      <c r="AD635" t="n">
        <v>1</v>
      </c>
      <c r="AE635" t="n">
        <v>1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inlineStr">
        <is>
          <t>No</t>
        </is>
      </c>
      <c r="AS635" t="inlineStr">
        <is>
          <t>No</t>
        </is>
      </c>
      <c r="AU635">
        <f>HYPERLINK("https://creighton-primo.hosted.exlibrisgroup.com/primo-explore/search?tab=default_tab&amp;search_scope=EVERYTHING&amp;vid=01CRU&amp;lang=en_US&amp;offset=0&amp;query=any,contains,991001282219702656","Catalog Record")</f>
        <v/>
      </c>
      <c r="AV635">
        <f>HYPERLINK("http://www.worldcat.org/oclc/9827818","WorldCat Record")</f>
        <v/>
      </c>
      <c r="AW635" t="inlineStr">
        <is>
          <t>43230057:eng</t>
        </is>
      </c>
      <c r="AX635" t="inlineStr">
        <is>
          <t>9827818</t>
        </is>
      </c>
      <c r="AY635" t="inlineStr">
        <is>
          <t>991001282219702656</t>
        </is>
      </c>
      <c r="AZ635" t="inlineStr">
        <is>
          <t>991001282219702656</t>
        </is>
      </c>
      <c r="BA635" t="inlineStr">
        <is>
          <t>2269080710002656</t>
        </is>
      </c>
      <c r="BB635" t="inlineStr">
        <is>
          <t>BOOK</t>
        </is>
      </c>
      <c r="BD635" t="inlineStr">
        <is>
          <t>9780721612232</t>
        </is>
      </c>
      <c r="BE635" t="inlineStr">
        <is>
          <t>30001000369662</t>
        </is>
      </c>
      <c r="BF635" t="inlineStr">
        <is>
          <t>893369286</t>
        </is>
      </c>
    </row>
    <row r="636">
      <c r="B636" t="inlineStr">
        <is>
          <t>CUHSL</t>
        </is>
      </c>
      <c r="C636" t="inlineStr">
        <is>
          <t>SHELVES</t>
        </is>
      </c>
      <c r="D636" t="inlineStr">
        <is>
          <t>QV 772 H236 1969</t>
        </is>
      </c>
      <c r="E636" t="inlineStr">
        <is>
          <t>0                      QV 0772000H  236         1969</t>
        </is>
      </c>
      <c r="F636" t="inlineStr">
        <is>
          <t>Handbook of non-prescription drugs / George B. Griffenhagen and Linda L. Hawkins.</t>
        </is>
      </c>
      <c r="H636" t="inlineStr">
        <is>
          <t>No</t>
        </is>
      </c>
      <c r="I636" t="inlineStr">
        <is>
          <t>1</t>
        </is>
      </c>
      <c r="J636" t="inlineStr">
        <is>
          <t>No</t>
        </is>
      </c>
      <c r="K636" t="inlineStr">
        <is>
          <t>Yes</t>
        </is>
      </c>
      <c r="L636" t="inlineStr">
        <is>
          <t>0</t>
        </is>
      </c>
      <c r="N636" t="inlineStr">
        <is>
          <t>Washington : American Pharmaceutical Association, [c1971]</t>
        </is>
      </c>
      <c r="O636" t="inlineStr">
        <is>
          <t>1971</t>
        </is>
      </c>
      <c r="P636" t="inlineStr">
        <is>
          <t>1971 ed.</t>
        </is>
      </c>
      <c r="Q636" t="inlineStr">
        <is>
          <t>eng</t>
        </is>
      </c>
      <c r="R636" t="inlineStr">
        <is>
          <t xml:space="preserve">xx </t>
        </is>
      </c>
      <c r="T636" t="inlineStr">
        <is>
          <t xml:space="preserve">QV </t>
        </is>
      </c>
      <c r="U636" t="n">
        <v>0</v>
      </c>
      <c r="V636" t="n">
        <v>0</v>
      </c>
      <c r="W636" t="inlineStr">
        <is>
          <t>2010-03-08</t>
        </is>
      </c>
      <c r="X636" t="inlineStr">
        <is>
          <t>2010-03-08</t>
        </is>
      </c>
      <c r="Y636" t="inlineStr">
        <is>
          <t>1988-03-25</t>
        </is>
      </c>
      <c r="Z636" t="inlineStr">
        <is>
          <t>1988-03-25</t>
        </is>
      </c>
      <c r="AA636" t="n">
        <v>51</v>
      </c>
      <c r="AB636" t="n">
        <v>46</v>
      </c>
      <c r="AC636" t="n">
        <v>393</v>
      </c>
      <c r="AD636" t="n">
        <v>1</v>
      </c>
      <c r="AE636" t="n">
        <v>1</v>
      </c>
      <c r="AF636" t="n">
        <v>1</v>
      </c>
      <c r="AG636" t="n">
        <v>6</v>
      </c>
      <c r="AH636" t="n">
        <v>0</v>
      </c>
      <c r="AI636" t="n">
        <v>2</v>
      </c>
      <c r="AJ636" t="n">
        <v>1</v>
      </c>
      <c r="AK636" t="n">
        <v>2</v>
      </c>
      <c r="AL636" t="n">
        <v>0</v>
      </c>
      <c r="AM636" t="n">
        <v>3</v>
      </c>
      <c r="AN636" t="n">
        <v>0</v>
      </c>
      <c r="AO636" t="n">
        <v>0</v>
      </c>
      <c r="AP636" t="n">
        <v>0</v>
      </c>
      <c r="AQ636" t="n">
        <v>0</v>
      </c>
      <c r="AR636" t="inlineStr">
        <is>
          <t>No</t>
        </is>
      </c>
      <c r="AS636" t="inlineStr">
        <is>
          <t>No</t>
        </is>
      </c>
      <c r="AU636">
        <f>HYPERLINK("https://creighton-primo.hosted.exlibrisgroup.com/primo-explore/search?tab=default_tab&amp;search_scope=EVERYTHING&amp;vid=01CRU&amp;lang=en_US&amp;offset=0&amp;query=any,contains,991000992549702656","Catalog Record")</f>
        <v/>
      </c>
      <c r="AV636">
        <f>HYPERLINK("http://www.worldcat.org/oclc/424524","WorldCat Record")</f>
        <v/>
      </c>
      <c r="AW636" t="inlineStr">
        <is>
          <t>4916100595:eng</t>
        </is>
      </c>
      <c r="AX636" t="inlineStr">
        <is>
          <t>424524</t>
        </is>
      </c>
      <c r="AY636" t="inlineStr">
        <is>
          <t>991000992549702656</t>
        </is>
      </c>
      <c r="AZ636" t="inlineStr">
        <is>
          <t>991000992549702656</t>
        </is>
      </c>
      <c r="BA636" t="inlineStr">
        <is>
          <t>2268347710002656</t>
        </is>
      </c>
      <c r="BB636" t="inlineStr">
        <is>
          <t>BOOK</t>
        </is>
      </c>
      <c r="BE636" t="inlineStr">
        <is>
          <t>30001000226128</t>
        </is>
      </c>
      <c r="BF636" t="inlineStr">
        <is>
          <t>893820829</t>
        </is>
      </c>
    </row>
    <row r="637">
      <c r="B637" t="inlineStr">
        <is>
          <t>CUHSL</t>
        </is>
      </c>
      <c r="C637" t="inlineStr">
        <is>
          <t>SHELVES</t>
        </is>
      </c>
      <c r="D637" t="inlineStr">
        <is>
          <t>QV 772 H236 1973</t>
        </is>
      </c>
      <c r="E637" t="inlineStr">
        <is>
          <t>0                      QV 0772000H  236         1973</t>
        </is>
      </c>
      <c r="F637" t="inlineStr">
        <is>
          <t>Handbook of non-prescription drugs / George B. Griffenhagen and Linda L. Hawkins.</t>
        </is>
      </c>
      <c r="H637" t="inlineStr">
        <is>
          <t>No</t>
        </is>
      </c>
      <c r="I637" t="inlineStr">
        <is>
          <t>1</t>
        </is>
      </c>
      <c r="J637" t="inlineStr">
        <is>
          <t>No</t>
        </is>
      </c>
      <c r="K637" t="inlineStr">
        <is>
          <t>Yes</t>
        </is>
      </c>
      <c r="L637" t="inlineStr">
        <is>
          <t>0</t>
        </is>
      </c>
      <c r="N637" t="inlineStr">
        <is>
          <t>Washington : American Pharmaceutical Association, [c1973]</t>
        </is>
      </c>
      <c r="O637" t="inlineStr">
        <is>
          <t>1973</t>
        </is>
      </c>
      <c r="P637" t="inlineStr">
        <is>
          <t>1973 ed.</t>
        </is>
      </c>
      <c r="Q637" t="inlineStr">
        <is>
          <t>eng</t>
        </is>
      </c>
      <c r="R637" t="inlineStr">
        <is>
          <t xml:space="preserve">xx </t>
        </is>
      </c>
      <c r="T637" t="inlineStr">
        <is>
          <t xml:space="preserve">QV </t>
        </is>
      </c>
      <c r="U637" t="n">
        <v>1</v>
      </c>
      <c r="V637" t="n">
        <v>1</v>
      </c>
      <c r="W637" t="inlineStr">
        <is>
          <t>2002-04-25</t>
        </is>
      </c>
      <c r="X637" t="inlineStr">
        <is>
          <t>2002-04-25</t>
        </is>
      </c>
      <c r="Y637" t="inlineStr">
        <is>
          <t>1988-03-25</t>
        </is>
      </c>
      <c r="Z637" t="inlineStr">
        <is>
          <t>1988-03-25</t>
        </is>
      </c>
      <c r="AA637" t="n">
        <v>48</v>
      </c>
      <c r="AB637" t="n">
        <v>41</v>
      </c>
      <c r="AC637" t="n">
        <v>393</v>
      </c>
      <c r="AD637" t="n">
        <v>1</v>
      </c>
      <c r="AE637" t="n">
        <v>1</v>
      </c>
      <c r="AF637" t="n">
        <v>0</v>
      </c>
      <c r="AG637" t="n">
        <v>6</v>
      </c>
      <c r="AH637" t="n">
        <v>0</v>
      </c>
      <c r="AI637" t="n">
        <v>2</v>
      </c>
      <c r="AJ637" t="n">
        <v>0</v>
      </c>
      <c r="AK637" t="n">
        <v>2</v>
      </c>
      <c r="AL637" t="n">
        <v>0</v>
      </c>
      <c r="AM637" t="n">
        <v>3</v>
      </c>
      <c r="AN637" t="n">
        <v>0</v>
      </c>
      <c r="AO637" t="n">
        <v>0</v>
      </c>
      <c r="AP637" t="n">
        <v>0</v>
      </c>
      <c r="AQ637" t="n">
        <v>0</v>
      </c>
      <c r="AR637" t="inlineStr">
        <is>
          <t>No</t>
        </is>
      </c>
      <c r="AS637" t="inlineStr">
        <is>
          <t>No</t>
        </is>
      </c>
      <c r="AU637">
        <f>HYPERLINK("https://creighton-primo.hosted.exlibrisgroup.com/primo-explore/search?tab=default_tab&amp;search_scope=EVERYTHING&amp;vid=01CRU&amp;lang=en_US&amp;offset=0&amp;query=any,contains,991000992499702656","Catalog Record")</f>
        <v/>
      </c>
      <c r="AV637">
        <f>HYPERLINK("http://www.worldcat.org/oclc/927241","WorldCat Record")</f>
        <v/>
      </c>
      <c r="AW637" t="inlineStr">
        <is>
          <t>4916100595:eng</t>
        </is>
      </c>
      <c r="AX637" t="inlineStr">
        <is>
          <t>927241</t>
        </is>
      </c>
      <c r="AY637" t="inlineStr">
        <is>
          <t>991000992499702656</t>
        </is>
      </c>
      <c r="AZ637" t="inlineStr">
        <is>
          <t>991000992499702656</t>
        </is>
      </c>
      <c r="BA637" t="inlineStr">
        <is>
          <t>2266584310002656</t>
        </is>
      </c>
      <c r="BB637" t="inlineStr">
        <is>
          <t>BOOK</t>
        </is>
      </c>
      <c r="BE637" t="inlineStr">
        <is>
          <t>30001000226110</t>
        </is>
      </c>
      <c r="BF637" t="inlineStr">
        <is>
          <t>893643118</t>
        </is>
      </c>
    </row>
    <row r="638">
      <c r="B638" t="inlineStr">
        <is>
          <t>CUHSL</t>
        </is>
      </c>
      <c r="C638" t="inlineStr">
        <is>
          <t>SHELVES</t>
        </is>
      </c>
      <c r="D638" t="inlineStr">
        <is>
          <t>QV 772 L693n 1990</t>
        </is>
      </c>
      <c r="E638" t="inlineStr">
        <is>
          <t>0                      QV 0772000L  693n        1990</t>
        </is>
      </c>
      <c r="F638" t="inlineStr">
        <is>
          <t>Non-prescription drugs / Alain Li Wan Po.</t>
        </is>
      </c>
      <c r="H638" t="inlineStr">
        <is>
          <t>No</t>
        </is>
      </c>
      <c r="I638" t="inlineStr">
        <is>
          <t>1</t>
        </is>
      </c>
      <c r="J638" t="inlineStr">
        <is>
          <t>No</t>
        </is>
      </c>
      <c r="K638" t="inlineStr">
        <is>
          <t>No</t>
        </is>
      </c>
      <c r="L638" t="inlineStr">
        <is>
          <t>0</t>
        </is>
      </c>
      <c r="M638" t="inlineStr">
        <is>
          <t>Li, Alain Wan Po.</t>
        </is>
      </c>
      <c r="N638" t="inlineStr">
        <is>
          <t>Oxford ; London : Blackwell Scientific, c1990.</t>
        </is>
      </c>
      <c r="O638" t="inlineStr">
        <is>
          <t>1990</t>
        </is>
      </c>
      <c r="P638" t="inlineStr">
        <is>
          <t>2nd ed.</t>
        </is>
      </c>
      <c r="Q638" t="inlineStr">
        <is>
          <t>eng</t>
        </is>
      </c>
      <c r="R638" t="inlineStr">
        <is>
          <t>enk</t>
        </is>
      </c>
      <c r="T638" t="inlineStr">
        <is>
          <t xml:space="preserve">QV </t>
        </is>
      </c>
      <c r="U638" t="n">
        <v>11</v>
      </c>
      <c r="V638" t="n">
        <v>11</v>
      </c>
      <c r="W638" t="inlineStr">
        <is>
          <t>1998-12-06</t>
        </is>
      </c>
      <c r="X638" t="inlineStr">
        <is>
          <t>1998-12-06</t>
        </is>
      </c>
      <c r="Y638" t="inlineStr">
        <is>
          <t>1991-01-24</t>
        </is>
      </c>
      <c r="Z638" t="inlineStr">
        <is>
          <t>1991-01-24</t>
        </is>
      </c>
      <c r="AA638" t="n">
        <v>75</v>
      </c>
      <c r="AB638" t="n">
        <v>31</v>
      </c>
      <c r="AC638" t="n">
        <v>62</v>
      </c>
      <c r="AD638" t="n">
        <v>1</v>
      </c>
      <c r="AE638" t="n">
        <v>1</v>
      </c>
      <c r="AF638" t="n">
        <v>0</v>
      </c>
      <c r="AG638" t="n">
        <v>1</v>
      </c>
      <c r="AH638" t="n">
        <v>0</v>
      </c>
      <c r="AI638" t="n">
        <v>1</v>
      </c>
      <c r="AJ638" t="n">
        <v>0</v>
      </c>
      <c r="AK638" t="n">
        <v>0</v>
      </c>
      <c r="AL638" t="n">
        <v>0</v>
      </c>
      <c r="AM638" t="n">
        <v>0</v>
      </c>
      <c r="AN638" t="n">
        <v>0</v>
      </c>
      <c r="AO638" t="n">
        <v>0</v>
      </c>
      <c r="AP638" t="n">
        <v>0</v>
      </c>
      <c r="AQ638" t="n">
        <v>0</v>
      </c>
      <c r="AR638" t="inlineStr">
        <is>
          <t>No</t>
        </is>
      </c>
      <c r="AS638" t="inlineStr">
        <is>
          <t>No</t>
        </is>
      </c>
      <c r="AU638">
        <f>HYPERLINK("https://creighton-primo.hosted.exlibrisgroup.com/primo-explore/search?tab=default_tab&amp;search_scope=EVERYTHING&amp;vid=01CRU&amp;lang=en_US&amp;offset=0&amp;query=any,contains,991000815939702656","Catalog Record")</f>
        <v/>
      </c>
      <c r="AV638">
        <f>HYPERLINK("http://www.worldcat.org/oclc/23256714","WorldCat Record")</f>
        <v/>
      </c>
      <c r="AW638" t="inlineStr">
        <is>
          <t>3233524:eng</t>
        </is>
      </c>
      <c r="AX638" t="inlineStr">
        <is>
          <t>23256714</t>
        </is>
      </c>
      <c r="AY638" t="inlineStr">
        <is>
          <t>991000815939702656</t>
        </is>
      </c>
      <c r="AZ638" t="inlineStr">
        <is>
          <t>991000815939702656</t>
        </is>
      </c>
      <c r="BA638" t="inlineStr">
        <is>
          <t>2257922520002656</t>
        </is>
      </c>
      <c r="BB638" t="inlineStr">
        <is>
          <t>BOOK</t>
        </is>
      </c>
      <c r="BD638" t="inlineStr">
        <is>
          <t>9780632026722</t>
        </is>
      </c>
      <c r="BE638" t="inlineStr">
        <is>
          <t>30001002086314</t>
        </is>
      </c>
      <c r="BF638" t="inlineStr">
        <is>
          <t>893560668</t>
        </is>
      </c>
    </row>
    <row r="639">
      <c r="B639" t="inlineStr">
        <is>
          <t>CUHSL</t>
        </is>
      </c>
      <c r="C639" t="inlineStr">
        <is>
          <t>SHELVES</t>
        </is>
      </c>
      <c r="D639" t="inlineStr">
        <is>
          <t>QV 772 L693o 1992</t>
        </is>
      </c>
      <c r="E639" t="inlineStr">
        <is>
          <t>0                      QV 0772000L  693o        1992</t>
        </is>
      </c>
      <c r="F639" t="inlineStr">
        <is>
          <t>OTC medications : symptoms and treatments of common illnesses / A. Li Wan Po and G. Li Wan Po.</t>
        </is>
      </c>
      <c r="H639" t="inlineStr">
        <is>
          <t>No</t>
        </is>
      </c>
      <c r="I639" t="inlineStr">
        <is>
          <t>1</t>
        </is>
      </c>
      <c r="J639" t="inlineStr">
        <is>
          <t>No</t>
        </is>
      </c>
      <c r="K639" t="inlineStr">
        <is>
          <t>No</t>
        </is>
      </c>
      <c r="L639" t="inlineStr">
        <is>
          <t>0</t>
        </is>
      </c>
      <c r="M639" t="inlineStr">
        <is>
          <t>Li, Alain Wan Po.</t>
        </is>
      </c>
      <c r="N639" t="inlineStr">
        <is>
          <t>London : Blackwell Scientific, c1992.</t>
        </is>
      </c>
      <c r="O639" t="inlineStr">
        <is>
          <t>1992</t>
        </is>
      </c>
      <c r="Q639" t="inlineStr">
        <is>
          <t>eng</t>
        </is>
      </c>
      <c r="R639" t="inlineStr">
        <is>
          <t>enk</t>
        </is>
      </c>
      <c r="T639" t="inlineStr">
        <is>
          <t xml:space="preserve">QV </t>
        </is>
      </c>
      <c r="U639" t="n">
        <v>8</v>
      </c>
      <c r="V639" t="n">
        <v>8</v>
      </c>
      <c r="W639" t="inlineStr">
        <is>
          <t>2004-02-04</t>
        </is>
      </c>
      <c r="X639" t="inlineStr">
        <is>
          <t>2004-02-04</t>
        </is>
      </c>
      <c r="Y639" t="inlineStr">
        <is>
          <t>1992-12-23</t>
        </is>
      </c>
      <c r="Z639" t="inlineStr">
        <is>
          <t>1992-12-23</t>
        </is>
      </c>
      <c r="AA639" t="n">
        <v>42</v>
      </c>
      <c r="AB639" t="n">
        <v>13</v>
      </c>
      <c r="AC639" t="n">
        <v>21</v>
      </c>
      <c r="AD639" t="n">
        <v>1</v>
      </c>
      <c r="AE639" t="n">
        <v>1</v>
      </c>
      <c r="AF639" t="n">
        <v>0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0</v>
      </c>
      <c r="AM639" t="n">
        <v>0</v>
      </c>
      <c r="AN639" t="n">
        <v>0</v>
      </c>
      <c r="AO639" t="n">
        <v>0</v>
      </c>
      <c r="AP639" t="n">
        <v>0</v>
      </c>
      <c r="AQ639" t="n">
        <v>0</v>
      </c>
      <c r="AR639" t="inlineStr">
        <is>
          <t>No</t>
        </is>
      </c>
      <c r="AS639" t="inlineStr">
        <is>
          <t>No</t>
        </is>
      </c>
      <c r="AU639">
        <f>HYPERLINK("https://creighton-primo.hosted.exlibrisgroup.com/primo-explore/search?tab=default_tab&amp;search_scope=EVERYTHING&amp;vid=01CRU&amp;lang=en_US&amp;offset=0&amp;query=any,contains,991001352239702656","Catalog Record")</f>
        <v/>
      </c>
      <c r="AV639">
        <f>HYPERLINK("http://www.worldcat.org/oclc/27849290","WorldCat Record")</f>
        <v/>
      </c>
      <c r="AW639" t="inlineStr">
        <is>
          <t>566581:eng</t>
        </is>
      </c>
      <c r="AX639" t="inlineStr">
        <is>
          <t>27849290</t>
        </is>
      </c>
      <c r="AY639" t="inlineStr">
        <is>
          <t>991001352239702656</t>
        </is>
      </c>
      <c r="AZ639" t="inlineStr">
        <is>
          <t>991001352239702656</t>
        </is>
      </c>
      <c r="BA639" t="inlineStr">
        <is>
          <t>2264898010002656</t>
        </is>
      </c>
      <c r="BB639" t="inlineStr">
        <is>
          <t>BOOK</t>
        </is>
      </c>
      <c r="BD639" t="inlineStr">
        <is>
          <t>9780632029549</t>
        </is>
      </c>
      <c r="BE639" t="inlineStr">
        <is>
          <t>30001002459842</t>
        </is>
      </c>
      <c r="BF639" t="inlineStr">
        <is>
          <t>893377218</t>
        </is>
      </c>
    </row>
    <row r="640">
      <c r="B640" t="inlineStr">
        <is>
          <t>CUHSL</t>
        </is>
      </c>
      <c r="C640" t="inlineStr">
        <is>
          <t>SHELVES</t>
        </is>
      </c>
      <c r="D640" t="inlineStr">
        <is>
          <t>QV 772 P5789g 1992</t>
        </is>
      </c>
      <c r="E640" t="inlineStr">
        <is>
          <t>0                      QV 0772000P  5789g       1992</t>
        </is>
      </c>
      <c r="F640" t="inlineStr">
        <is>
          <t>Physicians' generix : the official drug reference of FDA prescribing information and therapeutic equivalents.</t>
        </is>
      </c>
      <c r="H640" t="inlineStr">
        <is>
          <t>No</t>
        </is>
      </c>
      <c r="I640" t="inlineStr">
        <is>
          <t>1</t>
        </is>
      </c>
      <c r="J640" t="inlineStr">
        <is>
          <t>No</t>
        </is>
      </c>
      <c r="K640" t="inlineStr">
        <is>
          <t>No</t>
        </is>
      </c>
      <c r="L640" t="inlineStr">
        <is>
          <t>0</t>
        </is>
      </c>
      <c r="N640" t="inlineStr">
        <is>
          <t>[Smithtown, N.Y.] : Data Pharmaceutica Inc., c1992.</t>
        </is>
      </c>
      <c r="O640" t="inlineStr">
        <is>
          <t>1992</t>
        </is>
      </c>
      <c r="Q640" t="inlineStr">
        <is>
          <t>eng</t>
        </is>
      </c>
      <c r="R640" t="inlineStr">
        <is>
          <t>nyu</t>
        </is>
      </c>
      <c r="T640" t="inlineStr">
        <is>
          <t xml:space="preserve">QV </t>
        </is>
      </c>
      <c r="U640" t="n">
        <v>4</v>
      </c>
      <c r="V640" t="n">
        <v>4</v>
      </c>
      <c r="W640" t="inlineStr">
        <is>
          <t>1992-08-28</t>
        </is>
      </c>
      <c r="X640" t="inlineStr">
        <is>
          <t>1992-08-28</t>
        </is>
      </c>
      <c r="Y640" t="inlineStr">
        <is>
          <t>1992-08-04</t>
        </is>
      </c>
      <c r="Z640" t="inlineStr">
        <is>
          <t>1992-08-04</t>
        </is>
      </c>
      <c r="AA640" t="n">
        <v>52</v>
      </c>
      <c r="AB640" t="n">
        <v>51</v>
      </c>
      <c r="AC640" t="n">
        <v>56</v>
      </c>
      <c r="AD640" t="n">
        <v>1</v>
      </c>
      <c r="AE640" t="n">
        <v>1</v>
      </c>
      <c r="AF640" t="n">
        <v>1</v>
      </c>
      <c r="AG640" t="n">
        <v>1</v>
      </c>
      <c r="AH640" t="n">
        <v>1</v>
      </c>
      <c r="AI640" t="n">
        <v>1</v>
      </c>
      <c r="AJ640" t="n">
        <v>0</v>
      </c>
      <c r="AK640" t="n">
        <v>0</v>
      </c>
      <c r="AL640" t="n">
        <v>0</v>
      </c>
      <c r="AM640" t="n">
        <v>0</v>
      </c>
      <c r="AN640" t="n">
        <v>0</v>
      </c>
      <c r="AO640" t="n">
        <v>0</v>
      </c>
      <c r="AP640" t="n">
        <v>0</v>
      </c>
      <c r="AQ640" t="n">
        <v>0</v>
      </c>
      <c r="AR640" t="inlineStr">
        <is>
          <t>No</t>
        </is>
      </c>
      <c r="AS640" t="inlineStr">
        <is>
          <t>No</t>
        </is>
      </c>
      <c r="AU640">
        <f>HYPERLINK("https://creighton-primo.hosted.exlibrisgroup.com/primo-explore/search?tab=default_tab&amp;search_scope=EVERYTHING&amp;vid=01CRU&amp;lang=en_US&amp;offset=0&amp;query=any,contains,991001305689702656","Catalog Record")</f>
        <v/>
      </c>
      <c r="AV640">
        <f>HYPERLINK("http://www.worldcat.org/oclc/25506595","WorldCat Record")</f>
        <v/>
      </c>
      <c r="AW640" t="inlineStr">
        <is>
          <t>27740831:eng</t>
        </is>
      </c>
      <c r="AX640" t="inlineStr">
        <is>
          <t>25506595</t>
        </is>
      </c>
      <c r="AY640" t="inlineStr">
        <is>
          <t>991001305689702656</t>
        </is>
      </c>
      <c r="AZ640" t="inlineStr">
        <is>
          <t>991001305689702656</t>
        </is>
      </c>
      <c r="BA640" t="inlineStr">
        <is>
          <t>2271842320002656</t>
        </is>
      </c>
      <c r="BB640" t="inlineStr">
        <is>
          <t>BOOK</t>
        </is>
      </c>
      <c r="BD640" t="inlineStr">
        <is>
          <t>9781880891025</t>
        </is>
      </c>
      <c r="BE640" t="inlineStr">
        <is>
          <t>30001002413740</t>
        </is>
      </c>
      <c r="BF640" t="inlineStr">
        <is>
          <t>893557815</t>
        </is>
      </c>
    </row>
    <row r="641">
      <c r="B641" t="inlineStr">
        <is>
          <t>CUHSL</t>
        </is>
      </c>
      <c r="C641" t="inlineStr">
        <is>
          <t>SHELVES</t>
        </is>
      </c>
      <c r="D641" t="inlineStr">
        <is>
          <t>QV 772 P5789q 1994</t>
        </is>
      </c>
      <c r="E641" t="inlineStr">
        <is>
          <t>0                      QV 0772000P  5789q       1994</t>
        </is>
      </c>
      <c r="F641" t="inlineStr">
        <is>
          <t>1994 Physicians' genRx : the complete drug reference.</t>
        </is>
      </c>
      <c r="H641" t="inlineStr">
        <is>
          <t>No</t>
        </is>
      </c>
      <c r="I641" t="inlineStr">
        <is>
          <t>1</t>
        </is>
      </c>
      <c r="J641" t="inlineStr">
        <is>
          <t>No</t>
        </is>
      </c>
      <c r="K641" t="inlineStr">
        <is>
          <t>No</t>
        </is>
      </c>
      <c r="L641" t="inlineStr">
        <is>
          <t>0</t>
        </is>
      </c>
      <c r="N641" t="inlineStr">
        <is>
          <t>Smithtown, N.Y. : Data Pharmaceutica Inc., c1994.</t>
        </is>
      </c>
      <c r="O641" t="inlineStr">
        <is>
          <t>1994</t>
        </is>
      </c>
      <c r="Q641" t="inlineStr">
        <is>
          <t>eng</t>
        </is>
      </c>
      <c r="R641" t="inlineStr">
        <is>
          <t>nyu</t>
        </is>
      </c>
      <c r="T641" t="inlineStr">
        <is>
          <t xml:space="preserve">QV </t>
        </is>
      </c>
      <c r="U641" t="n">
        <v>9</v>
      </c>
      <c r="V641" t="n">
        <v>9</v>
      </c>
      <c r="W641" t="inlineStr">
        <is>
          <t>1996-03-20</t>
        </is>
      </c>
      <c r="X641" t="inlineStr">
        <is>
          <t>1996-03-20</t>
        </is>
      </c>
      <c r="Y641" t="inlineStr">
        <is>
          <t>1993-11-19</t>
        </is>
      </c>
      <c r="Z641" t="inlineStr">
        <is>
          <t>1993-11-19</t>
        </is>
      </c>
      <c r="AA641" t="n">
        <v>38</v>
      </c>
      <c r="AB641" t="n">
        <v>36</v>
      </c>
      <c r="AC641" t="n">
        <v>37</v>
      </c>
      <c r="AD641" t="n">
        <v>2</v>
      </c>
      <c r="AE641" t="n">
        <v>2</v>
      </c>
      <c r="AF641" t="n">
        <v>0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0</v>
      </c>
      <c r="AM641" t="n">
        <v>0</v>
      </c>
      <c r="AN641" t="n">
        <v>0</v>
      </c>
      <c r="AO641" t="n">
        <v>0</v>
      </c>
      <c r="AP641" t="n">
        <v>0</v>
      </c>
      <c r="AQ641" t="n">
        <v>0</v>
      </c>
      <c r="AR641" t="inlineStr">
        <is>
          <t>No</t>
        </is>
      </c>
      <c r="AS641" t="inlineStr">
        <is>
          <t>No</t>
        </is>
      </c>
      <c r="AU641">
        <f>HYPERLINK("https://creighton-primo.hosted.exlibrisgroup.com/primo-explore/search?tab=default_tab&amp;search_scope=EVERYTHING&amp;vid=01CRU&amp;lang=en_US&amp;offset=0&amp;query=any,contains,991000549029702656","Catalog Record")</f>
        <v/>
      </c>
      <c r="AV641">
        <f>HYPERLINK("http://www.worldcat.org/oclc/29463652","WorldCat Record")</f>
        <v/>
      </c>
      <c r="AW641" t="inlineStr">
        <is>
          <t>31320843:eng</t>
        </is>
      </c>
      <c r="AX641" t="inlineStr">
        <is>
          <t>29463652</t>
        </is>
      </c>
      <c r="AY641" t="inlineStr">
        <is>
          <t>991000549029702656</t>
        </is>
      </c>
      <c r="AZ641" t="inlineStr">
        <is>
          <t>991000549029702656</t>
        </is>
      </c>
      <c r="BA641" t="inlineStr">
        <is>
          <t>2268116800002656</t>
        </is>
      </c>
      <c r="BB641" t="inlineStr">
        <is>
          <t>BOOK</t>
        </is>
      </c>
      <c r="BD641" t="inlineStr">
        <is>
          <t>9781880891049</t>
        </is>
      </c>
      <c r="BE641" t="inlineStr">
        <is>
          <t>30001002670745</t>
        </is>
      </c>
      <c r="BF641" t="inlineStr">
        <is>
          <t>893265964</t>
        </is>
      </c>
    </row>
    <row r="642">
      <c r="B642" t="inlineStr">
        <is>
          <t>CUHSL</t>
        </is>
      </c>
      <c r="C642" t="inlineStr">
        <is>
          <t>SHELVES</t>
        </is>
      </c>
      <c r="D642" t="inlineStr">
        <is>
          <t>QV 772 P5789q 1996</t>
        </is>
      </c>
      <c r="E642" t="inlineStr">
        <is>
          <t>0                      QV 0772000P  5789q       1996</t>
        </is>
      </c>
      <c r="F642" t="inlineStr">
        <is>
          <t>Physicians genRx : the complete drug reference, 1996.</t>
        </is>
      </c>
      <c r="H642" t="inlineStr">
        <is>
          <t>No</t>
        </is>
      </c>
      <c r="I642" t="inlineStr">
        <is>
          <t>1</t>
        </is>
      </c>
      <c r="J642" t="inlineStr">
        <is>
          <t>No</t>
        </is>
      </c>
      <c r="K642" t="inlineStr">
        <is>
          <t>No</t>
        </is>
      </c>
      <c r="L642" t="inlineStr">
        <is>
          <t>0</t>
        </is>
      </c>
      <c r="N642" t="inlineStr">
        <is>
          <t>St. Louis, MO : Mosby, c1996.</t>
        </is>
      </c>
      <c r="O642" t="inlineStr">
        <is>
          <t>1996</t>
        </is>
      </c>
      <c r="Q642" t="inlineStr">
        <is>
          <t>eng</t>
        </is>
      </c>
      <c r="R642" t="inlineStr">
        <is>
          <t>mou</t>
        </is>
      </c>
      <c r="T642" t="inlineStr">
        <is>
          <t xml:space="preserve">QV </t>
        </is>
      </c>
      <c r="U642" t="n">
        <v>16</v>
      </c>
      <c r="V642" t="n">
        <v>16</v>
      </c>
      <c r="W642" t="inlineStr">
        <is>
          <t>2000-09-11</t>
        </is>
      </c>
      <c r="X642" t="inlineStr">
        <is>
          <t>2000-09-11</t>
        </is>
      </c>
      <c r="Y642" t="inlineStr">
        <is>
          <t>1995-12-12</t>
        </is>
      </c>
      <c r="Z642" t="inlineStr">
        <is>
          <t>1995-12-12</t>
        </is>
      </c>
      <c r="AA642" t="n">
        <v>46</v>
      </c>
      <c r="AB642" t="n">
        <v>40</v>
      </c>
      <c r="AC642" t="n">
        <v>40</v>
      </c>
      <c r="AD642" t="n">
        <v>1</v>
      </c>
      <c r="AE642" t="n">
        <v>1</v>
      </c>
      <c r="AF642" t="n">
        <v>0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0</v>
      </c>
      <c r="AM642" t="n">
        <v>0</v>
      </c>
      <c r="AN642" t="n">
        <v>0</v>
      </c>
      <c r="AO642" t="n">
        <v>0</v>
      </c>
      <c r="AP642" t="n">
        <v>0</v>
      </c>
      <c r="AQ642" t="n">
        <v>0</v>
      </c>
      <c r="AR642" t="inlineStr">
        <is>
          <t>No</t>
        </is>
      </c>
      <c r="AS642" t="inlineStr">
        <is>
          <t>No</t>
        </is>
      </c>
      <c r="AU642">
        <f>HYPERLINK("https://creighton-primo.hosted.exlibrisgroup.com/primo-explore/search?tab=default_tab&amp;search_scope=EVERYTHING&amp;vid=01CRU&amp;lang=en_US&amp;offset=0&amp;query=any,contains,991000526289702656","Catalog Record")</f>
        <v/>
      </c>
      <c r="AV642">
        <f>HYPERLINK("http://www.worldcat.org/oclc/33860272","WorldCat Record")</f>
        <v/>
      </c>
      <c r="AW642" t="inlineStr">
        <is>
          <t>2865108692:eng</t>
        </is>
      </c>
      <c r="AX642" t="inlineStr">
        <is>
          <t>33860272</t>
        </is>
      </c>
      <c r="AY642" t="inlineStr">
        <is>
          <t>991000526289702656</t>
        </is>
      </c>
      <c r="AZ642" t="inlineStr">
        <is>
          <t>991000526289702656</t>
        </is>
      </c>
      <c r="BA642" t="inlineStr">
        <is>
          <t>2268247380002656</t>
        </is>
      </c>
      <c r="BB642" t="inlineStr">
        <is>
          <t>BOOK</t>
        </is>
      </c>
      <c r="BD642" t="inlineStr">
        <is>
          <t>9780815172215</t>
        </is>
      </c>
      <c r="BE642" t="inlineStr">
        <is>
          <t>30001003262161</t>
        </is>
      </c>
      <c r="BF642" t="inlineStr">
        <is>
          <t>893724863</t>
        </is>
      </c>
    </row>
    <row r="643">
      <c r="B643" t="inlineStr">
        <is>
          <t>CUHSL</t>
        </is>
      </c>
      <c r="C643" t="inlineStr">
        <is>
          <t>SHELVES</t>
        </is>
      </c>
      <c r="D643" t="inlineStr">
        <is>
          <t>QV772 P921n 2006</t>
        </is>
      </c>
      <c r="E643" t="inlineStr">
        <is>
          <t>0                      QV 0772000P  921n        2006</t>
        </is>
      </c>
      <c r="F643" t="inlineStr">
        <is>
          <t>Nonprescription product therapeutics / Walter Steven Pray.</t>
        </is>
      </c>
      <c r="H643" t="inlineStr">
        <is>
          <t>No</t>
        </is>
      </c>
      <c r="I643" t="inlineStr">
        <is>
          <t>1</t>
        </is>
      </c>
      <c r="J643" t="inlineStr">
        <is>
          <t>No</t>
        </is>
      </c>
      <c r="K643" t="inlineStr">
        <is>
          <t>No</t>
        </is>
      </c>
      <c r="L643" t="inlineStr">
        <is>
          <t>0</t>
        </is>
      </c>
      <c r="M643" t="inlineStr">
        <is>
          <t>Pray, W. Steven.</t>
        </is>
      </c>
      <c r="N643" t="inlineStr">
        <is>
          <t>Philadelphia : Lippincott Williams &amp; Wilkins, c2006.</t>
        </is>
      </c>
      <c r="O643" t="inlineStr">
        <is>
          <t>2006</t>
        </is>
      </c>
      <c r="P643" t="inlineStr">
        <is>
          <t>2nd ed.</t>
        </is>
      </c>
      <c r="Q643" t="inlineStr">
        <is>
          <t>eng</t>
        </is>
      </c>
      <c r="R643" t="inlineStr">
        <is>
          <t>pau</t>
        </is>
      </c>
      <c r="T643" t="inlineStr">
        <is>
          <t xml:space="preserve">QV </t>
        </is>
      </c>
      <c r="U643" t="n">
        <v>3</v>
      </c>
      <c r="V643" t="n">
        <v>3</v>
      </c>
      <c r="W643" t="inlineStr">
        <is>
          <t>2009-03-04</t>
        </is>
      </c>
      <c r="X643" t="inlineStr">
        <is>
          <t>2009-03-04</t>
        </is>
      </c>
      <c r="Y643" t="inlineStr">
        <is>
          <t>2006-03-02</t>
        </is>
      </c>
      <c r="Z643" t="inlineStr">
        <is>
          <t>2006-03-02</t>
        </is>
      </c>
      <c r="AA643" t="n">
        <v>124</v>
      </c>
      <c r="AB643" t="n">
        <v>76</v>
      </c>
      <c r="AC643" t="n">
        <v>76</v>
      </c>
      <c r="AD643" t="n">
        <v>2</v>
      </c>
      <c r="AE643" t="n">
        <v>2</v>
      </c>
      <c r="AF643" t="n">
        <v>2</v>
      </c>
      <c r="AG643" t="n">
        <v>2</v>
      </c>
      <c r="AH643" t="n">
        <v>0</v>
      </c>
      <c r="AI643" t="n">
        <v>0</v>
      </c>
      <c r="AJ643" t="n">
        <v>1</v>
      </c>
      <c r="AK643" t="n">
        <v>1</v>
      </c>
      <c r="AL643" t="n">
        <v>0</v>
      </c>
      <c r="AM643" t="n">
        <v>0</v>
      </c>
      <c r="AN643" t="n">
        <v>1</v>
      </c>
      <c r="AO643" t="n">
        <v>1</v>
      </c>
      <c r="AP643" t="n">
        <v>0</v>
      </c>
      <c r="AQ643" t="n">
        <v>0</v>
      </c>
      <c r="AR643" t="inlineStr">
        <is>
          <t>No</t>
        </is>
      </c>
      <c r="AS643" t="inlineStr">
        <is>
          <t>No</t>
        </is>
      </c>
      <c r="AU643">
        <f>HYPERLINK("https://creighton-primo.hosted.exlibrisgroup.com/primo-explore/search?tab=default_tab&amp;search_scope=EVERYTHING&amp;vid=01CRU&amp;lang=en_US&amp;offset=0&amp;query=any,contains,991000466349702656","Catalog Record")</f>
        <v/>
      </c>
      <c r="AV643">
        <f>HYPERLINK("http://www.worldcat.org/oclc/61121117","WorldCat Record")</f>
        <v/>
      </c>
      <c r="AW643" t="inlineStr">
        <is>
          <t>8909727419:eng</t>
        </is>
      </c>
      <c r="AX643" t="inlineStr">
        <is>
          <t>61121117</t>
        </is>
      </c>
      <c r="AY643" t="inlineStr">
        <is>
          <t>991000466349702656</t>
        </is>
      </c>
      <c r="AZ643" t="inlineStr">
        <is>
          <t>991000466349702656</t>
        </is>
      </c>
      <c r="BA643" t="inlineStr">
        <is>
          <t>2255250640002656</t>
        </is>
      </c>
      <c r="BB643" t="inlineStr">
        <is>
          <t>BOOK</t>
        </is>
      </c>
      <c r="BD643" t="inlineStr">
        <is>
          <t>9780781734981</t>
        </is>
      </c>
      <c r="BE643" t="inlineStr">
        <is>
          <t>30001005125895</t>
        </is>
      </c>
      <c r="BF643" t="inlineStr">
        <is>
          <t>893817121</t>
        </is>
      </c>
    </row>
    <row r="644">
      <c r="B644" t="inlineStr">
        <is>
          <t>CUHSL</t>
        </is>
      </c>
      <c r="C644" t="inlineStr">
        <is>
          <t>SHELVES</t>
        </is>
      </c>
      <c r="D644" t="inlineStr">
        <is>
          <t>QV 772 S741 1990</t>
        </is>
      </c>
      <c r="E644" t="inlineStr">
        <is>
          <t>0                      QV 0772000S  741         1990</t>
        </is>
      </c>
      <c r="F644" t="inlineStr">
        <is>
          <t>Specialized drug delivery systems : manufacturing and production technology / edited by Praveen Tyle.</t>
        </is>
      </c>
      <c r="H644" t="inlineStr">
        <is>
          <t>No</t>
        </is>
      </c>
      <c r="I644" t="inlineStr">
        <is>
          <t>1</t>
        </is>
      </c>
      <c r="J644" t="inlineStr">
        <is>
          <t>No</t>
        </is>
      </c>
      <c r="K644" t="inlineStr">
        <is>
          <t>No</t>
        </is>
      </c>
      <c r="L644" t="inlineStr">
        <is>
          <t>0</t>
        </is>
      </c>
      <c r="N644" t="inlineStr">
        <is>
          <t>New York : M. Dekker, c1990.</t>
        </is>
      </c>
      <c r="O644" t="inlineStr">
        <is>
          <t>1990</t>
        </is>
      </c>
      <c r="Q644" t="inlineStr">
        <is>
          <t>eng</t>
        </is>
      </c>
      <c r="R644" t="inlineStr">
        <is>
          <t>nyu</t>
        </is>
      </c>
      <c r="S644" t="inlineStr">
        <is>
          <t>Drugs and the pharmaceutical sciences ; v. 41</t>
        </is>
      </c>
      <c r="T644" t="inlineStr">
        <is>
          <t xml:space="preserve">QV </t>
        </is>
      </c>
      <c r="U644" t="n">
        <v>9</v>
      </c>
      <c r="V644" t="n">
        <v>9</v>
      </c>
      <c r="W644" t="inlineStr">
        <is>
          <t>1992-12-21</t>
        </is>
      </c>
      <c r="X644" t="inlineStr">
        <is>
          <t>1992-12-21</t>
        </is>
      </c>
      <c r="Y644" t="inlineStr">
        <is>
          <t>1990-01-16</t>
        </is>
      </c>
      <c r="Z644" t="inlineStr">
        <is>
          <t>1990-01-16</t>
        </is>
      </c>
      <c r="AA644" t="n">
        <v>142</v>
      </c>
      <c r="AB644" t="n">
        <v>102</v>
      </c>
      <c r="AC644" t="n">
        <v>107</v>
      </c>
      <c r="AD644" t="n">
        <v>1</v>
      </c>
      <c r="AE644" t="n">
        <v>1</v>
      </c>
      <c r="AF644" t="n">
        <v>3</v>
      </c>
      <c r="AG644" t="n">
        <v>3</v>
      </c>
      <c r="AH644" t="n">
        <v>2</v>
      </c>
      <c r="AI644" t="n">
        <v>2</v>
      </c>
      <c r="AJ644" t="n">
        <v>1</v>
      </c>
      <c r="AK644" t="n">
        <v>1</v>
      </c>
      <c r="AL644" t="n">
        <v>0</v>
      </c>
      <c r="AM644" t="n">
        <v>0</v>
      </c>
      <c r="AN644" t="n">
        <v>0</v>
      </c>
      <c r="AO644" t="n">
        <v>0</v>
      </c>
      <c r="AP644" t="n">
        <v>0</v>
      </c>
      <c r="AQ644" t="n">
        <v>0</v>
      </c>
      <c r="AR644" t="inlineStr">
        <is>
          <t>No</t>
        </is>
      </c>
      <c r="AS644" t="inlineStr">
        <is>
          <t>No</t>
        </is>
      </c>
      <c r="AU644">
        <f>HYPERLINK("https://creighton-primo.hosted.exlibrisgroup.com/primo-explore/search?tab=default_tab&amp;search_scope=EVERYTHING&amp;vid=01CRU&amp;lang=en_US&amp;offset=0&amp;query=any,contains,991001356449702656","Catalog Record")</f>
        <v/>
      </c>
      <c r="AV644">
        <f>HYPERLINK("http://www.worldcat.org/oclc/20265507","WorldCat Record")</f>
        <v/>
      </c>
      <c r="AW644" t="inlineStr">
        <is>
          <t>795535022:eng</t>
        </is>
      </c>
      <c r="AX644" t="inlineStr">
        <is>
          <t>20265507</t>
        </is>
      </c>
      <c r="AY644" t="inlineStr">
        <is>
          <t>991001356449702656</t>
        </is>
      </c>
      <c r="AZ644" t="inlineStr">
        <is>
          <t>991001356449702656</t>
        </is>
      </c>
      <c r="BA644" t="inlineStr">
        <is>
          <t>2263457190002656</t>
        </is>
      </c>
      <c r="BB644" t="inlineStr">
        <is>
          <t>BOOK</t>
        </is>
      </c>
      <c r="BD644" t="inlineStr">
        <is>
          <t>9780824781903</t>
        </is>
      </c>
      <c r="BE644" t="inlineStr">
        <is>
          <t>30001001796178</t>
        </is>
      </c>
      <c r="BF644" t="inlineStr">
        <is>
          <t>893552407</t>
        </is>
      </c>
    </row>
    <row r="645">
      <c r="B645" t="inlineStr">
        <is>
          <t>CUHSL</t>
        </is>
      </c>
      <c r="C645" t="inlineStr">
        <is>
          <t>SHELVES</t>
        </is>
      </c>
      <c r="D645" t="inlineStr">
        <is>
          <t>QV 772 V649 1993</t>
        </is>
      </c>
      <c r="E645" t="inlineStr">
        <is>
          <t>0                      QV 0772000V  649         1993</t>
        </is>
      </c>
      <c r="F645" t="inlineStr">
        <is>
          <t>Vidal : 1993.</t>
        </is>
      </c>
      <c r="H645" t="inlineStr">
        <is>
          <t>No</t>
        </is>
      </c>
      <c r="I645" t="inlineStr">
        <is>
          <t>1</t>
        </is>
      </c>
      <c r="J645" t="inlineStr">
        <is>
          <t>No</t>
        </is>
      </c>
      <c r="K645" t="inlineStr">
        <is>
          <t>No</t>
        </is>
      </c>
      <c r="L645" t="inlineStr">
        <is>
          <t>0</t>
        </is>
      </c>
      <c r="N645" t="inlineStr">
        <is>
          <t>Paris : OVP, c1993.</t>
        </is>
      </c>
      <c r="O645" t="inlineStr">
        <is>
          <t>1993</t>
        </is>
      </c>
      <c r="P645" t="inlineStr">
        <is>
          <t>69e éd.</t>
        </is>
      </c>
      <c r="Q645" t="inlineStr">
        <is>
          <t>fre</t>
        </is>
      </c>
      <c r="R645" t="inlineStr">
        <is>
          <t xml:space="preserve">fr </t>
        </is>
      </c>
      <c r="T645" t="inlineStr">
        <is>
          <t xml:space="preserve">QV </t>
        </is>
      </c>
      <c r="U645" t="n">
        <v>4</v>
      </c>
      <c r="V645" t="n">
        <v>4</v>
      </c>
      <c r="W645" t="inlineStr">
        <is>
          <t>1993-07-16</t>
        </is>
      </c>
      <c r="X645" t="inlineStr">
        <is>
          <t>1993-07-16</t>
        </is>
      </c>
      <c r="Y645" t="inlineStr">
        <is>
          <t>1992-10-20</t>
        </is>
      </c>
      <c r="Z645" t="inlineStr">
        <is>
          <t>1992-10-20</t>
        </is>
      </c>
      <c r="AA645" t="n">
        <v>19</v>
      </c>
      <c r="AB645" t="n">
        <v>3</v>
      </c>
      <c r="AC645" t="n">
        <v>3</v>
      </c>
      <c r="AD645" t="n">
        <v>1</v>
      </c>
      <c r="AE645" t="n">
        <v>1</v>
      </c>
      <c r="AF645" t="n">
        <v>0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0</v>
      </c>
      <c r="AM645" t="n">
        <v>0</v>
      </c>
      <c r="AN645" t="n">
        <v>0</v>
      </c>
      <c r="AO645" t="n">
        <v>0</v>
      </c>
      <c r="AP645" t="n">
        <v>0</v>
      </c>
      <c r="AQ645" t="n">
        <v>0</v>
      </c>
      <c r="AR645" t="inlineStr">
        <is>
          <t>No</t>
        </is>
      </c>
      <c r="AS645" t="inlineStr">
        <is>
          <t>No</t>
        </is>
      </c>
      <c r="AU645">
        <f>HYPERLINK("https://creighton-primo.hosted.exlibrisgroup.com/primo-explore/search?tab=default_tab&amp;search_scope=EVERYTHING&amp;vid=01CRU&amp;lang=en_US&amp;offset=0&amp;query=any,contains,991001344019702656","Catalog Record")</f>
        <v/>
      </c>
      <c r="AV645">
        <f>HYPERLINK("http://www.worldcat.org/oclc/27861892","WorldCat Record")</f>
        <v/>
      </c>
      <c r="AW645" t="inlineStr">
        <is>
          <t>364467133:fre</t>
        </is>
      </c>
      <c r="AX645" t="inlineStr">
        <is>
          <t>27861892</t>
        </is>
      </c>
      <c r="AY645" t="inlineStr">
        <is>
          <t>991001344019702656</t>
        </is>
      </c>
      <c r="AZ645" t="inlineStr">
        <is>
          <t>991001344019702656</t>
        </is>
      </c>
      <c r="BA645" t="inlineStr">
        <is>
          <t>2261640940002656</t>
        </is>
      </c>
      <c r="BB645" t="inlineStr">
        <is>
          <t>BOOK</t>
        </is>
      </c>
      <c r="BD645" t="inlineStr">
        <is>
          <t>9782850910692</t>
        </is>
      </c>
      <c r="BE645" t="inlineStr">
        <is>
          <t>30001002456442</t>
        </is>
      </c>
      <c r="BF645" t="inlineStr">
        <is>
          <t>893632976</t>
        </is>
      </c>
    </row>
    <row r="646">
      <c r="B646" t="inlineStr">
        <is>
          <t>CUHSL</t>
        </is>
      </c>
      <c r="C646" t="inlineStr">
        <is>
          <t>SHELVES</t>
        </is>
      </c>
      <c r="D646" t="inlineStr">
        <is>
          <t>QV778 A427a 2002</t>
        </is>
      </c>
      <c r="E646" t="inlineStr">
        <is>
          <t>0                      QV 0778000A  427a        2002</t>
        </is>
      </c>
      <c r="F646" t="inlineStr">
        <is>
          <t>The art, science, and technology of pharmaceutical compounding / Loyd V. Allen, Jr.</t>
        </is>
      </c>
      <c r="H646" t="inlineStr">
        <is>
          <t>No</t>
        </is>
      </c>
      <c r="I646" t="inlineStr">
        <is>
          <t>1</t>
        </is>
      </c>
      <c r="J646" t="inlineStr">
        <is>
          <t>No</t>
        </is>
      </c>
      <c r="K646" t="inlineStr">
        <is>
          <t>Yes</t>
        </is>
      </c>
      <c r="L646" t="inlineStr">
        <is>
          <t>0</t>
        </is>
      </c>
      <c r="M646" t="inlineStr">
        <is>
          <t>Allen, Loyd V., Jr.</t>
        </is>
      </c>
      <c r="N646" t="inlineStr">
        <is>
          <t>Washington, D.C. : American Pharmaceutical Association, c2002.</t>
        </is>
      </c>
      <c r="O646" t="inlineStr">
        <is>
          <t>2002</t>
        </is>
      </c>
      <c r="P646" t="inlineStr">
        <is>
          <t>2nd ed.</t>
        </is>
      </c>
      <c r="Q646" t="inlineStr">
        <is>
          <t>eng</t>
        </is>
      </c>
      <c r="R646" t="inlineStr">
        <is>
          <t>dcu</t>
        </is>
      </c>
      <c r="T646" t="inlineStr">
        <is>
          <t xml:space="preserve">QV </t>
        </is>
      </c>
      <c r="U646" t="n">
        <v>5</v>
      </c>
      <c r="V646" t="n">
        <v>5</v>
      </c>
      <c r="W646" t="inlineStr">
        <is>
          <t>2004-09-28</t>
        </is>
      </c>
      <c r="X646" t="inlineStr">
        <is>
          <t>2004-09-28</t>
        </is>
      </c>
      <c r="Y646" t="inlineStr">
        <is>
          <t>2003-03-26</t>
        </is>
      </c>
      <c r="Z646" t="inlineStr">
        <is>
          <t>2003-03-26</t>
        </is>
      </c>
      <c r="AA646" t="n">
        <v>103</v>
      </c>
      <c r="AB646" t="n">
        <v>69</v>
      </c>
      <c r="AC646" t="n">
        <v>167</v>
      </c>
      <c r="AD646" t="n">
        <v>1</v>
      </c>
      <c r="AE646" t="n">
        <v>1</v>
      </c>
      <c r="AF646" t="n">
        <v>1</v>
      </c>
      <c r="AG646" t="n">
        <v>6</v>
      </c>
      <c r="AH646" t="n">
        <v>0</v>
      </c>
      <c r="AI646" t="n">
        <v>4</v>
      </c>
      <c r="AJ646" t="n">
        <v>1</v>
      </c>
      <c r="AK646" t="n">
        <v>2</v>
      </c>
      <c r="AL646" t="n">
        <v>0</v>
      </c>
      <c r="AM646" t="n">
        <v>2</v>
      </c>
      <c r="AN646" t="n">
        <v>0</v>
      </c>
      <c r="AO646" t="n">
        <v>0</v>
      </c>
      <c r="AP646" t="n">
        <v>0</v>
      </c>
      <c r="AQ646" t="n">
        <v>0</v>
      </c>
      <c r="AR646" t="inlineStr">
        <is>
          <t>No</t>
        </is>
      </c>
      <c r="AS646" t="inlineStr">
        <is>
          <t>No</t>
        </is>
      </c>
      <c r="AU646">
        <f>HYPERLINK("https://creighton-primo.hosted.exlibrisgroup.com/primo-explore/search?tab=default_tab&amp;search_scope=EVERYTHING&amp;vid=01CRU&amp;lang=en_US&amp;offset=0&amp;query=any,contains,991000342839702656","Catalog Record")</f>
        <v/>
      </c>
      <c r="AV646">
        <f>HYPERLINK("http://www.worldcat.org/oclc/49057633","WorldCat Record")</f>
        <v/>
      </c>
      <c r="AW646" t="inlineStr">
        <is>
          <t>3052364:eng</t>
        </is>
      </c>
      <c r="AX646" t="inlineStr">
        <is>
          <t>49057633</t>
        </is>
      </c>
      <c r="AY646" t="inlineStr">
        <is>
          <t>991000342839702656</t>
        </is>
      </c>
      <c r="AZ646" t="inlineStr">
        <is>
          <t>991000342839702656</t>
        </is>
      </c>
      <c r="BA646" t="inlineStr">
        <is>
          <t>2265724910002656</t>
        </is>
      </c>
      <c r="BB646" t="inlineStr">
        <is>
          <t>BOOK</t>
        </is>
      </c>
      <c r="BD646" t="inlineStr">
        <is>
          <t>9781582120355</t>
        </is>
      </c>
      <c r="BE646" t="inlineStr">
        <is>
          <t>30001004503779</t>
        </is>
      </c>
      <c r="BF646" t="inlineStr">
        <is>
          <t>893644287</t>
        </is>
      </c>
    </row>
    <row r="647">
      <c r="B647" t="inlineStr">
        <is>
          <t>CUHSL</t>
        </is>
      </c>
      <c r="C647" t="inlineStr">
        <is>
          <t>SHELVES</t>
        </is>
      </c>
      <c r="D647" t="inlineStr">
        <is>
          <t>QV778 A652 2003</t>
        </is>
      </c>
      <c r="E647" t="inlineStr">
        <is>
          <t>0                      QV 0778000A  652         2003</t>
        </is>
      </c>
      <c r="F647" t="inlineStr">
        <is>
          <t>Applied physical pharmacy / editors, Mansoor M. Amiji, Beverly J. Sandmann.</t>
        </is>
      </c>
      <c r="H647" t="inlineStr">
        <is>
          <t>No</t>
        </is>
      </c>
      <c r="I647" t="inlineStr">
        <is>
          <t>1</t>
        </is>
      </c>
      <c r="J647" t="inlineStr">
        <is>
          <t>No</t>
        </is>
      </c>
      <c r="K647" t="inlineStr">
        <is>
          <t>Yes</t>
        </is>
      </c>
      <c r="L647" t="inlineStr">
        <is>
          <t>1</t>
        </is>
      </c>
      <c r="N647" t="inlineStr">
        <is>
          <t>New York : McGraw-Hill, Medical Pub. Division, c2003.</t>
        </is>
      </c>
      <c r="O647" t="inlineStr">
        <is>
          <t>2003</t>
        </is>
      </c>
      <c r="Q647" t="inlineStr">
        <is>
          <t>eng</t>
        </is>
      </c>
      <c r="R647" t="inlineStr">
        <is>
          <t>nyu</t>
        </is>
      </c>
      <c r="T647" t="inlineStr">
        <is>
          <t xml:space="preserve">QV </t>
        </is>
      </c>
      <c r="U647" t="n">
        <v>12</v>
      </c>
      <c r="V647" t="n">
        <v>12</v>
      </c>
      <c r="W647" t="inlineStr">
        <is>
          <t>2007-03-08</t>
        </is>
      </c>
      <c r="X647" t="inlineStr">
        <is>
          <t>2007-03-08</t>
        </is>
      </c>
      <c r="Y647" t="inlineStr">
        <is>
          <t>2003-06-24</t>
        </is>
      </c>
      <c r="Z647" t="inlineStr">
        <is>
          <t>2003-06-24</t>
        </is>
      </c>
      <c r="AA647" t="n">
        <v>118</v>
      </c>
      <c r="AB647" t="n">
        <v>67</v>
      </c>
      <c r="AC647" t="n">
        <v>139</v>
      </c>
      <c r="AD647" t="n">
        <v>1</v>
      </c>
      <c r="AE647" t="n">
        <v>1</v>
      </c>
      <c r="AF647" t="n">
        <v>4</v>
      </c>
      <c r="AG647" t="n">
        <v>7</v>
      </c>
      <c r="AH647" t="n">
        <v>3</v>
      </c>
      <c r="AI647" t="n">
        <v>4</v>
      </c>
      <c r="AJ647" t="n">
        <v>2</v>
      </c>
      <c r="AK647" t="n">
        <v>3</v>
      </c>
      <c r="AL647" t="n">
        <v>1</v>
      </c>
      <c r="AM647" t="n">
        <v>2</v>
      </c>
      <c r="AN647" t="n">
        <v>0</v>
      </c>
      <c r="AO647" t="n">
        <v>0</v>
      </c>
      <c r="AP647" t="n">
        <v>0</v>
      </c>
      <c r="AQ647" t="n">
        <v>0</v>
      </c>
      <c r="AR647" t="inlineStr">
        <is>
          <t>No</t>
        </is>
      </c>
      <c r="AS647" t="inlineStr">
        <is>
          <t>Yes</t>
        </is>
      </c>
      <c r="AT647">
        <f>HYPERLINK("http://catalog.hathitrust.org/Record/004298884","HathiTrust Record")</f>
        <v/>
      </c>
      <c r="AU647">
        <f>HYPERLINK("https://creighton-primo.hosted.exlibrisgroup.com/primo-explore/search?tab=default_tab&amp;search_scope=EVERYTHING&amp;vid=01CRU&amp;lang=en_US&amp;offset=0&amp;query=any,contains,991000351499702656","Catalog Record")</f>
        <v/>
      </c>
      <c r="AV647">
        <f>HYPERLINK("http://www.worldcat.org/oclc/51333617","WorldCat Record")</f>
        <v/>
      </c>
      <c r="AW647" t="inlineStr">
        <is>
          <t>354654515:eng</t>
        </is>
      </c>
      <c r="AX647" t="inlineStr">
        <is>
          <t>51333617</t>
        </is>
      </c>
      <c r="AY647" t="inlineStr">
        <is>
          <t>991000351499702656</t>
        </is>
      </c>
      <c r="AZ647" t="inlineStr">
        <is>
          <t>991000351499702656</t>
        </is>
      </c>
      <c r="BA647" t="inlineStr">
        <is>
          <t>2257604040002656</t>
        </is>
      </c>
      <c r="BB647" t="inlineStr">
        <is>
          <t>BOOK</t>
        </is>
      </c>
      <c r="BD647" t="inlineStr">
        <is>
          <t>9780071350761</t>
        </is>
      </c>
      <c r="BE647" t="inlineStr">
        <is>
          <t>30001004504785</t>
        </is>
      </c>
      <c r="BF647" t="inlineStr">
        <is>
          <t>893644292</t>
        </is>
      </c>
    </row>
    <row r="648">
      <c r="B648" t="inlineStr">
        <is>
          <t>CUHSL</t>
        </is>
      </c>
      <c r="C648" t="inlineStr">
        <is>
          <t>SHELVES</t>
        </is>
      </c>
      <c r="D648" t="inlineStr">
        <is>
          <t>QV 778 B6167 1993</t>
        </is>
      </c>
      <c r="E648" t="inlineStr">
        <is>
          <t>0                      QV 0778000B  6167        1993</t>
        </is>
      </c>
      <c r="F648" t="inlineStr">
        <is>
          <t>Biotechnology and pharmacy / editors, John M. Pezzuto, Michael E. Johnson, Henri R. Manasse.</t>
        </is>
      </c>
      <c r="H648" t="inlineStr">
        <is>
          <t>No</t>
        </is>
      </c>
      <c r="I648" t="inlineStr">
        <is>
          <t>1</t>
        </is>
      </c>
      <c r="J648" t="inlineStr">
        <is>
          <t>No</t>
        </is>
      </c>
      <c r="K648" t="inlineStr">
        <is>
          <t>No</t>
        </is>
      </c>
      <c r="L648" t="inlineStr">
        <is>
          <t>0</t>
        </is>
      </c>
      <c r="N648" t="inlineStr">
        <is>
          <t>New York : Chapman &amp; Hall, c1993.</t>
        </is>
      </c>
      <c r="O648" t="inlineStr">
        <is>
          <t>1993</t>
        </is>
      </c>
      <c r="Q648" t="inlineStr">
        <is>
          <t>eng</t>
        </is>
      </c>
      <c r="R648" t="inlineStr">
        <is>
          <t>nyu</t>
        </is>
      </c>
      <c r="T648" t="inlineStr">
        <is>
          <t xml:space="preserve">QV </t>
        </is>
      </c>
      <c r="U648" t="n">
        <v>7</v>
      </c>
      <c r="V648" t="n">
        <v>7</v>
      </c>
      <c r="W648" t="inlineStr">
        <is>
          <t>1995-06-20</t>
        </is>
      </c>
      <c r="X648" t="inlineStr">
        <is>
          <t>1995-06-20</t>
        </is>
      </c>
      <c r="Y648" t="inlineStr">
        <is>
          <t>1993-06-15</t>
        </is>
      </c>
      <c r="Z648" t="inlineStr">
        <is>
          <t>1993-06-15</t>
        </is>
      </c>
      <c r="AA648" t="n">
        <v>153</v>
      </c>
      <c r="AB648" t="n">
        <v>88</v>
      </c>
      <c r="AC648" t="n">
        <v>114</v>
      </c>
      <c r="AD648" t="n">
        <v>1</v>
      </c>
      <c r="AE648" t="n">
        <v>2</v>
      </c>
      <c r="AF648" t="n">
        <v>6</v>
      </c>
      <c r="AG648" t="n">
        <v>7</v>
      </c>
      <c r="AH648" t="n">
        <v>4</v>
      </c>
      <c r="AI648" t="n">
        <v>4</v>
      </c>
      <c r="AJ648" t="n">
        <v>2</v>
      </c>
      <c r="AK648" t="n">
        <v>2</v>
      </c>
      <c r="AL648" t="n">
        <v>2</v>
      </c>
      <c r="AM648" t="n">
        <v>2</v>
      </c>
      <c r="AN648" t="n">
        <v>0</v>
      </c>
      <c r="AO648" t="n">
        <v>1</v>
      </c>
      <c r="AP648" t="n">
        <v>0</v>
      </c>
      <c r="AQ648" t="n">
        <v>0</v>
      </c>
      <c r="AR648" t="inlineStr">
        <is>
          <t>No</t>
        </is>
      </c>
      <c r="AS648" t="inlineStr">
        <is>
          <t>Yes</t>
        </is>
      </c>
      <c r="AT648">
        <f>HYPERLINK("http://catalog.hathitrust.org/Record/002789633","HathiTrust Record")</f>
        <v/>
      </c>
      <c r="AU648">
        <f>HYPERLINK("https://creighton-primo.hosted.exlibrisgroup.com/primo-explore/search?tab=default_tab&amp;search_scope=EVERYTHING&amp;vid=01CRU&amp;lang=en_US&amp;offset=0&amp;query=any,contains,991001481229702656","Catalog Record")</f>
        <v/>
      </c>
      <c r="AV648">
        <f>HYPERLINK("http://www.worldcat.org/oclc/26163629","WorldCat Record")</f>
        <v/>
      </c>
      <c r="AW648" t="inlineStr">
        <is>
          <t>365071030:eng</t>
        </is>
      </c>
      <c r="AX648" t="inlineStr">
        <is>
          <t>26163629</t>
        </is>
      </c>
      <c r="AY648" t="inlineStr">
        <is>
          <t>991001481229702656</t>
        </is>
      </c>
      <c r="AZ648" t="inlineStr">
        <is>
          <t>991001481229702656</t>
        </is>
      </c>
      <c r="BA648" t="inlineStr">
        <is>
          <t>2271036990002656</t>
        </is>
      </c>
      <c r="BB648" t="inlineStr">
        <is>
          <t>BOOK</t>
        </is>
      </c>
      <c r="BD648" t="inlineStr">
        <is>
          <t>9780412038716</t>
        </is>
      </c>
      <c r="BE648" t="inlineStr">
        <is>
          <t>30001002569640</t>
        </is>
      </c>
      <c r="BF648" t="inlineStr">
        <is>
          <t>893546746</t>
        </is>
      </c>
    </row>
    <row r="649">
      <c r="B649" t="inlineStr">
        <is>
          <t>CUHSL</t>
        </is>
      </c>
      <c r="C649" t="inlineStr">
        <is>
          <t>SHELVES</t>
        </is>
      </c>
      <c r="D649" t="inlineStr">
        <is>
          <t>QV 778 H968p 1951</t>
        </is>
      </c>
      <c r="E649" t="inlineStr">
        <is>
          <t>0                      QV 0778000H  968p        1951</t>
        </is>
      </c>
      <c r="F649" t="inlineStr">
        <is>
          <t>Pharmaceutical dispensing : a textbook for students of pharmaceutical compounding and dispensing and a reference book for pharmacists.</t>
        </is>
      </c>
      <c r="H649" t="inlineStr">
        <is>
          <t>No</t>
        </is>
      </c>
      <c r="I649" t="inlineStr">
        <is>
          <t>1</t>
        </is>
      </c>
      <c r="J649" t="inlineStr">
        <is>
          <t>No</t>
        </is>
      </c>
      <c r="K649" t="inlineStr">
        <is>
          <t>No</t>
        </is>
      </c>
      <c r="L649" t="inlineStr">
        <is>
          <t>0</t>
        </is>
      </c>
      <c r="M649" t="inlineStr">
        <is>
          <t>Husa, William J. (William John), 1896-1985.</t>
        </is>
      </c>
      <c r="N649" t="inlineStr">
        <is>
          <t>Iowa City : Distributed by Husa Bros.; 1951.</t>
        </is>
      </c>
      <c r="O649" t="inlineStr">
        <is>
          <t>1951</t>
        </is>
      </c>
      <c r="P649" t="inlineStr">
        <is>
          <t>4th ed.</t>
        </is>
      </c>
      <c r="Q649" t="inlineStr">
        <is>
          <t>eng</t>
        </is>
      </c>
      <c r="R649" t="inlineStr">
        <is>
          <t>iou</t>
        </is>
      </c>
      <c r="T649" t="inlineStr">
        <is>
          <t xml:space="preserve">QV </t>
        </is>
      </c>
      <c r="U649" t="n">
        <v>3</v>
      </c>
      <c r="V649" t="n">
        <v>3</v>
      </c>
      <c r="W649" t="inlineStr">
        <is>
          <t>1992-03-27</t>
        </is>
      </c>
      <c r="X649" t="inlineStr">
        <is>
          <t>1992-03-27</t>
        </is>
      </c>
      <c r="Y649" t="inlineStr">
        <is>
          <t>1988-03-24</t>
        </is>
      </c>
      <c r="Z649" t="inlineStr">
        <is>
          <t>1988-03-24</t>
        </is>
      </c>
      <c r="AA649" t="n">
        <v>43</v>
      </c>
      <c r="AB649" t="n">
        <v>36</v>
      </c>
      <c r="AC649" t="n">
        <v>87</v>
      </c>
      <c r="AD649" t="n">
        <v>1</v>
      </c>
      <c r="AE649" t="n">
        <v>2</v>
      </c>
      <c r="AF649" t="n">
        <v>3</v>
      </c>
      <c r="AG649" t="n">
        <v>5</v>
      </c>
      <c r="AH649" t="n">
        <v>2</v>
      </c>
      <c r="AI649" t="n">
        <v>3</v>
      </c>
      <c r="AJ649" t="n">
        <v>1</v>
      </c>
      <c r="AK649" t="n">
        <v>2</v>
      </c>
      <c r="AL649" t="n">
        <v>0</v>
      </c>
      <c r="AM649" t="n">
        <v>0</v>
      </c>
      <c r="AN649" t="n">
        <v>0</v>
      </c>
      <c r="AO649" t="n">
        <v>1</v>
      </c>
      <c r="AP649" t="n">
        <v>0</v>
      </c>
      <c r="AQ649" t="n">
        <v>0</v>
      </c>
      <c r="AR649" t="inlineStr">
        <is>
          <t>No</t>
        </is>
      </c>
      <c r="AS649" t="inlineStr">
        <is>
          <t>No</t>
        </is>
      </c>
      <c r="AU649">
        <f>HYPERLINK("https://creighton-primo.hosted.exlibrisgroup.com/primo-explore/search?tab=default_tab&amp;search_scope=EVERYTHING&amp;vid=01CRU&amp;lang=en_US&amp;offset=0&amp;query=any,contains,991000994729702656","Catalog Record")</f>
        <v/>
      </c>
      <c r="AV649">
        <f>HYPERLINK("http://www.worldcat.org/oclc/3590270","WorldCat Record")</f>
        <v/>
      </c>
      <c r="AW649" t="inlineStr">
        <is>
          <t>3754588423:eng</t>
        </is>
      </c>
      <c r="AX649" t="inlineStr">
        <is>
          <t>3590270</t>
        </is>
      </c>
      <c r="AY649" t="inlineStr">
        <is>
          <t>991000994729702656</t>
        </is>
      </c>
      <c r="AZ649" t="inlineStr">
        <is>
          <t>991000994729702656</t>
        </is>
      </c>
      <c r="BA649" t="inlineStr">
        <is>
          <t>2263951390002656</t>
        </is>
      </c>
      <c r="BB649" t="inlineStr">
        <is>
          <t>BOOK</t>
        </is>
      </c>
      <c r="BE649" t="inlineStr">
        <is>
          <t>30001000227571</t>
        </is>
      </c>
      <c r="BF649" t="inlineStr">
        <is>
          <t>893651827</t>
        </is>
      </c>
    </row>
    <row r="650">
      <c r="B650" t="inlineStr">
        <is>
          <t>CUHSL</t>
        </is>
      </c>
      <c r="C650" t="inlineStr">
        <is>
          <t>SHELVES</t>
        </is>
      </c>
      <c r="D650" t="inlineStr">
        <is>
          <t>QV 778 P957 1995</t>
        </is>
      </c>
      <c r="E650" t="inlineStr">
        <is>
          <t>0                      QV 0778000P  957         1995</t>
        </is>
      </c>
      <c r="F650" t="inlineStr">
        <is>
          <t>Principles of sterile product preparation / E. Clyde Buchanan ... [et al.].</t>
        </is>
      </c>
      <c r="H650" t="inlineStr">
        <is>
          <t>No</t>
        </is>
      </c>
      <c r="I650" t="inlineStr">
        <is>
          <t>2</t>
        </is>
      </c>
      <c r="J650" t="inlineStr">
        <is>
          <t>No</t>
        </is>
      </c>
      <c r="K650" t="inlineStr">
        <is>
          <t>Yes</t>
        </is>
      </c>
      <c r="L650" t="inlineStr">
        <is>
          <t>0</t>
        </is>
      </c>
      <c r="N650" t="inlineStr">
        <is>
          <t>Bethesda, MD : American Society of Health-System Pharamacists, c1995.</t>
        </is>
      </c>
      <c r="O650" t="inlineStr">
        <is>
          <t>1995</t>
        </is>
      </c>
      <c r="Q650" t="inlineStr">
        <is>
          <t>eng</t>
        </is>
      </c>
      <c r="R650" t="inlineStr">
        <is>
          <t>mdu</t>
        </is>
      </c>
      <c r="T650" t="inlineStr">
        <is>
          <t xml:space="preserve">QV </t>
        </is>
      </c>
      <c r="U650" t="n">
        <v>50</v>
      </c>
      <c r="V650" t="n">
        <v>50</v>
      </c>
      <c r="W650" t="inlineStr">
        <is>
          <t>2004-10-30</t>
        </is>
      </c>
      <c r="X650" t="inlineStr">
        <is>
          <t>2004-10-30</t>
        </is>
      </c>
      <c r="Y650" t="inlineStr">
        <is>
          <t>1998-09-17</t>
        </is>
      </c>
      <c r="Z650" t="inlineStr">
        <is>
          <t>1998-09-17</t>
        </is>
      </c>
      <c r="AA650" t="n">
        <v>33</v>
      </c>
      <c r="AB650" t="n">
        <v>29</v>
      </c>
      <c r="AC650" t="n">
        <v>57</v>
      </c>
      <c r="AD650" t="n">
        <v>1</v>
      </c>
      <c r="AE650" t="n">
        <v>1</v>
      </c>
      <c r="AF650" t="n">
        <v>1</v>
      </c>
      <c r="AG650" t="n">
        <v>3</v>
      </c>
      <c r="AH650" t="n">
        <v>1</v>
      </c>
      <c r="AI650" t="n">
        <v>2</v>
      </c>
      <c r="AJ650" t="n">
        <v>0</v>
      </c>
      <c r="AK650" t="n">
        <v>2</v>
      </c>
      <c r="AL650" t="n">
        <v>0</v>
      </c>
      <c r="AM650" t="n">
        <v>0</v>
      </c>
      <c r="AN650" t="n">
        <v>0</v>
      </c>
      <c r="AO650" t="n">
        <v>0</v>
      </c>
      <c r="AP650" t="n">
        <v>0</v>
      </c>
      <c r="AQ650" t="n">
        <v>0</v>
      </c>
      <c r="AR650" t="inlineStr">
        <is>
          <t>No</t>
        </is>
      </c>
      <c r="AS650" t="inlineStr">
        <is>
          <t>Yes</t>
        </is>
      </c>
      <c r="AT650">
        <f>HYPERLINK("http://catalog.hathitrust.org/Record/003055121","HathiTrust Record")</f>
        <v/>
      </c>
      <c r="AU650">
        <f>HYPERLINK("https://creighton-primo.hosted.exlibrisgroup.com/primo-explore/search?tab=default_tab&amp;search_scope=EVERYTHING&amp;vid=01CRU&amp;lang=en_US&amp;offset=0&amp;query=any,contains,991000666489702656","Catalog Record")</f>
        <v/>
      </c>
      <c r="AV650">
        <f>HYPERLINK("http://www.worldcat.org/oclc/33234995","WorldCat Record")</f>
        <v/>
      </c>
      <c r="AW650" t="inlineStr">
        <is>
          <t>55976087:eng</t>
        </is>
      </c>
      <c r="AX650" t="inlineStr">
        <is>
          <t>33234995</t>
        </is>
      </c>
      <c r="AY650" t="inlineStr">
        <is>
          <t>991000666489702656</t>
        </is>
      </c>
      <c r="AZ650" t="inlineStr">
        <is>
          <t>991000666489702656</t>
        </is>
      </c>
      <c r="BA650" t="inlineStr">
        <is>
          <t>2255149310002656</t>
        </is>
      </c>
      <c r="BB650" t="inlineStr">
        <is>
          <t>BOOK</t>
        </is>
      </c>
      <c r="BD650" t="inlineStr">
        <is>
          <t>9781879907577</t>
        </is>
      </c>
      <c r="BE650" t="inlineStr">
        <is>
          <t>30001004030567</t>
        </is>
      </c>
      <c r="BF650" t="inlineStr">
        <is>
          <t>893825362</t>
        </is>
      </c>
    </row>
    <row r="651">
      <c r="B651" t="inlineStr">
        <is>
          <t>CUHSL</t>
        </is>
      </c>
      <c r="C651" t="inlineStr">
        <is>
          <t>SHELVES</t>
        </is>
      </c>
      <c r="D651" t="inlineStr">
        <is>
          <t>QV778 P957 2002</t>
        </is>
      </c>
      <c r="E651" t="inlineStr">
        <is>
          <t>0                      QV 0778000P  957         2002</t>
        </is>
      </c>
      <c r="F651" t="inlineStr">
        <is>
          <t>Principles of sterile product preparation / E. Clyde Buchanan ... [et al.].</t>
        </is>
      </c>
      <c r="H651" t="inlineStr">
        <is>
          <t>No</t>
        </is>
      </c>
      <c r="I651" t="inlineStr">
        <is>
          <t>1</t>
        </is>
      </c>
      <c r="J651" t="inlineStr">
        <is>
          <t>No</t>
        </is>
      </c>
      <c r="K651" t="inlineStr">
        <is>
          <t>Yes</t>
        </is>
      </c>
      <c r="L651" t="inlineStr">
        <is>
          <t>0</t>
        </is>
      </c>
      <c r="N651" t="inlineStr">
        <is>
          <t>Bethesda, MD : American Society of Health-System Pharamacists, c2002.</t>
        </is>
      </c>
      <c r="O651" t="inlineStr">
        <is>
          <t>2002</t>
        </is>
      </c>
      <c r="P651" t="inlineStr">
        <is>
          <t>Rev. 1st ed.</t>
        </is>
      </c>
      <c r="Q651" t="inlineStr">
        <is>
          <t>eng</t>
        </is>
      </c>
      <c r="R651" t="inlineStr">
        <is>
          <t>mdu</t>
        </is>
      </c>
      <c r="T651" t="inlineStr">
        <is>
          <t xml:space="preserve">QV </t>
        </is>
      </c>
      <c r="U651" t="n">
        <v>14</v>
      </c>
      <c r="V651" t="n">
        <v>14</v>
      </c>
      <c r="W651" t="inlineStr">
        <is>
          <t>2008-06-10</t>
        </is>
      </c>
      <c r="X651" t="inlineStr">
        <is>
          <t>2008-06-10</t>
        </is>
      </c>
      <c r="Y651" t="inlineStr">
        <is>
          <t>2004-01-23</t>
        </is>
      </c>
      <c r="Z651" t="inlineStr">
        <is>
          <t>2004-01-23</t>
        </is>
      </c>
      <c r="AA651" t="n">
        <v>44</v>
      </c>
      <c r="AB651" t="n">
        <v>32</v>
      </c>
      <c r="AC651" t="n">
        <v>57</v>
      </c>
      <c r="AD651" t="n">
        <v>1</v>
      </c>
      <c r="AE651" t="n">
        <v>1</v>
      </c>
      <c r="AF651" t="n">
        <v>2</v>
      </c>
      <c r="AG651" t="n">
        <v>3</v>
      </c>
      <c r="AH651" t="n">
        <v>1</v>
      </c>
      <c r="AI651" t="n">
        <v>2</v>
      </c>
      <c r="AJ651" t="n">
        <v>2</v>
      </c>
      <c r="AK651" t="n">
        <v>2</v>
      </c>
      <c r="AL651" t="n">
        <v>0</v>
      </c>
      <c r="AM651" t="n">
        <v>0</v>
      </c>
      <c r="AN651" t="n">
        <v>0</v>
      </c>
      <c r="AO651" t="n">
        <v>0</v>
      </c>
      <c r="AP651" t="n">
        <v>0</v>
      </c>
      <c r="AQ651" t="n">
        <v>0</v>
      </c>
      <c r="AR651" t="inlineStr">
        <is>
          <t>No</t>
        </is>
      </c>
      <c r="AS651" t="inlineStr">
        <is>
          <t>No</t>
        </is>
      </c>
      <c r="AU651">
        <f>HYPERLINK("https://creighton-primo.hosted.exlibrisgroup.com/primo-explore/search?tab=default_tab&amp;search_scope=EVERYTHING&amp;vid=01CRU&amp;lang=en_US&amp;offset=0&amp;query=any,contains,991000329439702656","Catalog Record")</f>
        <v/>
      </c>
      <c r="AV651">
        <f>HYPERLINK("http://www.worldcat.org/oclc/48547984","WorldCat Record")</f>
        <v/>
      </c>
      <c r="AW651" t="inlineStr">
        <is>
          <t>55976087:eng</t>
        </is>
      </c>
      <c r="AX651" t="inlineStr">
        <is>
          <t>48547984</t>
        </is>
      </c>
      <c r="AY651" t="inlineStr">
        <is>
          <t>991000329439702656</t>
        </is>
      </c>
      <c r="AZ651" t="inlineStr">
        <is>
          <t>991000329439702656</t>
        </is>
      </c>
      <c r="BA651" t="inlineStr">
        <is>
          <t>2267479230002656</t>
        </is>
      </c>
      <c r="BB651" t="inlineStr">
        <is>
          <t>BOOK</t>
        </is>
      </c>
      <c r="BD651" t="inlineStr">
        <is>
          <t>9781585280261</t>
        </is>
      </c>
      <c r="BE651" t="inlineStr">
        <is>
          <t>30001004508695</t>
        </is>
      </c>
      <c r="BF651" t="inlineStr">
        <is>
          <t>893741684</t>
        </is>
      </c>
    </row>
    <row r="652">
      <c r="B652" t="inlineStr">
        <is>
          <t>CUHSL</t>
        </is>
      </c>
      <c r="C652" t="inlineStr">
        <is>
          <t>SHELVES</t>
        </is>
      </c>
      <c r="D652" t="inlineStr">
        <is>
          <t>QV 778 T147m 1987</t>
        </is>
      </c>
      <c r="E652" t="inlineStr">
        <is>
          <t>0                      QV 0778000T  147m        1987</t>
        </is>
      </c>
      <c r="F652" t="inlineStr">
        <is>
          <t>Manual of pharmacologic calculations with computer programs / Ronald J. Tallarida, Rodney B. Murray.</t>
        </is>
      </c>
      <c r="H652" t="inlineStr">
        <is>
          <t>No</t>
        </is>
      </c>
      <c r="I652" t="inlineStr">
        <is>
          <t>1</t>
        </is>
      </c>
      <c r="J652" t="inlineStr">
        <is>
          <t>No</t>
        </is>
      </c>
      <c r="K652" t="inlineStr">
        <is>
          <t>No</t>
        </is>
      </c>
      <c r="L652" t="inlineStr">
        <is>
          <t>0</t>
        </is>
      </c>
      <c r="M652" t="inlineStr">
        <is>
          <t>Tallarida, Ronald J.</t>
        </is>
      </c>
      <c r="N652" t="inlineStr">
        <is>
          <t>New York : Springer-Verlag, c1987.</t>
        </is>
      </c>
      <c r="O652" t="inlineStr">
        <is>
          <t>1987</t>
        </is>
      </c>
      <c r="P652" t="inlineStr">
        <is>
          <t>2nd ed.</t>
        </is>
      </c>
      <c r="Q652" t="inlineStr">
        <is>
          <t>eng</t>
        </is>
      </c>
      <c r="R652" t="inlineStr">
        <is>
          <t>nyu</t>
        </is>
      </c>
      <c r="T652" t="inlineStr">
        <is>
          <t xml:space="preserve">QV </t>
        </is>
      </c>
      <c r="U652" t="n">
        <v>5</v>
      </c>
      <c r="V652" t="n">
        <v>5</v>
      </c>
      <c r="W652" t="inlineStr">
        <is>
          <t>1993-01-23</t>
        </is>
      </c>
      <c r="X652" t="inlineStr">
        <is>
          <t>1993-01-23</t>
        </is>
      </c>
      <c r="Y652" t="inlineStr">
        <is>
          <t>1988-02-04</t>
        </is>
      </c>
      <c r="Z652" t="inlineStr">
        <is>
          <t>1988-02-04</t>
        </is>
      </c>
      <c r="AA652" t="n">
        <v>139</v>
      </c>
      <c r="AB652" t="n">
        <v>107</v>
      </c>
      <c r="AC652" t="n">
        <v>208</v>
      </c>
      <c r="AD652" t="n">
        <v>1</v>
      </c>
      <c r="AE652" t="n">
        <v>2</v>
      </c>
      <c r="AF652" t="n">
        <v>0</v>
      </c>
      <c r="AG652" t="n">
        <v>4</v>
      </c>
      <c r="AH652" t="n">
        <v>0</v>
      </c>
      <c r="AI652" t="n">
        <v>2</v>
      </c>
      <c r="AJ652" t="n">
        <v>0</v>
      </c>
      <c r="AK652" t="n">
        <v>1</v>
      </c>
      <c r="AL652" t="n">
        <v>0</v>
      </c>
      <c r="AM652" t="n">
        <v>2</v>
      </c>
      <c r="AN652" t="n">
        <v>0</v>
      </c>
      <c r="AO652" t="n">
        <v>1</v>
      </c>
      <c r="AP652" t="n">
        <v>0</v>
      </c>
      <c r="AQ652" t="n">
        <v>0</v>
      </c>
      <c r="AR652" t="inlineStr">
        <is>
          <t>No</t>
        </is>
      </c>
      <c r="AS652" t="inlineStr">
        <is>
          <t>Yes</t>
        </is>
      </c>
      <c r="AT652">
        <f>HYPERLINK("http://catalog.hathitrust.org/Record/000595883","HathiTrust Record")</f>
        <v/>
      </c>
      <c r="AU652">
        <f>HYPERLINK("https://creighton-primo.hosted.exlibrisgroup.com/primo-explore/search?tab=default_tab&amp;search_scope=EVERYTHING&amp;vid=01CRU&amp;lang=en_US&amp;offset=0&amp;query=any,contains,991000994539702656","Catalog Record")</f>
        <v/>
      </c>
      <c r="AV652">
        <f>HYPERLINK("http://www.worldcat.org/oclc/13643625","WorldCat Record")</f>
        <v/>
      </c>
      <c r="AW652" t="inlineStr">
        <is>
          <t>7711396:eng</t>
        </is>
      </c>
      <c r="AX652" t="inlineStr">
        <is>
          <t>13643625</t>
        </is>
      </c>
      <c r="AY652" t="inlineStr">
        <is>
          <t>991000994539702656</t>
        </is>
      </c>
      <c r="AZ652" t="inlineStr">
        <is>
          <t>991000994539702656</t>
        </is>
      </c>
      <c r="BA652" t="inlineStr">
        <is>
          <t>2269487500002656</t>
        </is>
      </c>
      <c r="BB652" t="inlineStr">
        <is>
          <t>BOOK</t>
        </is>
      </c>
      <c r="BD652" t="inlineStr">
        <is>
          <t>9780387963570</t>
        </is>
      </c>
      <c r="BE652" t="inlineStr">
        <is>
          <t>30001000227506</t>
        </is>
      </c>
      <c r="BF652" t="inlineStr">
        <is>
          <t>893546292</t>
        </is>
      </c>
    </row>
    <row r="653">
      <c r="B653" t="inlineStr">
        <is>
          <t>CUHSL</t>
        </is>
      </c>
      <c r="C653" t="inlineStr">
        <is>
          <t>SHELVES</t>
        </is>
      </c>
      <c r="D653" t="inlineStr">
        <is>
          <t>QV778 T396 2005</t>
        </is>
      </c>
      <c r="E653" t="inlineStr">
        <is>
          <t>0                      QV 0778000T  396         2005</t>
        </is>
      </c>
      <c r="F653" t="inlineStr">
        <is>
          <t>Theory and practice of contemporary pharmaceutics / edited by Tapash K. Ghosh, Bhaskara R. Jasti.</t>
        </is>
      </c>
      <c r="H653" t="inlineStr">
        <is>
          <t>No</t>
        </is>
      </c>
      <c r="I653" t="inlineStr">
        <is>
          <t>1</t>
        </is>
      </c>
      <c r="J653" t="inlineStr">
        <is>
          <t>No</t>
        </is>
      </c>
      <c r="K653" t="inlineStr">
        <is>
          <t>No</t>
        </is>
      </c>
      <c r="L653" t="inlineStr">
        <is>
          <t>0</t>
        </is>
      </c>
      <c r="N653" t="inlineStr">
        <is>
          <t>Boca Raton : CRC Press, c2005.</t>
        </is>
      </c>
      <c r="O653" t="inlineStr">
        <is>
          <t>2005</t>
        </is>
      </c>
      <c r="Q653" t="inlineStr">
        <is>
          <t>eng</t>
        </is>
      </c>
      <c r="R653" t="inlineStr">
        <is>
          <t>flu</t>
        </is>
      </c>
      <c r="T653" t="inlineStr">
        <is>
          <t xml:space="preserve">QV </t>
        </is>
      </c>
      <c r="U653" t="n">
        <v>11</v>
      </c>
      <c r="V653" t="n">
        <v>11</v>
      </c>
      <c r="W653" t="inlineStr">
        <is>
          <t>2009-11-18</t>
        </is>
      </c>
      <c r="X653" t="inlineStr">
        <is>
          <t>2009-11-18</t>
        </is>
      </c>
      <c r="Y653" t="inlineStr">
        <is>
          <t>2005-03-02</t>
        </is>
      </c>
      <c r="Z653" t="inlineStr">
        <is>
          <t>2005-03-02</t>
        </is>
      </c>
      <c r="AA653" t="n">
        <v>139</v>
      </c>
      <c r="AB653" t="n">
        <v>80</v>
      </c>
      <c r="AC653" t="n">
        <v>105</v>
      </c>
      <c r="AD653" t="n">
        <v>2</v>
      </c>
      <c r="AE653" t="n">
        <v>2</v>
      </c>
      <c r="AF653" t="n">
        <v>5</v>
      </c>
      <c r="AG653" t="n">
        <v>6</v>
      </c>
      <c r="AH653" t="n">
        <v>4</v>
      </c>
      <c r="AI653" t="n">
        <v>4</v>
      </c>
      <c r="AJ653" t="n">
        <v>1</v>
      </c>
      <c r="AK653" t="n">
        <v>1</v>
      </c>
      <c r="AL653" t="n">
        <v>0</v>
      </c>
      <c r="AM653" t="n">
        <v>1</v>
      </c>
      <c r="AN653" t="n">
        <v>1</v>
      </c>
      <c r="AO653" t="n">
        <v>1</v>
      </c>
      <c r="AP653" t="n">
        <v>0</v>
      </c>
      <c r="AQ653" t="n">
        <v>0</v>
      </c>
      <c r="AR653" t="inlineStr">
        <is>
          <t>No</t>
        </is>
      </c>
      <c r="AS653" t="inlineStr">
        <is>
          <t>No</t>
        </is>
      </c>
      <c r="AU653">
        <f>HYPERLINK("https://creighton-primo.hosted.exlibrisgroup.com/primo-explore/search?tab=default_tab&amp;search_scope=EVERYTHING&amp;vid=01CRU&amp;lang=en_US&amp;offset=0&amp;query=any,contains,991000430989702656","Catalog Record")</f>
        <v/>
      </c>
      <c r="AV653">
        <f>HYPERLINK("http://www.worldcat.org/oclc/50858958","WorldCat Record")</f>
        <v/>
      </c>
      <c r="AW653" t="inlineStr">
        <is>
          <t>766866123:eng</t>
        </is>
      </c>
      <c r="AX653" t="inlineStr">
        <is>
          <t>50858958</t>
        </is>
      </c>
      <c r="AY653" t="inlineStr">
        <is>
          <t>991000430989702656</t>
        </is>
      </c>
      <c r="AZ653" t="inlineStr">
        <is>
          <t>991000430989702656</t>
        </is>
      </c>
      <c r="BA653" t="inlineStr">
        <is>
          <t>2266379710002656</t>
        </is>
      </c>
      <c r="BB653" t="inlineStr">
        <is>
          <t>BOOK</t>
        </is>
      </c>
      <c r="BD653" t="inlineStr">
        <is>
          <t>9780415288637</t>
        </is>
      </c>
      <c r="BE653" t="inlineStr">
        <is>
          <t>30001004928026</t>
        </is>
      </c>
      <c r="BF653" t="inlineStr">
        <is>
          <t>893466258</t>
        </is>
      </c>
    </row>
    <row r="654">
      <c r="B654" t="inlineStr">
        <is>
          <t>CUHSL</t>
        </is>
      </c>
      <c r="C654" t="inlineStr">
        <is>
          <t>SHELVES</t>
        </is>
      </c>
      <c r="D654" t="inlineStr">
        <is>
          <t>QV 778 T933s 1987</t>
        </is>
      </c>
      <c r="E654" t="inlineStr">
        <is>
          <t>0                      QV 0778000T  933s        1987</t>
        </is>
      </c>
      <c r="F654" t="inlineStr">
        <is>
          <t>Sterile dosage forms : their preparation and clinical application / Salvatore Turco, Robert E. King.</t>
        </is>
      </c>
      <c r="H654" t="inlineStr">
        <is>
          <t>No</t>
        </is>
      </c>
      <c r="I654" t="inlineStr">
        <is>
          <t>1</t>
        </is>
      </c>
      <c r="J654" t="inlineStr">
        <is>
          <t>No</t>
        </is>
      </c>
      <c r="K654" t="inlineStr">
        <is>
          <t>Yes</t>
        </is>
      </c>
      <c r="L654" t="inlineStr">
        <is>
          <t>0</t>
        </is>
      </c>
      <c r="M654" t="inlineStr">
        <is>
          <t>Turco, Salvatore J.</t>
        </is>
      </c>
      <c r="N654" t="inlineStr">
        <is>
          <t>Philadelphia : Lea &amp; Febiger, c1987.</t>
        </is>
      </c>
      <c r="O654" t="inlineStr">
        <is>
          <t>1987</t>
        </is>
      </c>
      <c r="P654" t="inlineStr">
        <is>
          <t>3rd ed.</t>
        </is>
      </c>
      <c r="Q654" t="inlineStr">
        <is>
          <t>eng</t>
        </is>
      </c>
      <c r="R654" t="inlineStr">
        <is>
          <t>xxu</t>
        </is>
      </c>
      <c r="T654" t="inlineStr">
        <is>
          <t xml:space="preserve">QV </t>
        </is>
      </c>
      <c r="U654" t="n">
        <v>55</v>
      </c>
      <c r="V654" t="n">
        <v>55</v>
      </c>
      <c r="W654" t="inlineStr">
        <is>
          <t>2000-12-07</t>
        </is>
      </c>
      <c r="X654" t="inlineStr">
        <is>
          <t>2000-12-07</t>
        </is>
      </c>
      <c r="Y654" t="inlineStr">
        <is>
          <t>1990-08-07</t>
        </is>
      </c>
      <c r="Z654" t="inlineStr">
        <is>
          <t>1990-08-07</t>
        </is>
      </c>
      <c r="AA654" t="n">
        <v>116</v>
      </c>
      <c r="AB654" t="n">
        <v>89</v>
      </c>
      <c r="AC654" t="n">
        <v>187</v>
      </c>
      <c r="AD654" t="n">
        <v>2</v>
      </c>
      <c r="AE654" t="n">
        <v>2</v>
      </c>
      <c r="AF654" t="n">
        <v>4</v>
      </c>
      <c r="AG654" t="n">
        <v>6</v>
      </c>
      <c r="AH654" t="n">
        <v>2</v>
      </c>
      <c r="AI654" t="n">
        <v>4</v>
      </c>
      <c r="AJ654" t="n">
        <v>1</v>
      </c>
      <c r="AK654" t="n">
        <v>2</v>
      </c>
      <c r="AL654" t="n">
        <v>0</v>
      </c>
      <c r="AM654" t="n">
        <v>0</v>
      </c>
      <c r="AN654" t="n">
        <v>1</v>
      </c>
      <c r="AO654" t="n">
        <v>1</v>
      </c>
      <c r="AP654" t="n">
        <v>0</v>
      </c>
      <c r="AQ654" t="n">
        <v>0</v>
      </c>
      <c r="AR654" t="inlineStr">
        <is>
          <t>No</t>
        </is>
      </c>
      <c r="AS654" t="inlineStr">
        <is>
          <t>Yes</t>
        </is>
      </c>
      <c r="AT654">
        <f>HYPERLINK("http://catalog.hathitrust.org/Record/000830937","HathiTrust Record")</f>
        <v/>
      </c>
      <c r="AU654">
        <f>HYPERLINK("https://creighton-primo.hosted.exlibrisgroup.com/primo-explore/search?tab=default_tab&amp;search_scope=EVERYTHING&amp;vid=01CRU&amp;lang=en_US&amp;offset=0&amp;query=any,contains,991001452089702656","Catalog Record")</f>
        <v/>
      </c>
      <c r="AV654">
        <f>HYPERLINK("http://www.worldcat.org/oclc/14242644","WorldCat Record")</f>
        <v/>
      </c>
      <c r="AW654" t="inlineStr">
        <is>
          <t>9083293:eng</t>
        </is>
      </c>
      <c r="AX654" t="inlineStr">
        <is>
          <t>14242644</t>
        </is>
      </c>
      <c r="AY654" t="inlineStr">
        <is>
          <t>991001452089702656</t>
        </is>
      </c>
      <c r="AZ654" t="inlineStr">
        <is>
          <t>991001452089702656</t>
        </is>
      </c>
      <c r="BA654" t="inlineStr">
        <is>
          <t>2267366040002656</t>
        </is>
      </c>
      <c r="BB654" t="inlineStr">
        <is>
          <t>BOOK</t>
        </is>
      </c>
      <c r="BD654" t="inlineStr">
        <is>
          <t>9780812110678</t>
        </is>
      </c>
      <c r="BE654" t="inlineStr">
        <is>
          <t>30001001883430</t>
        </is>
      </c>
      <c r="BF654" t="inlineStr">
        <is>
          <t>893162022</t>
        </is>
      </c>
    </row>
    <row r="655">
      <c r="B655" t="inlineStr">
        <is>
          <t>CUHSL</t>
        </is>
      </c>
      <c r="C655" t="inlineStr">
        <is>
          <t>SHELVES</t>
        </is>
      </c>
      <c r="D655" t="inlineStr">
        <is>
          <t>QV 778 T933s 1994</t>
        </is>
      </c>
      <c r="E655" t="inlineStr">
        <is>
          <t>0                      QV 0778000T  933s        1994</t>
        </is>
      </c>
      <c r="F655" t="inlineStr">
        <is>
          <t>Sterile dosage forms : their preparation and clinical application / Salvatore Turco.</t>
        </is>
      </c>
      <c r="H655" t="inlineStr">
        <is>
          <t>No</t>
        </is>
      </c>
      <c r="I655" t="inlineStr">
        <is>
          <t>1</t>
        </is>
      </c>
      <c r="J655" t="inlineStr">
        <is>
          <t>No</t>
        </is>
      </c>
      <c r="K655" t="inlineStr">
        <is>
          <t>Yes</t>
        </is>
      </c>
      <c r="L655" t="inlineStr">
        <is>
          <t>0</t>
        </is>
      </c>
      <c r="M655" t="inlineStr">
        <is>
          <t>Turco, Salvatore J.</t>
        </is>
      </c>
      <c r="N655" t="inlineStr">
        <is>
          <t>Philadelphia : Lea &amp; Febiger, c1994.</t>
        </is>
      </c>
      <c r="O655" t="inlineStr">
        <is>
          <t>1994</t>
        </is>
      </c>
      <c r="P655" t="inlineStr">
        <is>
          <t>4th ed.</t>
        </is>
      </c>
      <c r="Q655" t="inlineStr">
        <is>
          <t>eng</t>
        </is>
      </c>
      <c r="R655" t="inlineStr">
        <is>
          <t>pau</t>
        </is>
      </c>
      <c r="T655" t="inlineStr">
        <is>
          <t xml:space="preserve">QV </t>
        </is>
      </c>
      <c r="U655" t="n">
        <v>137</v>
      </c>
      <c r="V655" t="n">
        <v>137</v>
      </c>
      <c r="W655" t="inlineStr">
        <is>
          <t>2004-09-27</t>
        </is>
      </c>
      <c r="X655" t="inlineStr">
        <is>
          <t>2004-09-27</t>
        </is>
      </c>
      <c r="Y655" t="inlineStr">
        <is>
          <t>1994-08-04</t>
        </is>
      </c>
      <c r="Z655" t="inlineStr">
        <is>
          <t>1994-08-04</t>
        </is>
      </c>
      <c r="AA655" t="n">
        <v>107</v>
      </c>
      <c r="AB655" t="n">
        <v>76</v>
      </c>
      <c r="AC655" t="n">
        <v>187</v>
      </c>
      <c r="AD655" t="n">
        <v>1</v>
      </c>
      <c r="AE655" t="n">
        <v>2</v>
      </c>
      <c r="AF655" t="n">
        <v>5</v>
      </c>
      <c r="AG655" t="n">
        <v>6</v>
      </c>
      <c r="AH655" t="n">
        <v>4</v>
      </c>
      <c r="AI655" t="n">
        <v>4</v>
      </c>
      <c r="AJ655" t="n">
        <v>2</v>
      </c>
      <c r="AK655" t="n">
        <v>2</v>
      </c>
      <c r="AL655" t="n">
        <v>0</v>
      </c>
      <c r="AM655" t="n">
        <v>0</v>
      </c>
      <c r="AN655" t="n">
        <v>0</v>
      </c>
      <c r="AO655" t="n">
        <v>1</v>
      </c>
      <c r="AP655" t="n">
        <v>0</v>
      </c>
      <c r="AQ655" t="n">
        <v>0</v>
      </c>
      <c r="AR655" t="inlineStr">
        <is>
          <t>No</t>
        </is>
      </c>
      <c r="AS655" t="inlineStr">
        <is>
          <t>Yes</t>
        </is>
      </c>
      <c r="AT655">
        <f>HYPERLINK("http://catalog.hathitrust.org/Record/002780532","HathiTrust Record")</f>
        <v/>
      </c>
      <c r="AU655">
        <f>HYPERLINK("https://creighton-primo.hosted.exlibrisgroup.com/primo-explore/search?tab=default_tab&amp;search_scope=EVERYTHING&amp;vid=01CRU&amp;lang=en_US&amp;offset=0&amp;query=any,contains,991001487229702656","Catalog Record")</f>
        <v/>
      </c>
      <c r="AV655">
        <f>HYPERLINK("http://www.worldcat.org/oclc/28427868","WorldCat Record")</f>
        <v/>
      </c>
      <c r="AW655" t="inlineStr">
        <is>
          <t>9083293:eng</t>
        </is>
      </c>
      <c r="AX655" t="inlineStr">
        <is>
          <t>28427868</t>
        </is>
      </c>
      <c r="AY655" t="inlineStr">
        <is>
          <t>991001487229702656</t>
        </is>
      </c>
      <c r="AZ655" t="inlineStr">
        <is>
          <t>991001487229702656</t>
        </is>
      </c>
      <c r="BA655" t="inlineStr">
        <is>
          <t>2262951660002656</t>
        </is>
      </c>
      <c r="BB655" t="inlineStr">
        <is>
          <t>BOOK</t>
        </is>
      </c>
      <c r="BD655" t="inlineStr">
        <is>
          <t>9780812116175</t>
        </is>
      </c>
      <c r="BE655" t="inlineStr">
        <is>
          <t>30001002579623</t>
        </is>
      </c>
      <c r="BF655" t="inlineStr">
        <is>
          <t>893455847</t>
        </is>
      </c>
    </row>
    <row r="656">
      <c r="B656" t="inlineStr">
        <is>
          <t>CUHSL</t>
        </is>
      </c>
      <c r="C656" t="inlineStr">
        <is>
          <t>SHELVES</t>
        </is>
      </c>
      <c r="D656" t="inlineStr">
        <is>
          <t>QV 785 A618i 1990</t>
        </is>
      </c>
      <c r="E656" t="inlineStr">
        <is>
          <t>0                      QV 0785000A  618i        1990</t>
        </is>
      </c>
      <c r="F656" t="inlineStr">
        <is>
          <t>Pharmaceutical dosage forms and drug delivery systems / Howard C. Ansel, Nicholas G. Popovich.</t>
        </is>
      </c>
      <c r="H656" t="inlineStr">
        <is>
          <t>No</t>
        </is>
      </c>
      <c r="I656" t="inlineStr">
        <is>
          <t>1</t>
        </is>
      </c>
      <c r="J656" t="inlineStr">
        <is>
          <t>No</t>
        </is>
      </c>
      <c r="K656" t="inlineStr">
        <is>
          <t>Yes</t>
        </is>
      </c>
      <c r="L656" t="inlineStr">
        <is>
          <t>0</t>
        </is>
      </c>
      <c r="M656" t="inlineStr">
        <is>
          <t>Ansel, Howard C., 1933-</t>
        </is>
      </c>
      <c r="N656" t="inlineStr">
        <is>
          <t>Philadelphia : Lea &amp; Febiger, c1990.</t>
        </is>
      </c>
      <c r="O656" t="inlineStr">
        <is>
          <t>1990</t>
        </is>
      </c>
      <c r="P656" t="inlineStr">
        <is>
          <t>5th ed.</t>
        </is>
      </c>
      <c r="Q656" t="inlineStr">
        <is>
          <t>eng</t>
        </is>
      </c>
      <c r="R656" t="inlineStr">
        <is>
          <t>xxu</t>
        </is>
      </c>
      <c r="T656" t="inlineStr">
        <is>
          <t xml:space="preserve">QV </t>
        </is>
      </c>
      <c r="U656" t="n">
        <v>18</v>
      </c>
      <c r="V656" t="n">
        <v>18</v>
      </c>
      <c r="W656" t="inlineStr">
        <is>
          <t>2007-03-26</t>
        </is>
      </c>
      <c r="X656" t="inlineStr">
        <is>
          <t>2007-03-26</t>
        </is>
      </c>
      <c r="Y656" t="inlineStr">
        <is>
          <t>1990-08-09</t>
        </is>
      </c>
      <c r="Z656" t="inlineStr">
        <is>
          <t>1990-08-09</t>
        </is>
      </c>
      <c r="AA656" t="n">
        <v>124</v>
      </c>
      <c r="AB656" t="n">
        <v>79</v>
      </c>
      <c r="AC656" t="n">
        <v>157</v>
      </c>
      <c r="AD656" t="n">
        <v>1</v>
      </c>
      <c r="AE656" t="n">
        <v>1</v>
      </c>
      <c r="AF656" t="n">
        <v>3</v>
      </c>
      <c r="AG656" t="n">
        <v>5</v>
      </c>
      <c r="AH656" t="n">
        <v>3</v>
      </c>
      <c r="AI656" t="n">
        <v>3</v>
      </c>
      <c r="AJ656" t="n">
        <v>1</v>
      </c>
      <c r="AK656" t="n">
        <v>2</v>
      </c>
      <c r="AL656" t="n">
        <v>0</v>
      </c>
      <c r="AM656" t="n">
        <v>1</v>
      </c>
      <c r="AN656" t="n">
        <v>0</v>
      </c>
      <c r="AO656" t="n">
        <v>0</v>
      </c>
      <c r="AP656" t="n">
        <v>0</v>
      </c>
      <c r="AQ656" t="n">
        <v>0</v>
      </c>
      <c r="AR656" t="inlineStr">
        <is>
          <t>No</t>
        </is>
      </c>
      <c r="AS656" t="inlineStr">
        <is>
          <t>No</t>
        </is>
      </c>
      <c r="AU656">
        <f>HYPERLINK("https://creighton-primo.hosted.exlibrisgroup.com/primo-explore/search?tab=default_tab&amp;search_scope=EVERYTHING&amp;vid=01CRU&amp;lang=en_US&amp;offset=0&amp;query=any,contains,991001452419702656","Catalog Record")</f>
        <v/>
      </c>
      <c r="AV656">
        <f>HYPERLINK("http://www.worldcat.org/oclc/19739330","WorldCat Record")</f>
        <v/>
      </c>
      <c r="AW656" t="inlineStr">
        <is>
          <t>3901289784:eng</t>
        </is>
      </c>
      <c r="AX656" t="inlineStr">
        <is>
          <t>19739330</t>
        </is>
      </c>
      <c r="AY656" t="inlineStr">
        <is>
          <t>991001452419702656</t>
        </is>
      </c>
      <c r="AZ656" t="inlineStr">
        <is>
          <t>991001452419702656</t>
        </is>
      </c>
      <c r="BA656" t="inlineStr">
        <is>
          <t>2258618720002656</t>
        </is>
      </c>
      <c r="BB656" t="inlineStr">
        <is>
          <t>BOOK</t>
        </is>
      </c>
      <c r="BD656" t="inlineStr">
        <is>
          <t>9780812112559</t>
        </is>
      </c>
      <c r="BE656" t="inlineStr">
        <is>
          <t>30001001883596</t>
        </is>
      </c>
      <c r="BF656" t="inlineStr">
        <is>
          <t>893369409</t>
        </is>
      </c>
    </row>
    <row r="657">
      <c r="B657" t="inlineStr">
        <is>
          <t>CUHSL</t>
        </is>
      </c>
      <c r="C657" t="inlineStr">
        <is>
          <t>SHELVES</t>
        </is>
      </c>
      <c r="D657" t="inlineStr">
        <is>
          <t>QV 785 A618i 1999</t>
        </is>
      </c>
      <c r="E657" t="inlineStr">
        <is>
          <t>0                      QV 0785000A  618i        1999</t>
        </is>
      </c>
      <c r="F657" t="inlineStr">
        <is>
          <t>Pharmaceutical dosage forms and drug delivery systems / Howard C. Ansel, Loyd V. Allen, Jr., Nicholas G. Popovich.</t>
        </is>
      </c>
      <c r="H657" t="inlineStr">
        <is>
          <t>No</t>
        </is>
      </c>
      <c r="I657" t="inlineStr">
        <is>
          <t>1</t>
        </is>
      </c>
      <c r="J657" t="inlineStr">
        <is>
          <t>No</t>
        </is>
      </c>
      <c r="K657" t="inlineStr">
        <is>
          <t>Yes</t>
        </is>
      </c>
      <c r="L657" t="inlineStr">
        <is>
          <t>0</t>
        </is>
      </c>
      <c r="M657" t="inlineStr">
        <is>
          <t>Ansel, Howard C., 1933-</t>
        </is>
      </c>
      <c r="N657" t="inlineStr">
        <is>
          <t>Philadelphia, Pa. : Lippincott-Williams &amp; Wilkins, c1999.</t>
        </is>
      </c>
      <c r="O657" t="inlineStr">
        <is>
          <t>1999</t>
        </is>
      </c>
      <c r="P657" t="inlineStr">
        <is>
          <t>7th ed.</t>
        </is>
      </c>
      <c r="Q657" t="inlineStr">
        <is>
          <t>eng</t>
        </is>
      </c>
      <c r="R657" t="inlineStr">
        <is>
          <t>pau</t>
        </is>
      </c>
      <c r="T657" t="inlineStr">
        <is>
          <t xml:space="preserve">QV </t>
        </is>
      </c>
      <c r="U657" t="n">
        <v>35</v>
      </c>
      <c r="V657" t="n">
        <v>35</v>
      </c>
      <c r="W657" t="inlineStr">
        <is>
          <t>2007-04-05</t>
        </is>
      </c>
      <c r="X657" t="inlineStr">
        <is>
          <t>2007-04-05</t>
        </is>
      </c>
      <c r="Y657" t="inlineStr">
        <is>
          <t>1999-11-05</t>
        </is>
      </c>
      <c r="Z657" t="inlineStr">
        <is>
          <t>1999-11-05</t>
        </is>
      </c>
      <c r="AA657" t="n">
        <v>154</v>
      </c>
      <c r="AB657" t="n">
        <v>93</v>
      </c>
      <c r="AC657" t="n">
        <v>157</v>
      </c>
      <c r="AD657" t="n">
        <v>1</v>
      </c>
      <c r="AE657" t="n">
        <v>1</v>
      </c>
      <c r="AF657" t="n">
        <v>2</v>
      </c>
      <c r="AG657" t="n">
        <v>5</v>
      </c>
      <c r="AH657" t="n">
        <v>0</v>
      </c>
      <c r="AI657" t="n">
        <v>3</v>
      </c>
      <c r="AJ657" t="n">
        <v>1</v>
      </c>
      <c r="AK657" t="n">
        <v>2</v>
      </c>
      <c r="AL657" t="n">
        <v>1</v>
      </c>
      <c r="AM657" t="n">
        <v>1</v>
      </c>
      <c r="AN657" t="n">
        <v>0</v>
      </c>
      <c r="AO657" t="n">
        <v>0</v>
      </c>
      <c r="AP657" t="n">
        <v>0</v>
      </c>
      <c r="AQ657" t="n">
        <v>0</v>
      </c>
      <c r="AR657" t="inlineStr">
        <is>
          <t>No</t>
        </is>
      </c>
      <c r="AS657" t="inlineStr">
        <is>
          <t>No</t>
        </is>
      </c>
      <c r="AU657">
        <f>HYPERLINK("https://creighton-primo.hosted.exlibrisgroup.com/primo-explore/search?tab=default_tab&amp;search_scope=EVERYTHING&amp;vid=01CRU&amp;lang=en_US&amp;offset=0&amp;query=any,contains,991001408449702656","Catalog Record")</f>
        <v/>
      </c>
      <c r="AV657">
        <f>HYPERLINK("http://www.worldcat.org/oclc/40881470","WorldCat Record")</f>
        <v/>
      </c>
      <c r="AW657" t="inlineStr">
        <is>
          <t>3901289784:eng</t>
        </is>
      </c>
      <c r="AX657" t="inlineStr">
        <is>
          <t>40881470</t>
        </is>
      </c>
      <c r="AY657" t="inlineStr">
        <is>
          <t>991001408449702656</t>
        </is>
      </c>
      <c r="AZ657" t="inlineStr">
        <is>
          <t>991001408449702656</t>
        </is>
      </c>
      <c r="BA657" t="inlineStr">
        <is>
          <t>2258500770002656</t>
        </is>
      </c>
      <c r="BB657" t="inlineStr">
        <is>
          <t>BOOK</t>
        </is>
      </c>
      <c r="BD657" t="inlineStr">
        <is>
          <t>9780683305722</t>
        </is>
      </c>
      <c r="BE657" t="inlineStr">
        <is>
          <t>30001003830165</t>
        </is>
      </c>
      <c r="BF657" t="inlineStr">
        <is>
          <t>893287403</t>
        </is>
      </c>
    </row>
    <row r="658">
      <c r="B658" t="inlineStr">
        <is>
          <t>CUHSL</t>
        </is>
      </c>
      <c r="C658" t="inlineStr">
        <is>
          <t>SHELVES</t>
        </is>
      </c>
      <c r="D658" t="inlineStr">
        <is>
          <t>QV 785 B6144 1990</t>
        </is>
      </c>
      <c r="E658" t="inlineStr">
        <is>
          <t>0                      QV 0785000B  6144        1990</t>
        </is>
      </c>
      <c r="F658" t="inlineStr">
        <is>
          <t>Bioadhesive drug delivery systems / editors, Vincent Lenaerts, Robert Gurny.</t>
        </is>
      </c>
      <c r="H658" t="inlineStr">
        <is>
          <t>No</t>
        </is>
      </c>
      <c r="I658" t="inlineStr">
        <is>
          <t>1</t>
        </is>
      </c>
      <c r="J658" t="inlineStr">
        <is>
          <t>No</t>
        </is>
      </c>
      <c r="K658" t="inlineStr">
        <is>
          <t>No</t>
        </is>
      </c>
      <c r="L658" t="inlineStr">
        <is>
          <t>0</t>
        </is>
      </c>
      <c r="N658" t="inlineStr">
        <is>
          <t>Boca Raton, Fla. : CRC Press, c1990.</t>
        </is>
      </c>
      <c r="O658" t="inlineStr">
        <is>
          <t>1990</t>
        </is>
      </c>
      <c r="Q658" t="inlineStr">
        <is>
          <t>eng</t>
        </is>
      </c>
      <c r="R658" t="inlineStr">
        <is>
          <t>xxu</t>
        </is>
      </c>
      <c r="T658" t="inlineStr">
        <is>
          <t xml:space="preserve">QV </t>
        </is>
      </c>
      <c r="U658" t="n">
        <v>13</v>
      </c>
      <c r="V658" t="n">
        <v>13</v>
      </c>
      <c r="W658" t="inlineStr">
        <is>
          <t>2006-08-20</t>
        </is>
      </c>
      <c r="X658" t="inlineStr">
        <is>
          <t>2006-08-20</t>
        </is>
      </c>
      <c r="Y658" t="inlineStr">
        <is>
          <t>1990-08-09</t>
        </is>
      </c>
      <c r="Z658" t="inlineStr">
        <is>
          <t>1990-08-09</t>
        </is>
      </c>
      <c r="AA658" t="n">
        <v>102</v>
      </c>
      <c r="AB658" t="n">
        <v>75</v>
      </c>
      <c r="AC658" t="n">
        <v>75</v>
      </c>
      <c r="AD658" t="n">
        <v>1</v>
      </c>
      <c r="AE658" t="n">
        <v>1</v>
      </c>
      <c r="AF658" t="n">
        <v>2</v>
      </c>
      <c r="AG658" t="n">
        <v>2</v>
      </c>
      <c r="AH658" t="n">
        <v>0</v>
      </c>
      <c r="AI658" t="n">
        <v>0</v>
      </c>
      <c r="AJ658" t="n">
        <v>2</v>
      </c>
      <c r="AK658" t="n">
        <v>2</v>
      </c>
      <c r="AL658" t="n">
        <v>0</v>
      </c>
      <c r="AM658" t="n">
        <v>0</v>
      </c>
      <c r="AN658" t="n">
        <v>0</v>
      </c>
      <c r="AO658" t="n">
        <v>0</v>
      </c>
      <c r="AP658" t="n">
        <v>0</v>
      </c>
      <c r="AQ658" t="n">
        <v>0</v>
      </c>
      <c r="AR658" t="inlineStr">
        <is>
          <t>No</t>
        </is>
      </c>
      <c r="AS658" t="inlineStr">
        <is>
          <t>No</t>
        </is>
      </c>
      <c r="AU658">
        <f>HYPERLINK("https://creighton-primo.hosted.exlibrisgroup.com/primo-explore/search?tab=default_tab&amp;search_scope=EVERYTHING&amp;vid=01CRU&amp;lang=en_US&amp;offset=0&amp;query=any,contains,991001452629702656","Catalog Record")</f>
        <v/>
      </c>
      <c r="AV658">
        <f>HYPERLINK("http://www.worldcat.org/oclc/19553672","WorldCat Record")</f>
        <v/>
      </c>
      <c r="AW658" t="inlineStr">
        <is>
          <t>365356496:eng</t>
        </is>
      </c>
      <c r="AX658" t="inlineStr">
        <is>
          <t>19553672</t>
        </is>
      </c>
      <c r="AY658" t="inlineStr">
        <is>
          <t>991001452629702656</t>
        </is>
      </c>
      <c r="AZ658" t="inlineStr">
        <is>
          <t>991001452629702656</t>
        </is>
      </c>
      <c r="BA658" t="inlineStr">
        <is>
          <t>2257024010002656</t>
        </is>
      </c>
      <c r="BB658" t="inlineStr">
        <is>
          <t>BOOK</t>
        </is>
      </c>
      <c r="BD658" t="inlineStr">
        <is>
          <t>9780849353673</t>
        </is>
      </c>
      <c r="BE658" t="inlineStr">
        <is>
          <t>30001001883679</t>
        </is>
      </c>
      <c r="BF658" t="inlineStr">
        <is>
          <t>893552519</t>
        </is>
      </c>
    </row>
    <row r="659">
      <c r="B659" t="inlineStr">
        <is>
          <t>CUHSL</t>
        </is>
      </c>
      <c r="C659" t="inlineStr">
        <is>
          <t>SHELVES</t>
        </is>
      </c>
      <c r="D659" t="inlineStr">
        <is>
          <t>QV 785 C7642 1989</t>
        </is>
      </c>
      <c r="E659" t="inlineStr">
        <is>
          <t>0                      QV 0785000C  7642        1989</t>
        </is>
      </c>
      <c r="F659" t="inlineStr">
        <is>
          <t>Controlled release of drugs : polymers and aggregate systems / edited by Morton Rosoff.</t>
        </is>
      </c>
      <c r="H659" t="inlineStr">
        <is>
          <t>No</t>
        </is>
      </c>
      <c r="I659" t="inlineStr">
        <is>
          <t>1</t>
        </is>
      </c>
      <c r="J659" t="inlineStr">
        <is>
          <t>No</t>
        </is>
      </c>
      <c r="K659" t="inlineStr">
        <is>
          <t>No</t>
        </is>
      </c>
      <c r="L659" t="inlineStr">
        <is>
          <t>0</t>
        </is>
      </c>
      <c r="N659" t="inlineStr">
        <is>
          <t>New York, N.Y. : VCH Publishers ; Federal Republic of Germany : VCH Verlagsgesellschaft, c1989.</t>
        </is>
      </c>
      <c r="O659" t="inlineStr">
        <is>
          <t>1989</t>
        </is>
      </c>
      <c r="Q659" t="inlineStr">
        <is>
          <t>eng</t>
        </is>
      </c>
      <c r="R659" t="inlineStr">
        <is>
          <t>xxu</t>
        </is>
      </c>
      <c r="T659" t="inlineStr">
        <is>
          <t xml:space="preserve">QV </t>
        </is>
      </c>
      <c r="U659" t="n">
        <v>16</v>
      </c>
      <c r="V659" t="n">
        <v>16</v>
      </c>
      <c r="W659" t="inlineStr">
        <is>
          <t>2006-08-20</t>
        </is>
      </c>
      <c r="X659" t="inlineStr">
        <is>
          <t>2006-08-20</t>
        </is>
      </c>
      <c r="Y659" t="inlineStr">
        <is>
          <t>1990-05-24</t>
        </is>
      </c>
      <c r="Z659" t="inlineStr">
        <is>
          <t>1990-05-24</t>
        </is>
      </c>
      <c r="AA659" t="n">
        <v>145</v>
      </c>
      <c r="AB659" t="n">
        <v>100</v>
      </c>
      <c r="AC659" t="n">
        <v>108</v>
      </c>
      <c r="AD659" t="n">
        <v>2</v>
      </c>
      <c r="AE659" t="n">
        <v>2</v>
      </c>
      <c r="AF659" t="n">
        <v>6</v>
      </c>
      <c r="AG659" t="n">
        <v>6</v>
      </c>
      <c r="AH659" t="n">
        <v>2</v>
      </c>
      <c r="AI659" t="n">
        <v>2</v>
      </c>
      <c r="AJ659" t="n">
        <v>3</v>
      </c>
      <c r="AK659" t="n">
        <v>3</v>
      </c>
      <c r="AL659" t="n">
        <v>2</v>
      </c>
      <c r="AM659" t="n">
        <v>2</v>
      </c>
      <c r="AN659" t="n">
        <v>1</v>
      </c>
      <c r="AO659" t="n">
        <v>1</v>
      </c>
      <c r="AP659" t="n">
        <v>0</v>
      </c>
      <c r="AQ659" t="n">
        <v>0</v>
      </c>
      <c r="AR659" t="inlineStr">
        <is>
          <t>No</t>
        </is>
      </c>
      <c r="AS659" t="inlineStr">
        <is>
          <t>Yes</t>
        </is>
      </c>
      <c r="AT659">
        <f>HYPERLINK("http://catalog.hathitrust.org/Record/001821966","HathiTrust Record")</f>
        <v/>
      </c>
      <c r="AU659">
        <f>HYPERLINK("https://creighton-primo.hosted.exlibrisgroup.com/primo-explore/search?tab=default_tab&amp;search_scope=EVERYTHING&amp;vid=01CRU&amp;lang=en_US&amp;offset=0&amp;query=any,contains,991001448629702656","Catalog Record")</f>
        <v/>
      </c>
      <c r="AV659">
        <f>HYPERLINK("http://www.worldcat.org/oclc/18106215","WorldCat Record")</f>
        <v/>
      </c>
      <c r="AW659" t="inlineStr">
        <is>
          <t>897836639:eng</t>
        </is>
      </c>
      <c r="AX659" t="inlineStr">
        <is>
          <t>18106215</t>
        </is>
      </c>
      <c r="AY659" t="inlineStr">
        <is>
          <t>991001448629702656</t>
        </is>
      </c>
      <c r="AZ659" t="inlineStr">
        <is>
          <t>991001448629702656</t>
        </is>
      </c>
      <c r="BA659" t="inlineStr">
        <is>
          <t>2265450920002656</t>
        </is>
      </c>
      <c r="BB659" t="inlineStr">
        <is>
          <t>BOOK</t>
        </is>
      </c>
      <c r="BD659" t="inlineStr">
        <is>
          <t>9780895733214</t>
        </is>
      </c>
      <c r="BE659" t="inlineStr">
        <is>
          <t>30001001881962</t>
        </is>
      </c>
      <c r="BF659" t="inlineStr">
        <is>
          <t>893279116</t>
        </is>
      </c>
    </row>
    <row r="660">
      <c r="B660" t="inlineStr">
        <is>
          <t>CUHSL</t>
        </is>
      </c>
      <c r="C660" t="inlineStr">
        <is>
          <t>SHELVES</t>
        </is>
      </c>
      <c r="D660" t="inlineStr">
        <is>
          <t>QV 785 C951p 1952</t>
        </is>
      </c>
      <c r="E660" t="inlineStr">
        <is>
          <t>0                      QV 0785000C  951p        1952</t>
        </is>
      </c>
      <c r="F660" t="inlineStr">
        <is>
          <t>Pharmaceutical preparations / by George E. Crossen and Karl J. Goldner.</t>
        </is>
      </c>
      <c r="H660" t="inlineStr">
        <is>
          <t>No</t>
        </is>
      </c>
      <c r="I660" t="inlineStr">
        <is>
          <t>1</t>
        </is>
      </c>
      <c r="J660" t="inlineStr">
        <is>
          <t>No</t>
        </is>
      </c>
      <c r="K660" t="inlineStr">
        <is>
          <t>No</t>
        </is>
      </c>
      <c r="L660" t="inlineStr">
        <is>
          <t>0</t>
        </is>
      </c>
      <c r="M660" t="inlineStr">
        <is>
          <t>Crossen, George Edward, 1905-</t>
        </is>
      </c>
      <c r="N660" t="inlineStr">
        <is>
          <t>Philadelphia : Lea &amp; Febiger, c1952.</t>
        </is>
      </c>
      <c r="O660" t="inlineStr">
        <is>
          <t>1952</t>
        </is>
      </c>
      <c r="P660" t="inlineStr">
        <is>
          <t>3d ed., thoroughly rev.</t>
        </is>
      </c>
      <c r="Q660" t="inlineStr">
        <is>
          <t>eng</t>
        </is>
      </c>
      <c r="R660" t="inlineStr">
        <is>
          <t>pau</t>
        </is>
      </c>
      <c r="T660" t="inlineStr">
        <is>
          <t xml:space="preserve">QV </t>
        </is>
      </c>
      <c r="U660" t="n">
        <v>1</v>
      </c>
      <c r="V660" t="n">
        <v>1</v>
      </c>
      <c r="W660" t="inlineStr">
        <is>
          <t>1999-09-10</t>
        </is>
      </c>
      <c r="X660" t="inlineStr">
        <is>
          <t>1999-09-10</t>
        </is>
      </c>
      <c r="Y660" t="inlineStr">
        <is>
          <t>1988-02-04</t>
        </is>
      </c>
      <c r="Z660" t="inlineStr">
        <is>
          <t>1988-02-04</t>
        </is>
      </c>
      <c r="AA660" t="n">
        <v>51</v>
      </c>
      <c r="AB660" t="n">
        <v>47</v>
      </c>
      <c r="AC660" t="n">
        <v>59</v>
      </c>
      <c r="AD660" t="n">
        <v>2</v>
      </c>
      <c r="AE660" t="n">
        <v>2</v>
      </c>
      <c r="AF660" t="n">
        <v>4</v>
      </c>
      <c r="AG660" t="n">
        <v>4</v>
      </c>
      <c r="AH660" t="n">
        <v>2</v>
      </c>
      <c r="AI660" t="n">
        <v>2</v>
      </c>
      <c r="AJ660" t="n">
        <v>2</v>
      </c>
      <c r="AK660" t="n">
        <v>2</v>
      </c>
      <c r="AL660" t="n">
        <v>0</v>
      </c>
      <c r="AM660" t="n">
        <v>0</v>
      </c>
      <c r="AN660" t="n">
        <v>1</v>
      </c>
      <c r="AO660" t="n">
        <v>1</v>
      </c>
      <c r="AP660" t="n">
        <v>0</v>
      </c>
      <c r="AQ660" t="n">
        <v>0</v>
      </c>
      <c r="AR660" t="inlineStr">
        <is>
          <t>No</t>
        </is>
      </c>
      <c r="AS660" t="inlineStr">
        <is>
          <t>Yes</t>
        </is>
      </c>
      <c r="AT660">
        <f>HYPERLINK("http://catalog.hathitrust.org/Record/001582291","HathiTrust Record")</f>
        <v/>
      </c>
      <c r="AU660">
        <f>HYPERLINK("https://creighton-primo.hosted.exlibrisgroup.com/primo-explore/search?tab=default_tab&amp;search_scope=EVERYTHING&amp;vid=01CRU&amp;lang=en_US&amp;offset=0&amp;query=any,contains,991000994489702656","Catalog Record")</f>
        <v/>
      </c>
      <c r="AV660">
        <f>HYPERLINK("http://www.worldcat.org/oclc/3254114","WorldCat Record")</f>
        <v/>
      </c>
      <c r="AW660" t="inlineStr">
        <is>
          <t>8568765:eng</t>
        </is>
      </c>
      <c r="AX660" t="inlineStr">
        <is>
          <t>3254114</t>
        </is>
      </c>
      <c r="AY660" t="inlineStr">
        <is>
          <t>991000994489702656</t>
        </is>
      </c>
      <c r="AZ660" t="inlineStr">
        <is>
          <t>991000994489702656</t>
        </is>
      </c>
      <c r="BA660" t="inlineStr">
        <is>
          <t>2254725520002656</t>
        </is>
      </c>
      <c r="BB660" t="inlineStr">
        <is>
          <t>BOOK</t>
        </is>
      </c>
      <c r="BE660" t="inlineStr">
        <is>
          <t>30001000227480</t>
        </is>
      </c>
      <c r="BF660" t="inlineStr">
        <is>
          <t>893820830</t>
        </is>
      </c>
    </row>
    <row r="661">
      <c r="B661" t="inlineStr">
        <is>
          <t>CUHSL</t>
        </is>
      </c>
      <c r="C661" t="inlineStr">
        <is>
          <t>SHELVES</t>
        </is>
      </c>
      <c r="D661" t="inlineStr">
        <is>
          <t>QV 785 I34 1991</t>
        </is>
      </c>
      <c r="E661" t="inlineStr">
        <is>
          <t>0                      QV 0785000I  34          1991</t>
        </is>
      </c>
      <c r="F661" t="inlineStr">
        <is>
          <t>Implantable drug delivery systems / editors, U. Laffer, I. Bachmann-Mettler, U. Metzger.</t>
        </is>
      </c>
      <c r="H661" t="inlineStr">
        <is>
          <t>No</t>
        </is>
      </c>
      <c r="I661" t="inlineStr">
        <is>
          <t>1</t>
        </is>
      </c>
      <c r="J661" t="inlineStr">
        <is>
          <t>No</t>
        </is>
      </c>
      <c r="K661" t="inlineStr">
        <is>
          <t>No</t>
        </is>
      </c>
      <c r="L661" t="inlineStr">
        <is>
          <t>0</t>
        </is>
      </c>
      <c r="N661" t="inlineStr">
        <is>
          <t>Basel ; New York : Karger, c1991.</t>
        </is>
      </c>
      <c r="O661" t="inlineStr">
        <is>
          <t>1991</t>
        </is>
      </c>
      <c r="Q661" t="inlineStr">
        <is>
          <t>eng</t>
        </is>
      </c>
      <c r="R661" t="inlineStr">
        <is>
          <t xml:space="preserve">sz </t>
        </is>
      </c>
      <c r="T661" t="inlineStr">
        <is>
          <t xml:space="preserve">QV </t>
        </is>
      </c>
      <c r="U661" t="n">
        <v>9</v>
      </c>
      <c r="V661" t="n">
        <v>9</v>
      </c>
      <c r="W661" t="inlineStr">
        <is>
          <t>2000-02-23</t>
        </is>
      </c>
      <c r="X661" t="inlineStr">
        <is>
          <t>2000-02-23</t>
        </is>
      </c>
      <c r="Y661" t="inlineStr">
        <is>
          <t>1991-11-18</t>
        </is>
      </c>
      <c r="Z661" t="inlineStr">
        <is>
          <t>1991-11-18</t>
        </is>
      </c>
      <c r="AA661" t="n">
        <v>72</v>
      </c>
      <c r="AB661" t="n">
        <v>50</v>
      </c>
      <c r="AC661" t="n">
        <v>52</v>
      </c>
      <c r="AD661" t="n">
        <v>1</v>
      </c>
      <c r="AE661" t="n">
        <v>1</v>
      </c>
      <c r="AF661" t="n">
        <v>0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0</v>
      </c>
      <c r="AM661" t="n">
        <v>0</v>
      </c>
      <c r="AN661" t="n">
        <v>0</v>
      </c>
      <c r="AO661" t="n">
        <v>0</v>
      </c>
      <c r="AP661" t="n">
        <v>0</v>
      </c>
      <c r="AQ661" t="n">
        <v>0</v>
      </c>
      <c r="AR661" t="inlineStr">
        <is>
          <t>No</t>
        </is>
      </c>
      <c r="AS661" t="inlineStr">
        <is>
          <t>Yes</t>
        </is>
      </c>
      <c r="AT661">
        <f>HYPERLINK("http://catalog.hathitrust.org/Record/002493271","HathiTrust Record")</f>
        <v/>
      </c>
      <c r="AU661">
        <f>HYPERLINK("https://creighton-primo.hosted.exlibrisgroup.com/primo-explore/search?tab=default_tab&amp;search_scope=EVERYTHING&amp;vid=01CRU&amp;lang=en_US&amp;offset=0&amp;query=any,contains,991001021749702656","Catalog Record")</f>
        <v/>
      </c>
      <c r="AV661">
        <f>HYPERLINK("http://www.worldcat.org/oclc/24143030","WorldCat Record")</f>
        <v/>
      </c>
      <c r="AW661" t="inlineStr">
        <is>
          <t>347310019:eng</t>
        </is>
      </c>
      <c r="AX661" t="inlineStr">
        <is>
          <t>24143030</t>
        </is>
      </c>
      <c r="AY661" t="inlineStr">
        <is>
          <t>991001021749702656</t>
        </is>
      </c>
      <c r="AZ661" t="inlineStr">
        <is>
          <t>991001021749702656</t>
        </is>
      </c>
      <c r="BA661" t="inlineStr">
        <is>
          <t>2254741870002656</t>
        </is>
      </c>
      <c r="BB661" t="inlineStr">
        <is>
          <t>BOOK</t>
        </is>
      </c>
      <c r="BD661" t="inlineStr">
        <is>
          <t>9783805554343</t>
        </is>
      </c>
      <c r="BE661" t="inlineStr">
        <is>
          <t>30001002241869</t>
        </is>
      </c>
      <c r="BF661" t="inlineStr">
        <is>
          <t>893648836</t>
        </is>
      </c>
    </row>
    <row r="662">
      <c r="B662" t="inlineStr">
        <is>
          <t>CUHSL</t>
        </is>
      </c>
      <c r="C662" t="inlineStr">
        <is>
          <t>SHELVES</t>
        </is>
      </c>
      <c r="D662" t="inlineStr">
        <is>
          <t>QV 785 I61f 1977</t>
        </is>
      </c>
      <c r="E662" t="inlineStr">
        <is>
          <t>0                      QV 0785000I  61f         1977</t>
        </is>
      </c>
      <c r="F662" t="inlineStr">
        <is>
          <t>Formulation and preparation of dosage forms : proceedings of the 37th International Congress of Pharmaceutical Sciences of F.I.P. held in The Hauge, The Netherlands, September 5-9, 1977 / editor, J. Polderman.</t>
        </is>
      </c>
      <c r="H662" t="inlineStr">
        <is>
          <t>No</t>
        </is>
      </c>
      <c r="I662" t="inlineStr">
        <is>
          <t>1</t>
        </is>
      </c>
      <c r="J662" t="inlineStr">
        <is>
          <t>No</t>
        </is>
      </c>
      <c r="K662" t="inlineStr">
        <is>
          <t>No</t>
        </is>
      </c>
      <c r="L662" t="inlineStr">
        <is>
          <t>0</t>
        </is>
      </c>
      <c r="M662" t="inlineStr">
        <is>
          <t>International Congress of Pharmaceutical Sciences (37th : 1977 : Hague, Netherlands)</t>
        </is>
      </c>
      <c r="N662" t="inlineStr">
        <is>
          <t>Amsterdam ; New York : Elsevier/North-Holland Biomedical Press ; New York : sole distributors for the U.S.A. and Canada, Elsevier North-Holland, 1977.</t>
        </is>
      </c>
      <c r="O662" t="inlineStr">
        <is>
          <t>1977</t>
        </is>
      </c>
      <c r="Q662" t="inlineStr">
        <is>
          <t>eng</t>
        </is>
      </c>
      <c r="R662" t="inlineStr">
        <is>
          <t xml:space="preserve">ne </t>
        </is>
      </c>
      <c r="T662" t="inlineStr">
        <is>
          <t xml:space="preserve">QV </t>
        </is>
      </c>
      <c r="U662" t="n">
        <v>6</v>
      </c>
      <c r="V662" t="n">
        <v>6</v>
      </c>
      <c r="W662" t="inlineStr">
        <is>
          <t>1991-04-04</t>
        </is>
      </c>
      <c r="X662" t="inlineStr">
        <is>
          <t>1991-04-04</t>
        </is>
      </c>
      <c r="Y662" t="inlineStr">
        <is>
          <t>1988-02-04</t>
        </is>
      </c>
      <c r="Z662" t="inlineStr">
        <is>
          <t>1988-02-04</t>
        </is>
      </c>
      <c r="AA662" t="n">
        <v>108</v>
      </c>
      <c r="AB662" t="n">
        <v>74</v>
      </c>
      <c r="AC662" t="n">
        <v>74</v>
      </c>
      <c r="AD662" t="n">
        <v>2</v>
      </c>
      <c r="AE662" t="n">
        <v>2</v>
      </c>
      <c r="AF662" t="n">
        <v>4</v>
      </c>
      <c r="AG662" t="n">
        <v>4</v>
      </c>
      <c r="AH662" t="n">
        <v>1</v>
      </c>
      <c r="AI662" t="n">
        <v>1</v>
      </c>
      <c r="AJ662" t="n">
        <v>1</v>
      </c>
      <c r="AK662" t="n">
        <v>1</v>
      </c>
      <c r="AL662" t="n">
        <v>1</v>
      </c>
      <c r="AM662" t="n">
        <v>1</v>
      </c>
      <c r="AN662" t="n">
        <v>1</v>
      </c>
      <c r="AO662" t="n">
        <v>1</v>
      </c>
      <c r="AP662" t="n">
        <v>0</v>
      </c>
      <c r="AQ662" t="n">
        <v>0</v>
      </c>
      <c r="AR662" t="inlineStr">
        <is>
          <t>No</t>
        </is>
      </c>
      <c r="AS662" t="inlineStr">
        <is>
          <t>No</t>
        </is>
      </c>
      <c r="AU662">
        <f>HYPERLINK("https://creighton-primo.hosted.exlibrisgroup.com/primo-explore/search?tab=default_tab&amp;search_scope=EVERYTHING&amp;vid=01CRU&amp;lang=en_US&amp;offset=0&amp;query=any,contains,991000994449702656","Catalog Record")</f>
        <v/>
      </c>
      <c r="AV662">
        <f>HYPERLINK("http://www.worldcat.org/oclc/3481984","WorldCat Record")</f>
        <v/>
      </c>
      <c r="AW662" t="inlineStr">
        <is>
          <t>509139949:eng</t>
        </is>
      </c>
      <c r="AX662" t="inlineStr">
        <is>
          <t>3481984</t>
        </is>
      </c>
      <c r="AY662" t="inlineStr">
        <is>
          <t>991000994449702656</t>
        </is>
      </c>
      <c r="AZ662" t="inlineStr">
        <is>
          <t>991000994449702656</t>
        </is>
      </c>
      <c r="BA662" t="inlineStr">
        <is>
          <t>2264521260002656</t>
        </is>
      </c>
      <c r="BB662" t="inlineStr">
        <is>
          <t>BOOK</t>
        </is>
      </c>
      <c r="BD662" t="inlineStr">
        <is>
          <t>9780444800336</t>
        </is>
      </c>
      <c r="BE662" t="inlineStr">
        <is>
          <t>30001000227456</t>
        </is>
      </c>
      <c r="BF662" t="inlineStr">
        <is>
          <t>893736127</t>
        </is>
      </c>
    </row>
    <row r="663">
      <c r="B663" t="inlineStr">
        <is>
          <t>CUHSL</t>
        </is>
      </c>
      <c r="C663" t="inlineStr">
        <is>
          <t>SHELVES</t>
        </is>
      </c>
      <c r="D663" t="inlineStr">
        <is>
          <t>QV 785 L764 1991</t>
        </is>
      </c>
      <c r="E663" t="inlineStr">
        <is>
          <t>0                      QV 0785000L  764         1991</t>
        </is>
      </c>
      <c r="F663" t="inlineStr">
        <is>
          <t>Lipoproteins as carriers of pharmacological agents / edited by J. Michael Shaw.</t>
        </is>
      </c>
      <c r="H663" t="inlineStr">
        <is>
          <t>No</t>
        </is>
      </c>
      <c r="I663" t="inlineStr">
        <is>
          <t>1</t>
        </is>
      </c>
      <c r="J663" t="inlineStr">
        <is>
          <t>No</t>
        </is>
      </c>
      <c r="K663" t="inlineStr">
        <is>
          <t>No</t>
        </is>
      </c>
      <c r="L663" t="inlineStr">
        <is>
          <t>0</t>
        </is>
      </c>
      <c r="N663" t="inlineStr">
        <is>
          <t>New York : Dekker, c1991.</t>
        </is>
      </c>
      <c r="O663" t="inlineStr">
        <is>
          <t>1991</t>
        </is>
      </c>
      <c r="Q663" t="inlineStr">
        <is>
          <t>eng</t>
        </is>
      </c>
      <c r="R663" t="inlineStr">
        <is>
          <t>xxu</t>
        </is>
      </c>
      <c r="S663" t="inlineStr">
        <is>
          <t>Targeted diagnosis and therapy ; 5</t>
        </is>
      </c>
      <c r="T663" t="inlineStr">
        <is>
          <t xml:space="preserve">QV </t>
        </is>
      </c>
      <c r="U663" t="n">
        <v>2</v>
      </c>
      <c r="V663" t="n">
        <v>2</v>
      </c>
      <c r="W663" t="inlineStr">
        <is>
          <t>1991-12-16</t>
        </is>
      </c>
      <c r="X663" t="inlineStr">
        <is>
          <t>1991-12-16</t>
        </is>
      </c>
      <c r="Y663" t="inlineStr">
        <is>
          <t>1991-11-18</t>
        </is>
      </c>
      <c r="Z663" t="inlineStr">
        <is>
          <t>1991-11-18</t>
        </is>
      </c>
      <c r="AA663" t="n">
        <v>94</v>
      </c>
      <c r="AB663" t="n">
        <v>65</v>
      </c>
      <c r="AC663" t="n">
        <v>87</v>
      </c>
      <c r="AD663" t="n">
        <v>1</v>
      </c>
      <c r="AE663" t="n">
        <v>1</v>
      </c>
      <c r="AF663" t="n">
        <v>4</v>
      </c>
      <c r="AG663" t="n">
        <v>4</v>
      </c>
      <c r="AH663" t="n">
        <v>2</v>
      </c>
      <c r="AI663" t="n">
        <v>2</v>
      </c>
      <c r="AJ663" t="n">
        <v>3</v>
      </c>
      <c r="AK663" t="n">
        <v>3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inlineStr">
        <is>
          <t>No</t>
        </is>
      </c>
      <c r="AS663" t="inlineStr">
        <is>
          <t>No</t>
        </is>
      </c>
      <c r="AU663">
        <f>HYPERLINK("https://creighton-primo.hosted.exlibrisgroup.com/primo-explore/search?tab=default_tab&amp;search_scope=EVERYTHING&amp;vid=01CRU&amp;lang=en_US&amp;offset=0&amp;query=any,contains,991001021789702656","Catalog Record")</f>
        <v/>
      </c>
      <c r="AV663">
        <f>HYPERLINK("http://www.worldcat.org/oclc/23732143","WorldCat Record")</f>
        <v/>
      </c>
      <c r="AW663" t="inlineStr">
        <is>
          <t>25336203:eng</t>
        </is>
      </c>
      <c r="AX663" t="inlineStr">
        <is>
          <t>23732143</t>
        </is>
      </c>
      <c r="AY663" t="inlineStr">
        <is>
          <t>991001021789702656</t>
        </is>
      </c>
      <c r="AZ663" t="inlineStr">
        <is>
          <t>991001021789702656</t>
        </is>
      </c>
      <c r="BA663" t="inlineStr">
        <is>
          <t>2267838060002656</t>
        </is>
      </c>
      <c r="BB663" t="inlineStr">
        <is>
          <t>BOOK</t>
        </is>
      </c>
      <c r="BD663" t="inlineStr">
        <is>
          <t>9780824785055</t>
        </is>
      </c>
      <c r="BE663" t="inlineStr">
        <is>
          <t>30001002241885</t>
        </is>
      </c>
      <c r="BF663" t="inlineStr">
        <is>
          <t>893465125</t>
        </is>
      </c>
    </row>
    <row r="664">
      <c r="B664" t="inlineStr">
        <is>
          <t>CUHSL</t>
        </is>
      </c>
      <c r="C664" t="inlineStr">
        <is>
          <t>SHELVES</t>
        </is>
      </c>
      <c r="D664" t="inlineStr">
        <is>
          <t>QV 785 P535 1989-90</t>
        </is>
      </c>
      <c r="E664" t="inlineStr">
        <is>
          <t>0                      QV 0785000P  535         1989                                        -90</t>
        </is>
      </c>
      <c r="F664" t="inlineStr">
        <is>
          <t>Pharmaceutical dosage forms--tablets / edited by Herbert A. Lieberman, Leon Lachman, Joseph B. Schwartz.</t>
        </is>
      </c>
      <c r="G664" t="inlineStr">
        <is>
          <t>V. 2</t>
        </is>
      </c>
      <c r="H664" t="inlineStr">
        <is>
          <t>Yes</t>
        </is>
      </c>
      <c r="I664" t="inlineStr">
        <is>
          <t>1</t>
        </is>
      </c>
      <c r="J664" t="inlineStr">
        <is>
          <t>No</t>
        </is>
      </c>
      <c r="K664" t="inlineStr">
        <is>
          <t>No</t>
        </is>
      </c>
      <c r="L664" t="inlineStr">
        <is>
          <t>0</t>
        </is>
      </c>
      <c r="N664" t="inlineStr">
        <is>
          <t>New York : Dekker, c1989-1990.</t>
        </is>
      </c>
      <c r="O664" t="inlineStr">
        <is>
          <t>1989</t>
        </is>
      </c>
      <c r="P664" t="inlineStr">
        <is>
          <t>2nd ed., rev. and expanded.</t>
        </is>
      </c>
      <c r="Q664" t="inlineStr">
        <is>
          <t>eng</t>
        </is>
      </c>
      <c r="R664" t="inlineStr">
        <is>
          <t>xxu</t>
        </is>
      </c>
      <c r="T664" t="inlineStr">
        <is>
          <t xml:space="preserve">QV </t>
        </is>
      </c>
      <c r="U664" t="n">
        <v>4</v>
      </c>
      <c r="V664" t="n">
        <v>19</v>
      </c>
      <c r="W664" t="inlineStr">
        <is>
          <t>1992-02-05</t>
        </is>
      </c>
      <c r="X664" t="inlineStr">
        <is>
          <t>1999-08-24</t>
        </is>
      </c>
      <c r="Y664" t="inlineStr">
        <is>
          <t>1992-01-30</t>
        </is>
      </c>
      <c r="Z664" t="inlineStr">
        <is>
          <t>1992-01-30</t>
        </is>
      </c>
      <c r="AA664" t="n">
        <v>149</v>
      </c>
      <c r="AB664" t="n">
        <v>99</v>
      </c>
      <c r="AC664" t="n">
        <v>169</v>
      </c>
      <c r="AD664" t="n">
        <v>1</v>
      </c>
      <c r="AE664" t="n">
        <v>2</v>
      </c>
      <c r="AF664" t="n">
        <v>3</v>
      </c>
      <c r="AG664" t="n">
        <v>4</v>
      </c>
      <c r="AH664" t="n">
        <v>2</v>
      </c>
      <c r="AI664" t="n">
        <v>2</v>
      </c>
      <c r="AJ664" t="n">
        <v>1</v>
      </c>
      <c r="AK664" t="n">
        <v>1</v>
      </c>
      <c r="AL664" t="n">
        <v>0</v>
      </c>
      <c r="AM664" t="n">
        <v>0</v>
      </c>
      <c r="AN664" t="n">
        <v>0</v>
      </c>
      <c r="AO664" t="n">
        <v>1</v>
      </c>
      <c r="AP664" t="n">
        <v>0</v>
      </c>
      <c r="AQ664" t="n">
        <v>0</v>
      </c>
      <c r="AR664" t="inlineStr">
        <is>
          <t>No</t>
        </is>
      </c>
      <c r="AS664" t="inlineStr">
        <is>
          <t>No</t>
        </is>
      </c>
      <c r="AU664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V664">
        <f>HYPERLINK("http://www.worldcat.org/oclc/19222483","WorldCat Record")</f>
        <v/>
      </c>
      <c r="AW664" t="inlineStr">
        <is>
          <t>365213716:eng</t>
        </is>
      </c>
      <c r="AX664" t="inlineStr">
        <is>
          <t>19222483</t>
        </is>
      </c>
      <c r="AY664" t="inlineStr">
        <is>
          <t>991001031209702656</t>
        </is>
      </c>
      <c r="AZ664" t="inlineStr">
        <is>
          <t>991001031209702656</t>
        </is>
      </c>
      <c r="BA664" t="inlineStr">
        <is>
          <t>2259620360002656</t>
        </is>
      </c>
      <c r="BB664" t="inlineStr">
        <is>
          <t>BOOK</t>
        </is>
      </c>
      <c r="BD664" t="inlineStr">
        <is>
          <t>9780824780449</t>
        </is>
      </c>
      <c r="BE664" t="inlineStr">
        <is>
          <t>30001002243816</t>
        </is>
      </c>
      <c r="BF664" t="inlineStr">
        <is>
          <t>893168005</t>
        </is>
      </c>
    </row>
    <row r="665">
      <c r="B665" t="inlineStr">
        <is>
          <t>CUHSL</t>
        </is>
      </c>
      <c r="C665" t="inlineStr">
        <is>
          <t>SHELVES</t>
        </is>
      </c>
      <c r="D665" t="inlineStr">
        <is>
          <t>QV 785 P535 1989-90</t>
        </is>
      </c>
      <c r="E665" t="inlineStr">
        <is>
          <t>0                      QV 0785000P  535         1989                                        -90</t>
        </is>
      </c>
      <c r="F665" t="inlineStr">
        <is>
          <t>Pharmaceutical dosage forms--tablets / edited by Herbert A. Lieberman, Leon Lachman, Joseph B. Schwartz.</t>
        </is>
      </c>
      <c r="G665" t="inlineStr">
        <is>
          <t>V. 1</t>
        </is>
      </c>
      <c r="H665" t="inlineStr">
        <is>
          <t>Yes</t>
        </is>
      </c>
      <c r="I665" t="inlineStr">
        <is>
          <t>1</t>
        </is>
      </c>
      <c r="J665" t="inlineStr">
        <is>
          <t>No</t>
        </is>
      </c>
      <c r="K665" t="inlineStr">
        <is>
          <t>No</t>
        </is>
      </c>
      <c r="L665" t="inlineStr">
        <is>
          <t>0</t>
        </is>
      </c>
      <c r="N665" t="inlineStr">
        <is>
          <t>New York : Dekker, c1989-1990.</t>
        </is>
      </c>
      <c r="O665" t="inlineStr">
        <is>
          <t>1989</t>
        </is>
      </c>
      <c r="P665" t="inlineStr">
        <is>
          <t>2nd ed., rev. and expanded.</t>
        </is>
      </c>
      <c r="Q665" t="inlineStr">
        <is>
          <t>eng</t>
        </is>
      </c>
      <c r="R665" t="inlineStr">
        <is>
          <t>xxu</t>
        </is>
      </c>
      <c r="T665" t="inlineStr">
        <is>
          <t xml:space="preserve">QV </t>
        </is>
      </c>
      <c r="U665" t="n">
        <v>6</v>
      </c>
      <c r="V665" t="n">
        <v>19</v>
      </c>
      <c r="W665" t="inlineStr">
        <is>
          <t>1999-08-24</t>
        </is>
      </c>
      <c r="X665" t="inlineStr">
        <is>
          <t>1999-08-24</t>
        </is>
      </c>
      <c r="Y665" t="inlineStr">
        <is>
          <t>1992-01-30</t>
        </is>
      </c>
      <c r="Z665" t="inlineStr">
        <is>
          <t>1992-01-30</t>
        </is>
      </c>
      <c r="AA665" t="n">
        <v>149</v>
      </c>
      <c r="AB665" t="n">
        <v>99</v>
      </c>
      <c r="AC665" t="n">
        <v>169</v>
      </c>
      <c r="AD665" t="n">
        <v>1</v>
      </c>
      <c r="AE665" t="n">
        <v>2</v>
      </c>
      <c r="AF665" t="n">
        <v>3</v>
      </c>
      <c r="AG665" t="n">
        <v>4</v>
      </c>
      <c r="AH665" t="n">
        <v>2</v>
      </c>
      <c r="AI665" t="n">
        <v>2</v>
      </c>
      <c r="AJ665" t="n">
        <v>1</v>
      </c>
      <c r="AK665" t="n">
        <v>1</v>
      </c>
      <c r="AL665" t="n">
        <v>0</v>
      </c>
      <c r="AM665" t="n">
        <v>0</v>
      </c>
      <c r="AN665" t="n">
        <v>0</v>
      </c>
      <c r="AO665" t="n">
        <v>1</v>
      </c>
      <c r="AP665" t="n">
        <v>0</v>
      </c>
      <c r="AQ665" t="n">
        <v>0</v>
      </c>
      <c r="AR665" t="inlineStr">
        <is>
          <t>No</t>
        </is>
      </c>
      <c r="AS665" t="inlineStr">
        <is>
          <t>No</t>
        </is>
      </c>
      <c r="AU665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V665">
        <f>HYPERLINK("http://www.worldcat.org/oclc/19222483","WorldCat Record")</f>
        <v/>
      </c>
      <c r="AW665" t="inlineStr">
        <is>
          <t>365213716:eng</t>
        </is>
      </c>
      <c r="AX665" t="inlineStr">
        <is>
          <t>19222483</t>
        </is>
      </c>
      <c r="AY665" t="inlineStr">
        <is>
          <t>991001031209702656</t>
        </is>
      </c>
      <c r="AZ665" t="inlineStr">
        <is>
          <t>991001031209702656</t>
        </is>
      </c>
      <c r="BA665" t="inlineStr">
        <is>
          <t>2259620360002656</t>
        </is>
      </c>
      <c r="BB665" t="inlineStr">
        <is>
          <t>BOOK</t>
        </is>
      </c>
      <c r="BD665" t="inlineStr">
        <is>
          <t>9780824780449</t>
        </is>
      </c>
      <c r="BE665" t="inlineStr">
        <is>
          <t>30001002243790</t>
        </is>
      </c>
      <c r="BF665" t="inlineStr">
        <is>
          <t>893168006</t>
        </is>
      </c>
    </row>
    <row r="666">
      <c r="B666" t="inlineStr">
        <is>
          <t>CUHSL</t>
        </is>
      </c>
      <c r="C666" t="inlineStr">
        <is>
          <t>SHELVES</t>
        </is>
      </c>
      <c r="D666" t="inlineStr">
        <is>
          <t>QV 785 P535 1989-90</t>
        </is>
      </c>
      <c r="E666" t="inlineStr">
        <is>
          <t>0                      QV 0785000P  535         1989                                        -90</t>
        </is>
      </c>
      <c r="F666" t="inlineStr">
        <is>
          <t>Pharmaceutical dosage forms--tablets / edited by Herbert A. Lieberman, Leon Lachman, Joseph B. Schwartz.</t>
        </is>
      </c>
      <c r="G666" t="inlineStr">
        <is>
          <t>V. 3</t>
        </is>
      </c>
      <c r="H666" t="inlineStr">
        <is>
          <t>Yes</t>
        </is>
      </c>
      <c r="I666" t="inlineStr">
        <is>
          <t>1</t>
        </is>
      </c>
      <c r="J666" t="inlineStr">
        <is>
          <t>No</t>
        </is>
      </c>
      <c r="K666" t="inlineStr">
        <is>
          <t>No</t>
        </is>
      </c>
      <c r="L666" t="inlineStr">
        <is>
          <t>0</t>
        </is>
      </c>
      <c r="N666" t="inlineStr">
        <is>
          <t>New York : Dekker, c1989-1990.</t>
        </is>
      </c>
      <c r="O666" t="inlineStr">
        <is>
          <t>1989</t>
        </is>
      </c>
      <c r="P666" t="inlineStr">
        <is>
          <t>2nd ed., rev. and expanded.</t>
        </is>
      </c>
      <c r="Q666" t="inlineStr">
        <is>
          <t>eng</t>
        </is>
      </c>
      <c r="R666" t="inlineStr">
        <is>
          <t>xxu</t>
        </is>
      </c>
      <c r="T666" t="inlineStr">
        <is>
          <t xml:space="preserve">QV </t>
        </is>
      </c>
      <c r="U666" t="n">
        <v>9</v>
      </c>
      <c r="V666" t="n">
        <v>19</v>
      </c>
      <c r="W666" t="inlineStr">
        <is>
          <t>1992-09-09</t>
        </is>
      </c>
      <c r="X666" t="inlineStr">
        <is>
          <t>1999-08-24</t>
        </is>
      </c>
      <c r="Y666" t="inlineStr">
        <is>
          <t>1992-01-30</t>
        </is>
      </c>
      <c r="Z666" t="inlineStr">
        <is>
          <t>1992-01-30</t>
        </is>
      </c>
      <c r="AA666" t="n">
        <v>149</v>
      </c>
      <c r="AB666" t="n">
        <v>99</v>
      </c>
      <c r="AC666" t="n">
        <v>169</v>
      </c>
      <c r="AD666" t="n">
        <v>1</v>
      </c>
      <c r="AE666" t="n">
        <v>2</v>
      </c>
      <c r="AF666" t="n">
        <v>3</v>
      </c>
      <c r="AG666" t="n">
        <v>4</v>
      </c>
      <c r="AH666" t="n">
        <v>2</v>
      </c>
      <c r="AI666" t="n">
        <v>2</v>
      </c>
      <c r="AJ666" t="n">
        <v>1</v>
      </c>
      <c r="AK666" t="n">
        <v>1</v>
      </c>
      <c r="AL666" t="n">
        <v>0</v>
      </c>
      <c r="AM666" t="n">
        <v>0</v>
      </c>
      <c r="AN666" t="n">
        <v>0</v>
      </c>
      <c r="AO666" t="n">
        <v>1</v>
      </c>
      <c r="AP666" t="n">
        <v>0</v>
      </c>
      <c r="AQ666" t="n">
        <v>0</v>
      </c>
      <c r="AR666" t="inlineStr">
        <is>
          <t>No</t>
        </is>
      </c>
      <c r="AS666" t="inlineStr">
        <is>
          <t>No</t>
        </is>
      </c>
      <c r="AU666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V666">
        <f>HYPERLINK("http://www.worldcat.org/oclc/19222483","WorldCat Record")</f>
        <v/>
      </c>
      <c r="AW666" t="inlineStr">
        <is>
          <t>365213716:eng</t>
        </is>
      </c>
      <c r="AX666" t="inlineStr">
        <is>
          <t>19222483</t>
        </is>
      </c>
      <c r="AY666" t="inlineStr">
        <is>
          <t>991001031209702656</t>
        </is>
      </c>
      <c r="AZ666" t="inlineStr">
        <is>
          <t>991001031209702656</t>
        </is>
      </c>
      <c r="BA666" t="inlineStr">
        <is>
          <t>2259620360002656</t>
        </is>
      </c>
      <c r="BB666" t="inlineStr">
        <is>
          <t>BOOK</t>
        </is>
      </c>
      <c r="BD666" t="inlineStr">
        <is>
          <t>9780824780449</t>
        </is>
      </c>
      <c r="BE666" t="inlineStr">
        <is>
          <t>30001002243832</t>
        </is>
      </c>
      <c r="BF666" t="inlineStr">
        <is>
          <t>893148815</t>
        </is>
      </c>
    </row>
    <row r="667">
      <c r="B667" t="inlineStr">
        <is>
          <t>CUHSL</t>
        </is>
      </c>
      <c r="C667" t="inlineStr">
        <is>
          <t>SHELVES</t>
        </is>
      </c>
      <c r="D667" t="inlineStr">
        <is>
          <t>QV 785 P5353 1993</t>
        </is>
      </c>
      <c r="E667" t="inlineStr">
        <is>
          <t>0                      QV 0785000P  5353        1993</t>
        </is>
      </c>
      <c r="F667" t="inlineStr">
        <is>
          <t>Pharmaceutical particulate carriers : therapeutic applications carriers / edited by Alain Rolland.</t>
        </is>
      </c>
      <c r="H667" t="inlineStr">
        <is>
          <t>No</t>
        </is>
      </c>
      <c r="I667" t="inlineStr">
        <is>
          <t>1</t>
        </is>
      </c>
      <c r="J667" t="inlineStr">
        <is>
          <t>No</t>
        </is>
      </c>
      <c r="K667" t="inlineStr">
        <is>
          <t>No</t>
        </is>
      </c>
      <c r="L667" t="inlineStr">
        <is>
          <t>0</t>
        </is>
      </c>
      <c r="N667" t="inlineStr">
        <is>
          <t>New York : Marcel Dekker, c1993.</t>
        </is>
      </c>
      <c r="O667" t="inlineStr">
        <is>
          <t>1993</t>
        </is>
      </c>
      <c r="Q667" t="inlineStr">
        <is>
          <t>eng</t>
        </is>
      </c>
      <c r="R667" t="inlineStr">
        <is>
          <t>nyu</t>
        </is>
      </c>
      <c r="S667" t="inlineStr">
        <is>
          <t>Drugs and the pharmaceutical sciences ; v. 61</t>
        </is>
      </c>
      <c r="T667" t="inlineStr">
        <is>
          <t xml:space="preserve">QV </t>
        </is>
      </c>
      <c r="U667" t="n">
        <v>7</v>
      </c>
      <c r="V667" t="n">
        <v>7</v>
      </c>
      <c r="W667" t="inlineStr">
        <is>
          <t>2009-04-07</t>
        </is>
      </c>
      <c r="X667" t="inlineStr">
        <is>
          <t>2009-04-07</t>
        </is>
      </c>
      <c r="Y667" t="inlineStr">
        <is>
          <t>1994-03-22</t>
        </is>
      </c>
      <c r="Z667" t="inlineStr">
        <is>
          <t>1994-03-22</t>
        </is>
      </c>
      <c r="AA667" t="n">
        <v>108</v>
      </c>
      <c r="AB667" t="n">
        <v>80</v>
      </c>
      <c r="AC667" t="n">
        <v>88</v>
      </c>
      <c r="AD667" t="n">
        <v>1</v>
      </c>
      <c r="AE667" t="n">
        <v>1</v>
      </c>
      <c r="AF667" t="n">
        <v>1</v>
      </c>
      <c r="AG667" t="n">
        <v>1</v>
      </c>
      <c r="AH667" t="n">
        <v>0</v>
      </c>
      <c r="AI667" t="n">
        <v>0</v>
      </c>
      <c r="AJ667" t="n">
        <v>1</v>
      </c>
      <c r="AK667" t="n">
        <v>1</v>
      </c>
      <c r="AL667" t="n">
        <v>0</v>
      </c>
      <c r="AM667" t="n">
        <v>0</v>
      </c>
      <c r="AN667" t="n">
        <v>0</v>
      </c>
      <c r="AO667" t="n">
        <v>0</v>
      </c>
      <c r="AP667" t="n">
        <v>0</v>
      </c>
      <c r="AQ667" t="n">
        <v>0</v>
      </c>
      <c r="AR667" t="inlineStr">
        <is>
          <t>No</t>
        </is>
      </c>
      <c r="AS667" t="inlineStr">
        <is>
          <t>No</t>
        </is>
      </c>
      <c r="AU667">
        <f>HYPERLINK("https://creighton-primo.hosted.exlibrisgroup.com/primo-explore/search?tab=default_tab&amp;search_scope=EVERYTHING&amp;vid=01CRU&amp;lang=en_US&amp;offset=0&amp;query=any,contains,991000668849702656","Catalog Record")</f>
        <v/>
      </c>
      <c r="AV667">
        <f>HYPERLINK("http://www.worldcat.org/oclc/28020024","WorldCat Record")</f>
        <v/>
      </c>
      <c r="AW667" t="inlineStr">
        <is>
          <t>809416026:eng</t>
        </is>
      </c>
      <c r="AX667" t="inlineStr">
        <is>
          <t>28020024</t>
        </is>
      </c>
      <c r="AY667" t="inlineStr">
        <is>
          <t>991000668849702656</t>
        </is>
      </c>
      <c r="AZ667" t="inlineStr">
        <is>
          <t>991000668849702656</t>
        </is>
      </c>
      <c r="BA667" t="inlineStr">
        <is>
          <t>2269683700002656</t>
        </is>
      </c>
      <c r="BB667" t="inlineStr">
        <is>
          <t>BOOK</t>
        </is>
      </c>
      <c r="BD667" t="inlineStr">
        <is>
          <t>9780824790165</t>
        </is>
      </c>
      <c r="BE667" t="inlineStr">
        <is>
          <t>30001002695577</t>
        </is>
      </c>
      <c r="BF667" t="inlineStr">
        <is>
          <t>893119836</t>
        </is>
      </c>
    </row>
    <row r="668">
      <c r="B668" t="inlineStr">
        <is>
          <t>CUHSL</t>
        </is>
      </c>
      <c r="C668" t="inlineStr">
        <is>
          <t>SHELVES</t>
        </is>
      </c>
      <c r="D668" t="inlineStr">
        <is>
          <t>QV785 P7833 2005</t>
        </is>
      </c>
      <c r="E668" t="inlineStr">
        <is>
          <t>0                      QV 0785000P  7833        2005</t>
        </is>
      </c>
      <c r="F668" t="inlineStr">
        <is>
          <t>Polymeric drug delivery systems / [edited by] Glen S. Kwon.</t>
        </is>
      </c>
      <c r="H668" t="inlineStr">
        <is>
          <t>No</t>
        </is>
      </c>
      <c r="I668" t="inlineStr">
        <is>
          <t>1</t>
        </is>
      </c>
      <c r="J668" t="inlineStr">
        <is>
          <t>No</t>
        </is>
      </c>
      <c r="K668" t="inlineStr">
        <is>
          <t>No</t>
        </is>
      </c>
      <c r="L668" t="inlineStr">
        <is>
          <t>0</t>
        </is>
      </c>
      <c r="N668" t="inlineStr">
        <is>
          <t>Boca Raton : Taylor &amp; Francis, 2005.</t>
        </is>
      </c>
      <c r="O668" t="inlineStr">
        <is>
          <t>2005</t>
        </is>
      </c>
      <c r="Q668" t="inlineStr">
        <is>
          <t>eng</t>
        </is>
      </c>
      <c r="R668" t="inlineStr">
        <is>
          <t>flu</t>
        </is>
      </c>
      <c r="S668" t="inlineStr">
        <is>
          <t>Drugs and the pharmaceutical sciences ; v. 148</t>
        </is>
      </c>
      <c r="T668" t="inlineStr">
        <is>
          <t xml:space="preserve">QV </t>
        </is>
      </c>
      <c r="U668" t="n">
        <v>12</v>
      </c>
      <c r="V668" t="n">
        <v>12</v>
      </c>
      <c r="W668" t="inlineStr">
        <is>
          <t>2010-06-12</t>
        </is>
      </c>
      <c r="X668" t="inlineStr">
        <is>
          <t>2010-06-12</t>
        </is>
      </c>
      <c r="Y668" t="inlineStr">
        <is>
          <t>2006-04-24</t>
        </is>
      </c>
      <c r="Z668" t="inlineStr">
        <is>
          <t>2006-04-24</t>
        </is>
      </c>
      <c r="AA668" t="n">
        <v>102</v>
      </c>
      <c r="AB668" t="n">
        <v>66</v>
      </c>
      <c r="AC668" t="n">
        <v>97</v>
      </c>
      <c r="AD668" t="n">
        <v>2</v>
      </c>
      <c r="AE668" t="n">
        <v>2</v>
      </c>
      <c r="AF668" t="n">
        <v>3</v>
      </c>
      <c r="AG668" t="n">
        <v>3</v>
      </c>
      <c r="AH668" t="n">
        <v>1</v>
      </c>
      <c r="AI668" t="n">
        <v>1</v>
      </c>
      <c r="AJ668" t="n">
        <v>2</v>
      </c>
      <c r="AK668" t="n">
        <v>2</v>
      </c>
      <c r="AL668" t="n">
        <v>0</v>
      </c>
      <c r="AM668" t="n">
        <v>0</v>
      </c>
      <c r="AN668" t="n">
        <v>1</v>
      </c>
      <c r="AO668" t="n">
        <v>1</v>
      </c>
      <c r="AP668" t="n">
        <v>0</v>
      </c>
      <c r="AQ668" t="n">
        <v>0</v>
      </c>
      <c r="AR668" t="inlineStr">
        <is>
          <t>No</t>
        </is>
      </c>
      <c r="AS668" t="inlineStr">
        <is>
          <t>No</t>
        </is>
      </c>
      <c r="AU668">
        <f>HYPERLINK("https://creighton-primo.hosted.exlibrisgroup.com/primo-explore/search?tab=default_tab&amp;search_scope=EVERYTHING&amp;vid=01CRU&amp;lang=en_US&amp;offset=0&amp;query=any,contains,991000476849702656","Catalog Record")</f>
        <v/>
      </c>
      <c r="AV668">
        <f>HYPERLINK("http://www.worldcat.org/oclc/60565344","WorldCat Record")</f>
        <v/>
      </c>
      <c r="AW668" t="inlineStr">
        <is>
          <t>766868439:eng</t>
        </is>
      </c>
      <c r="AX668" t="inlineStr">
        <is>
          <t>60565344</t>
        </is>
      </c>
      <c r="AY668" t="inlineStr">
        <is>
          <t>991000476849702656</t>
        </is>
      </c>
      <c r="AZ668" t="inlineStr">
        <is>
          <t>991000476849702656</t>
        </is>
      </c>
      <c r="BA668" t="inlineStr">
        <is>
          <t>2261364350002656</t>
        </is>
      </c>
      <c r="BB668" t="inlineStr">
        <is>
          <t>BOOK</t>
        </is>
      </c>
      <c r="BD668" t="inlineStr">
        <is>
          <t>9780824725327</t>
        </is>
      </c>
      <c r="BE668" t="inlineStr">
        <is>
          <t>30001005126778</t>
        </is>
      </c>
      <c r="BF668" t="inlineStr">
        <is>
          <t>893822190</t>
        </is>
      </c>
    </row>
    <row r="669">
      <c r="B669" t="inlineStr">
        <is>
          <t>CUHSL</t>
        </is>
      </c>
      <c r="C669" t="inlineStr">
        <is>
          <t>SHELVES</t>
        </is>
      </c>
      <c r="D669" t="inlineStr">
        <is>
          <t>QV 785 R869 1990</t>
        </is>
      </c>
      <c r="E669" t="inlineStr">
        <is>
          <t>0                      QV 0785000R  869         1990</t>
        </is>
      </c>
      <c r="F669" t="inlineStr">
        <is>
          <t>Routes of drug administration / edited by A.T. Florence and E.G. Salole.</t>
        </is>
      </c>
      <c r="H669" t="inlineStr">
        <is>
          <t>No</t>
        </is>
      </c>
      <c r="I669" t="inlineStr">
        <is>
          <t>1</t>
        </is>
      </c>
      <c r="J669" t="inlineStr">
        <is>
          <t>No</t>
        </is>
      </c>
      <c r="K669" t="inlineStr">
        <is>
          <t>No</t>
        </is>
      </c>
      <c r="L669" t="inlineStr">
        <is>
          <t>0</t>
        </is>
      </c>
      <c r="N669" t="inlineStr">
        <is>
          <t>London ; Boston : Wright, c1990.</t>
        </is>
      </c>
      <c r="O669" t="inlineStr">
        <is>
          <t>1990</t>
        </is>
      </c>
      <c r="Q669" t="inlineStr">
        <is>
          <t>eng</t>
        </is>
      </c>
      <c r="R669" t="inlineStr">
        <is>
          <t>enk</t>
        </is>
      </c>
      <c r="S669" t="inlineStr">
        <is>
          <t>Topics in pharmacy ; v. 2</t>
        </is>
      </c>
      <c r="T669" t="inlineStr">
        <is>
          <t xml:space="preserve">QV </t>
        </is>
      </c>
      <c r="U669" t="n">
        <v>7</v>
      </c>
      <c r="V669" t="n">
        <v>7</v>
      </c>
      <c r="W669" t="inlineStr">
        <is>
          <t>2007-01-24</t>
        </is>
      </c>
      <c r="X669" t="inlineStr">
        <is>
          <t>2007-01-24</t>
        </is>
      </c>
      <c r="Y669" t="inlineStr">
        <is>
          <t>1991-01-28</t>
        </is>
      </c>
      <c r="Z669" t="inlineStr">
        <is>
          <t>1991-01-28</t>
        </is>
      </c>
      <c r="AA669" t="n">
        <v>67</v>
      </c>
      <c r="AB669" t="n">
        <v>30</v>
      </c>
      <c r="AC669" t="n">
        <v>77</v>
      </c>
      <c r="AD669" t="n">
        <v>1</v>
      </c>
      <c r="AE669" t="n">
        <v>1</v>
      </c>
      <c r="AF669" t="n">
        <v>1</v>
      </c>
      <c r="AG669" t="n">
        <v>4</v>
      </c>
      <c r="AH669" t="n">
        <v>1</v>
      </c>
      <c r="AI669" t="n">
        <v>3</v>
      </c>
      <c r="AJ669" t="n">
        <v>0</v>
      </c>
      <c r="AK669" t="n">
        <v>2</v>
      </c>
      <c r="AL669" t="n">
        <v>0</v>
      </c>
      <c r="AM669" t="n">
        <v>0</v>
      </c>
      <c r="AN669" t="n">
        <v>0</v>
      </c>
      <c r="AO669" t="n">
        <v>0</v>
      </c>
      <c r="AP669" t="n">
        <v>0</v>
      </c>
      <c r="AQ669" t="n">
        <v>0</v>
      </c>
      <c r="AR669" t="inlineStr">
        <is>
          <t>No</t>
        </is>
      </c>
      <c r="AS669" t="inlineStr">
        <is>
          <t>Yes</t>
        </is>
      </c>
      <c r="AT669">
        <f>HYPERLINK("http://catalog.hathitrust.org/Record/002229555","HathiTrust Record")</f>
        <v/>
      </c>
      <c r="AU669">
        <f>HYPERLINK("https://creighton-primo.hosted.exlibrisgroup.com/primo-explore/search?tab=default_tab&amp;search_scope=EVERYTHING&amp;vid=01CRU&amp;lang=en_US&amp;offset=0&amp;query=any,contains,991000816209702656","Catalog Record")</f>
        <v/>
      </c>
      <c r="AV669">
        <f>HYPERLINK("http://www.worldcat.org/oclc/21299168","WorldCat Record")</f>
        <v/>
      </c>
      <c r="AW669" t="inlineStr">
        <is>
          <t>354613840:eng</t>
        </is>
      </c>
      <c r="AX669" t="inlineStr">
        <is>
          <t>21299168</t>
        </is>
      </c>
      <c r="AY669" t="inlineStr">
        <is>
          <t>991000816209702656</t>
        </is>
      </c>
      <c r="AZ669" t="inlineStr">
        <is>
          <t>991000816209702656</t>
        </is>
      </c>
      <c r="BA669" t="inlineStr">
        <is>
          <t>2261658070002656</t>
        </is>
      </c>
      <c r="BB669" t="inlineStr">
        <is>
          <t>BOOK</t>
        </is>
      </c>
      <c r="BD669" t="inlineStr">
        <is>
          <t>9780723609223</t>
        </is>
      </c>
      <c r="BE669" t="inlineStr">
        <is>
          <t>30001002086421</t>
        </is>
      </c>
      <c r="BF669" t="inlineStr">
        <is>
          <t>893363196</t>
        </is>
      </c>
    </row>
    <row r="670">
      <c r="B670" t="inlineStr">
        <is>
          <t>CUHSL</t>
        </is>
      </c>
      <c r="C670" t="inlineStr">
        <is>
          <t>SHELVES</t>
        </is>
      </c>
      <c r="D670" t="inlineStr">
        <is>
          <t>QV 785 S734p 1950</t>
        </is>
      </c>
      <c r="E670" t="inlineStr">
        <is>
          <t>0                      QV 0785000S  734p        1950</t>
        </is>
      </c>
      <c r="F670" t="inlineStr">
        <is>
          <t>Pharmaceutical emulsions and emulsifying agents / Lawrence Spalton.</t>
        </is>
      </c>
      <c r="H670" t="inlineStr">
        <is>
          <t>No</t>
        </is>
      </c>
      <c r="I670" t="inlineStr">
        <is>
          <t>1</t>
        </is>
      </c>
      <c r="J670" t="inlineStr">
        <is>
          <t>No</t>
        </is>
      </c>
      <c r="K670" t="inlineStr">
        <is>
          <t>No</t>
        </is>
      </c>
      <c r="L670" t="inlineStr">
        <is>
          <t>0</t>
        </is>
      </c>
      <c r="M670" t="inlineStr">
        <is>
          <t>Spalton, Lawrence M.</t>
        </is>
      </c>
      <c r="N670" t="inlineStr">
        <is>
          <t>Brooklyn : Chemical Publishing Co., 1950.</t>
        </is>
      </c>
      <c r="O670" t="inlineStr">
        <is>
          <t>1950</t>
        </is>
      </c>
      <c r="Q670" t="inlineStr">
        <is>
          <t>eng</t>
        </is>
      </c>
      <c r="R670" t="inlineStr">
        <is>
          <t>xxu</t>
        </is>
      </c>
      <c r="T670" t="inlineStr">
        <is>
          <t xml:space="preserve">QV </t>
        </is>
      </c>
      <c r="U670" t="n">
        <v>5</v>
      </c>
      <c r="V670" t="n">
        <v>5</v>
      </c>
      <c r="W670" t="inlineStr">
        <is>
          <t>2009-11-18</t>
        </is>
      </c>
      <c r="X670" t="inlineStr">
        <is>
          <t>2009-11-18</t>
        </is>
      </c>
      <c r="Y670" t="inlineStr">
        <is>
          <t>1988-02-04</t>
        </is>
      </c>
      <c r="Z670" t="inlineStr">
        <is>
          <t>1988-02-04</t>
        </is>
      </c>
      <c r="AA670" t="n">
        <v>28</v>
      </c>
      <c r="AB670" t="n">
        <v>26</v>
      </c>
      <c r="AC670" t="n">
        <v>75</v>
      </c>
      <c r="AD670" t="n">
        <v>1</v>
      </c>
      <c r="AE670" t="n">
        <v>2</v>
      </c>
      <c r="AF670" t="n">
        <v>1</v>
      </c>
      <c r="AG670" t="n">
        <v>3</v>
      </c>
      <c r="AH670" t="n">
        <v>1</v>
      </c>
      <c r="AI670" t="n">
        <v>1</v>
      </c>
      <c r="AJ670" t="n">
        <v>0</v>
      </c>
      <c r="AK670" t="n">
        <v>1</v>
      </c>
      <c r="AL670" t="n">
        <v>0</v>
      </c>
      <c r="AM670" t="n">
        <v>0</v>
      </c>
      <c r="AN670" t="n">
        <v>0</v>
      </c>
      <c r="AO670" t="n">
        <v>1</v>
      </c>
      <c r="AP670" t="n">
        <v>0</v>
      </c>
      <c r="AQ670" t="n">
        <v>0</v>
      </c>
      <c r="AR670" t="inlineStr">
        <is>
          <t>No</t>
        </is>
      </c>
      <c r="AS670" t="inlineStr">
        <is>
          <t>No</t>
        </is>
      </c>
      <c r="AU670">
        <f>HYPERLINK("https://creighton-primo.hosted.exlibrisgroup.com/primo-explore/search?tab=default_tab&amp;search_scope=EVERYTHING&amp;vid=01CRU&amp;lang=en_US&amp;offset=0&amp;query=any,contains,991000994409702656","Catalog Record")</f>
        <v/>
      </c>
      <c r="AV670">
        <f>HYPERLINK("http://www.worldcat.org/oclc/633698","WorldCat Record")</f>
        <v/>
      </c>
      <c r="AW670" t="inlineStr">
        <is>
          <t>1758493:eng</t>
        </is>
      </c>
      <c r="AX670" t="inlineStr">
        <is>
          <t>633698</t>
        </is>
      </c>
      <c r="AY670" t="inlineStr">
        <is>
          <t>991000994409702656</t>
        </is>
      </c>
      <c r="AZ670" t="inlineStr">
        <is>
          <t>991000994409702656</t>
        </is>
      </c>
      <c r="BA670" t="inlineStr">
        <is>
          <t>2256982320002656</t>
        </is>
      </c>
      <c r="BB670" t="inlineStr">
        <is>
          <t>BOOK</t>
        </is>
      </c>
      <c r="BE670" t="inlineStr">
        <is>
          <t>30001000227431</t>
        </is>
      </c>
      <c r="BF670" t="inlineStr">
        <is>
          <t>893731587</t>
        </is>
      </c>
    </row>
    <row r="671">
      <c r="B671" t="inlineStr">
        <is>
          <t>CUHSL</t>
        </is>
      </c>
      <c r="C671" t="inlineStr">
        <is>
          <t>SHELVES</t>
        </is>
      </c>
      <c r="D671" t="inlineStr">
        <is>
          <t>QV 785 S964 1978</t>
        </is>
      </c>
      <c r="E671" t="inlineStr">
        <is>
          <t>0                      QV 0785000S  964         1978</t>
        </is>
      </c>
      <c r="F671" t="inlineStr">
        <is>
          <t>Sustained and controlled release drug delivery systems / edited by Joseph R. Robinson.</t>
        </is>
      </c>
      <c r="H671" t="inlineStr">
        <is>
          <t>No</t>
        </is>
      </c>
      <c r="I671" t="inlineStr">
        <is>
          <t>1</t>
        </is>
      </c>
      <c r="J671" t="inlineStr">
        <is>
          <t>No</t>
        </is>
      </c>
      <c r="K671" t="inlineStr">
        <is>
          <t>No</t>
        </is>
      </c>
      <c r="L671" t="inlineStr">
        <is>
          <t>0</t>
        </is>
      </c>
      <c r="N671" t="inlineStr">
        <is>
          <t>-- New York : M. Dekker, c1978.</t>
        </is>
      </c>
      <c r="O671" t="inlineStr">
        <is>
          <t>1978</t>
        </is>
      </c>
      <c r="Q671" t="inlineStr">
        <is>
          <t>eng</t>
        </is>
      </c>
      <c r="R671" t="inlineStr">
        <is>
          <t>nyu</t>
        </is>
      </c>
      <c r="S671" t="inlineStr">
        <is>
          <t>Drugs and the pharmaceutical sciences ; v. 6</t>
        </is>
      </c>
      <c r="T671" t="inlineStr">
        <is>
          <t xml:space="preserve">QV </t>
        </is>
      </c>
      <c r="U671" t="n">
        <v>11</v>
      </c>
      <c r="V671" t="n">
        <v>11</v>
      </c>
      <c r="W671" t="inlineStr">
        <is>
          <t>1999-08-23</t>
        </is>
      </c>
      <c r="X671" t="inlineStr">
        <is>
          <t>1999-08-23</t>
        </is>
      </c>
      <c r="Y671" t="inlineStr">
        <is>
          <t>1988-02-04</t>
        </is>
      </c>
      <c r="Z671" t="inlineStr">
        <is>
          <t>1988-02-04</t>
        </is>
      </c>
      <c r="AA671" t="n">
        <v>157</v>
      </c>
      <c r="AB671" t="n">
        <v>97</v>
      </c>
      <c r="AC671" t="n">
        <v>99</v>
      </c>
      <c r="AD671" t="n">
        <v>1</v>
      </c>
      <c r="AE671" t="n">
        <v>1</v>
      </c>
      <c r="AF671" t="n">
        <v>3</v>
      </c>
      <c r="AG671" t="n">
        <v>3</v>
      </c>
      <c r="AH671" t="n">
        <v>3</v>
      </c>
      <c r="AI671" t="n">
        <v>3</v>
      </c>
      <c r="AJ671" t="n">
        <v>1</v>
      </c>
      <c r="AK671" t="n">
        <v>1</v>
      </c>
      <c r="AL671" t="n">
        <v>0</v>
      </c>
      <c r="AM671" t="n">
        <v>0</v>
      </c>
      <c r="AN671" t="n">
        <v>0</v>
      </c>
      <c r="AO671" t="n">
        <v>0</v>
      </c>
      <c r="AP671" t="n">
        <v>0</v>
      </c>
      <c r="AQ671" t="n">
        <v>0</v>
      </c>
      <c r="AR671" t="inlineStr">
        <is>
          <t>No</t>
        </is>
      </c>
      <c r="AS671" t="inlineStr">
        <is>
          <t>Yes</t>
        </is>
      </c>
      <c r="AT671">
        <f>HYPERLINK("http://catalog.hathitrust.org/Record/000255946","HathiTrust Record")</f>
        <v/>
      </c>
      <c r="AU671">
        <f>HYPERLINK("https://creighton-primo.hosted.exlibrisgroup.com/primo-explore/search?tab=default_tab&amp;search_scope=EVERYTHING&amp;vid=01CRU&amp;lang=en_US&amp;offset=0&amp;query=any,contains,991000994359702656","Catalog Record")</f>
        <v/>
      </c>
      <c r="AV671">
        <f>HYPERLINK("http://www.worldcat.org/oclc/4494288","WorldCat Record")</f>
        <v/>
      </c>
      <c r="AW671" t="inlineStr">
        <is>
          <t>2864479345:eng</t>
        </is>
      </c>
      <c r="AX671" t="inlineStr">
        <is>
          <t>4494288</t>
        </is>
      </c>
      <c r="AY671" t="inlineStr">
        <is>
          <t>991000994359702656</t>
        </is>
      </c>
      <c r="AZ671" t="inlineStr">
        <is>
          <t>991000994359702656</t>
        </is>
      </c>
      <c r="BA671" t="inlineStr">
        <is>
          <t>2265456680002656</t>
        </is>
      </c>
      <c r="BB671" t="inlineStr">
        <is>
          <t>BOOK</t>
        </is>
      </c>
      <c r="BD671" t="inlineStr">
        <is>
          <t>9780824767150</t>
        </is>
      </c>
      <c r="BE671" t="inlineStr">
        <is>
          <t>30001000227407</t>
        </is>
      </c>
      <c r="BF671" t="inlineStr">
        <is>
          <t>893267953</t>
        </is>
      </c>
    </row>
    <row r="672">
      <c r="B672" t="inlineStr">
        <is>
          <t>CUHSL</t>
        </is>
      </c>
      <c r="C672" t="inlineStr">
        <is>
          <t>SHELVES</t>
        </is>
      </c>
      <c r="D672" t="inlineStr">
        <is>
          <t>QV 790 A512a 1934</t>
        </is>
      </c>
      <c r="E672" t="inlineStr">
        <is>
          <t>0                      QV 0790000A  512a        1934</t>
        </is>
      </c>
      <c r="F672" t="inlineStr">
        <is>
          <t>American druggist formula compendium / American Druggist.</t>
        </is>
      </c>
      <c r="H672" t="inlineStr">
        <is>
          <t>No</t>
        </is>
      </c>
      <c r="I672" t="inlineStr">
        <is>
          <t>1</t>
        </is>
      </c>
      <c r="J672" t="inlineStr">
        <is>
          <t>No</t>
        </is>
      </c>
      <c r="K672" t="inlineStr">
        <is>
          <t>No</t>
        </is>
      </c>
      <c r="L672" t="inlineStr">
        <is>
          <t>0</t>
        </is>
      </c>
      <c r="M672" t="inlineStr">
        <is>
          <t>American druggist.</t>
        </is>
      </c>
      <c r="N672" t="inlineStr">
        <is>
          <t>New York : American Druggist, 1934.</t>
        </is>
      </c>
      <c r="O672" t="inlineStr">
        <is>
          <t>1934</t>
        </is>
      </c>
      <c r="Q672" t="inlineStr">
        <is>
          <t>eng</t>
        </is>
      </c>
      <c r="R672" t="inlineStr">
        <is>
          <t>xxu</t>
        </is>
      </c>
      <c r="T672" t="inlineStr">
        <is>
          <t xml:space="preserve">QV </t>
        </is>
      </c>
      <c r="U672" t="n">
        <v>1</v>
      </c>
      <c r="V672" t="n">
        <v>1</v>
      </c>
      <c r="W672" t="inlineStr">
        <is>
          <t>1999-06-25</t>
        </is>
      </c>
      <c r="X672" t="inlineStr">
        <is>
          <t>1999-06-25</t>
        </is>
      </c>
      <c r="Y672" t="inlineStr">
        <is>
          <t>1988-02-04</t>
        </is>
      </c>
      <c r="Z672" t="inlineStr">
        <is>
          <t>1988-02-04</t>
        </is>
      </c>
      <c r="AA672" t="n">
        <v>11</v>
      </c>
      <c r="AB672" t="n">
        <v>11</v>
      </c>
      <c r="AC672" t="n">
        <v>34</v>
      </c>
      <c r="AD672" t="n">
        <v>1</v>
      </c>
      <c r="AE672" t="n">
        <v>1</v>
      </c>
      <c r="AF672" t="n">
        <v>0</v>
      </c>
      <c r="AG672" t="n">
        <v>1</v>
      </c>
      <c r="AH672" t="n">
        <v>0</v>
      </c>
      <c r="AI672" t="n">
        <v>1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n">
        <v>0</v>
      </c>
      <c r="AQ672" t="n">
        <v>0</v>
      </c>
      <c r="AR672" t="inlineStr">
        <is>
          <t>No</t>
        </is>
      </c>
      <c r="AS672" t="inlineStr">
        <is>
          <t>No</t>
        </is>
      </c>
      <c r="AU672">
        <f>HYPERLINK("https://creighton-primo.hosted.exlibrisgroup.com/primo-explore/search?tab=default_tab&amp;search_scope=EVERYTHING&amp;vid=01CRU&amp;lang=en_US&amp;offset=0&amp;query=any,contains,991000994969702656","Catalog Record")</f>
        <v/>
      </c>
      <c r="AV672">
        <f>HYPERLINK("http://www.worldcat.org/oclc/2625679","WorldCat Record")</f>
        <v/>
      </c>
      <c r="AW672" t="inlineStr">
        <is>
          <t>1818489981:eng</t>
        </is>
      </c>
      <c r="AX672" t="inlineStr">
        <is>
          <t>2625679</t>
        </is>
      </c>
      <c r="AY672" t="inlineStr">
        <is>
          <t>991000994969702656</t>
        </is>
      </c>
      <c r="AZ672" t="inlineStr">
        <is>
          <t>991000994969702656</t>
        </is>
      </c>
      <c r="BA672" t="inlineStr">
        <is>
          <t>2269998110002656</t>
        </is>
      </c>
      <c r="BB672" t="inlineStr">
        <is>
          <t>BOOK</t>
        </is>
      </c>
      <c r="BE672" t="inlineStr">
        <is>
          <t>30001000227936</t>
        </is>
      </c>
      <c r="BF672" t="inlineStr">
        <is>
          <t>893363648</t>
        </is>
      </c>
    </row>
    <row r="673">
      <c r="B673" t="inlineStr">
        <is>
          <t>CUHSL</t>
        </is>
      </c>
      <c r="C673" t="inlineStr">
        <is>
          <t>SHELVES</t>
        </is>
      </c>
      <c r="D673" t="inlineStr">
        <is>
          <t>QV 800 A6134 2000</t>
        </is>
      </c>
      <c r="E673" t="inlineStr">
        <is>
          <t>0                      QV 0800000A  6134        2000</t>
        </is>
      </c>
      <c r="F673" t="inlineStr">
        <is>
          <t>Antioxidant and redox regulation of genes / edited by Chandan K. Sen, Helmut Sies, Patrick A. Baeuerle.</t>
        </is>
      </c>
      <c r="H673" t="inlineStr">
        <is>
          <t>No</t>
        </is>
      </c>
      <c r="I673" t="inlineStr">
        <is>
          <t>1</t>
        </is>
      </c>
      <c r="J673" t="inlineStr">
        <is>
          <t>No</t>
        </is>
      </c>
      <c r="K673" t="inlineStr">
        <is>
          <t>No</t>
        </is>
      </c>
      <c r="L673" t="inlineStr">
        <is>
          <t>0</t>
        </is>
      </c>
      <c r="N673" t="inlineStr">
        <is>
          <t>San Diego, Calif. ; London : Academic, c2000.</t>
        </is>
      </c>
      <c r="O673" t="inlineStr">
        <is>
          <t>2000</t>
        </is>
      </c>
      <c r="Q673" t="inlineStr">
        <is>
          <t>eng</t>
        </is>
      </c>
      <c r="R673" t="inlineStr">
        <is>
          <t>enk</t>
        </is>
      </c>
      <c r="T673" t="inlineStr">
        <is>
          <t xml:space="preserve">QV </t>
        </is>
      </c>
      <c r="U673" t="n">
        <v>4</v>
      </c>
      <c r="V673" t="n">
        <v>4</v>
      </c>
      <c r="W673" t="inlineStr">
        <is>
          <t>2005-08-25</t>
        </is>
      </c>
      <c r="X673" t="inlineStr">
        <is>
          <t>2005-08-25</t>
        </is>
      </c>
      <c r="Y673" t="inlineStr">
        <is>
          <t>2000-03-28</t>
        </is>
      </c>
      <c r="Z673" t="inlineStr">
        <is>
          <t>2000-03-28</t>
        </is>
      </c>
      <c r="AA673" t="n">
        <v>199</v>
      </c>
      <c r="AB673" t="n">
        <v>152</v>
      </c>
      <c r="AC673" t="n">
        <v>218</v>
      </c>
      <c r="AD673" t="n">
        <v>2</v>
      </c>
      <c r="AE673" t="n">
        <v>2</v>
      </c>
      <c r="AF673" t="n">
        <v>4</v>
      </c>
      <c r="AG673" t="n">
        <v>6</v>
      </c>
      <c r="AH673" t="n">
        <v>1</v>
      </c>
      <c r="AI673" t="n">
        <v>2</v>
      </c>
      <c r="AJ673" t="n">
        <v>2</v>
      </c>
      <c r="AK673" t="n">
        <v>3</v>
      </c>
      <c r="AL673" t="n">
        <v>0</v>
      </c>
      <c r="AM673" t="n">
        <v>0</v>
      </c>
      <c r="AN673" t="n">
        <v>1</v>
      </c>
      <c r="AO673" t="n">
        <v>1</v>
      </c>
      <c r="AP673" t="n">
        <v>0</v>
      </c>
      <c r="AQ673" t="n">
        <v>0</v>
      </c>
      <c r="AR673" t="inlineStr">
        <is>
          <t>No</t>
        </is>
      </c>
      <c r="AS673" t="inlineStr">
        <is>
          <t>Yes</t>
        </is>
      </c>
      <c r="AT673">
        <f>HYPERLINK("http://catalog.hathitrust.org/Record/004074964","HathiTrust Record")</f>
        <v/>
      </c>
      <c r="AU673">
        <f>HYPERLINK("https://creighton-primo.hosted.exlibrisgroup.com/primo-explore/search?tab=default_tab&amp;search_scope=EVERYTHING&amp;vid=01CRU&amp;lang=en_US&amp;offset=0&amp;query=any,contains,991001442959702656","Catalog Record")</f>
        <v/>
      </c>
      <c r="AV673">
        <f>HYPERLINK("http://www.worldcat.org/oclc/42214730","WorldCat Record")</f>
        <v/>
      </c>
      <c r="AW673" t="inlineStr">
        <is>
          <t>943451641:eng</t>
        </is>
      </c>
      <c r="AX673" t="inlineStr">
        <is>
          <t>42214730</t>
        </is>
      </c>
      <c r="AY673" t="inlineStr">
        <is>
          <t>991001442959702656</t>
        </is>
      </c>
      <c r="AZ673" t="inlineStr">
        <is>
          <t>991001442959702656</t>
        </is>
      </c>
      <c r="BA673" t="inlineStr">
        <is>
          <t>2262549710002656</t>
        </is>
      </c>
      <c r="BB673" t="inlineStr">
        <is>
          <t>BOOK</t>
        </is>
      </c>
      <c r="BD673" t="inlineStr">
        <is>
          <t>9780126366709</t>
        </is>
      </c>
      <c r="BE673" t="inlineStr">
        <is>
          <t>30001003883453</t>
        </is>
      </c>
      <c r="BF673" t="inlineStr">
        <is>
          <t>893467980</t>
        </is>
      </c>
    </row>
    <row r="674">
      <c r="B674" t="inlineStr">
        <is>
          <t>CUHSL</t>
        </is>
      </c>
      <c r="C674" t="inlineStr">
        <is>
          <t>SHELVES</t>
        </is>
      </c>
      <c r="D674" t="inlineStr">
        <is>
          <t>QV 800 N285 1994</t>
        </is>
      </c>
      <c r="E674" t="inlineStr">
        <is>
          <t>0                      QV 0800000N  285         1994</t>
        </is>
      </c>
      <c r="F674" t="inlineStr">
        <is>
          <t>Natural antioxidants in human health and disease / edited by Balz Frei.</t>
        </is>
      </c>
      <c r="H674" t="inlineStr">
        <is>
          <t>No</t>
        </is>
      </c>
      <c r="I674" t="inlineStr">
        <is>
          <t>1</t>
        </is>
      </c>
      <c r="J674" t="inlineStr">
        <is>
          <t>No</t>
        </is>
      </c>
      <c r="K674" t="inlineStr">
        <is>
          <t>No</t>
        </is>
      </c>
      <c r="L674" t="inlineStr">
        <is>
          <t>0</t>
        </is>
      </c>
      <c r="N674" t="inlineStr">
        <is>
          <t>San Diego : Academic Press, c1994.</t>
        </is>
      </c>
      <c r="O674" t="inlineStr">
        <is>
          <t>1994</t>
        </is>
      </c>
      <c r="Q674" t="inlineStr">
        <is>
          <t>eng</t>
        </is>
      </c>
      <c r="R674" t="inlineStr">
        <is>
          <t>cau</t>
        </is>
      </c>
      <c r="T674" t="inlineStr">
        <is>
          <t xml:space="preserve">QV </t>
        </is>
      </c>
      <c r="U674" t="n">
        <v>17</v>
      </c>
      <c r="V674" t="n">
        <v>17</v>
      </c>
      <c r="W674" t="inlineStr">
        <is>
          <t>2002-10-21</t>
        </is>
      </c>
      <c r="X674" t="inlineStr">
        <is>
          <t>2002-10-21</t>
        </is>
      </c>
      <c r="Y674" t="inlineStr">
        <is>
          <t>1995-02-20</t>
        </is>
      </c>
      <c r="Z674" t="inlineStr">
        <is>
          <t>1995-02-20</t>
        </is>
      </c>
      <c r="AA674" t="n">
        <v>222</v>
      </c>
      <c r="AB674" t="n">
        <v>161</v>
      </c>
      <c r="AC674" t="n">
        <v>210</v>
      </c>
      <c r="AD674" t="n">
        <v>2</v>
      </c>
      <c r="AE674" t="n">
        <v>2</v>
      </c>
      <c r="AF674" t="n">
        <v>6</v>
      </c>
      <c r="AG674" t="n">
        <v>7</v>
      </c>
      <c r="AH674" t="n">
        <v>2</v>
      </c>
      <c r="AI674" t="n">
        <v>3</v>
      </c>
      <c r="AJ674" t="n">
        <v>2</v>
      </c>
      <c r="AK674" t="n">
        <v>2</v>
      </c>
      <c r="AL674" t="n">
        <v>2</v>
      </c>
      <c r="AM674" t="n">
        <v>2</v>
      </c>
      <c r="AN674" t="n">
        <v>1</v>
      </c>
      <c r="AO674" t="n">
        <v>1</v>
      </c>
      <c r="AP674" t="n">
        <v>0</v>
      </c>
      <c r="AQ674" t="n">
        <v>0</v>
      </c>
      <c r="AR674" t="inlineStr">
        <is>
          <t>No</t>
        </is>
      </c>
      <c r="AS674" t="inlineStr">
        <is>
          <t>Yes</t>
        </is>
      </c>
      <c r="AT674">
        <f>HYPERLINK("http://catalog.hathitrust.org/Record/002891946","HathiTrust Record")</f>
        <v/>
      </c>
      <c r="AU674">
        <f>HYPERLINK("https://creighton-primo.hosted.exlibrisgroup.com/primo-explore/search?tab=default_tab&amp;search_scope=EVERYTHING&amp;vid=01CRU&amp;lang=en_US&amp;offset=0&amp;query=any,contains,991001396329702656","Catalog Record")</f>
        <v/>
      </c>
      <c r="AV674">
        <f>HYPERLINK("http://www.worldcat.org/oclc/30031896","WorldCat Record")</f>
        <v/>
      </c>
      <c r="AW674" t="inlineStr">
        <is>
          <t>32228415:eng</t>
        </is>
      </c>
      <c r="AX674" t="inlineStr">
        <is>
          <t>30031896</t>
        </is>
      </c>
      <c r="AY674" t="inlineStr">
        <is>
          <t>991001396329702656</t>
        </is>
      </c>
      <c r="AZ674" t="inlineStr">
        <is>
          <t>991001396329702656</t>
        </is>
      </c>
      <c r="BA674" t="inlineStr">
        <is>
          <t>2270532550002656</t>
        </is>
      </c>
      <c r="BB674" t="inlineStr">
        <is>
          <t>BOOK</t>
        </is>
      </c>
      <c r="BD674" t="inlineStr">
        <is>
          <t>9780122669750</t>
        </is>
      </c>
      <c r="BE674" t="inlineStr">
        <is>
          <t>30001003146125</t>
        </is>
      </c>
      <c r="BF674" t="inlineStr">
        <is>
          <t>893741093</t>
        </is>
      </c>
    </row>
    <row r="675">
      <c r="B675" t="inlineStr">
        <is>
          <t>CUHSL</t>
        </is>
      </c>
      <c r="C675" t="inlineStr">
        <is>
          <t>SHELVES</t>
        </is>
      </c>
      <c r="D675" t="inlineStr">
        <is>
          <t>ZQV 600 W454i 1988</t>
        </is>
      </c>
      <c r="E675" t="inlineStr">
        <is>
          <t>0Z                     QV 0600000W  454i        1988</t>
        </is>
      </c>
      <c r="F675" t="inlineStr">
        <is>
          <t>Information resources in toxicology / Philip Wexler.</t>
        </is>
      </c>
      <c r="H675" t="inlineStr">
        <is>
          <t>No</t>
        </is>
      </c>
      <c r="I675" t="inlineStr">
        <is>
          <t>1</t>
        </is>
      </c>
      <c r="J675" t="inlineStr">
        <is>
          <t>No</t>
        </is>
      </c>
      <c r="K675" t="inlineStr">
        <is>
          <t>No</t>
        </is>
      </c>
      <c r="L675" t="inlineStr">
        <is>
          <t>0</t>
        </is>
      </c>
      <c r="M675" t="inlineStr">
        <is>
          <t>Wexler, Philip, 1950-</t>
        </is>
      </c>
      <c r="N675" t="inlineStr">
        <is>
          <t>New York : Elsevier, c1988.</t>
        </is>
      </c>
      <c r="O675" t="inlineStr">
        <is>
          <t>1988</t>
        </is>
      </c>
      <c r="P675" t="inlineStr">
        <is>
          <t>2nd ed.</t>
        </is>
      </c>
      <c r="Q675" t="inlineStr">
        <is>
          <t>eng</t>
        </is>
      </c>
      <c r="R675" t="inlineStr">
        <is>
          <t>xxu</t>
        </is>
      </c>
      <c r="T675" t="inlineStr">
        <is>
          <t xml:space="preserve">QV </t>
        </is>
      </c>
      <c r="U675" t="n">
        <v>2</v>
      </c>
      <c r="V675" t="n">
        <v>2</v>
      </c>
      <c r="W675" t="inlineStr">
        <is>
          <t>1988-09-13</t>
        </is>
      </c>
      <c r="X675" t="inlineStr">
        <is>
          <t>1988-09-13</t>
        </is>
      </c>
      <c r="Y675" t="inlineStr">
        <is>
          <t>1988-09-03</t>
        </is>
      </c>
      <c r="Z675" t="inlineStr">
        <is>
          <t>1988-09-03</t>
        </is>
      </c>
      <c r="AA675" t="n">
        <v>247</v>
      </c>
      <c r="AB675" t="n">
        <v>188</v>
      </c>
      <c r="AC675" t="n">
        <v>473</v>
      </c>
      <c r="AD675" t="n">
        <v>1</v>
      </c>
      <c r="AE675" t="n">
        <v>4</v>
      </c>
      <c r="AF675" t="n">
        <v>0</v>
      </c>
      <c r="AG675" t="n">
        <v>12</v>
      </c>
      <c r="AH675" t="n">
        <v>0</v>
      </c>
      <c r="AI675" t="n">
        <v>1</v>
      </c>
      <c r="AJ675" t="n">
        <v>0</v>
      </c>
      <c r="AK675" t="n">
        <v>3</v>
      </c>
      <c r="AL675" t="n">
        <v>0</v>
      </c>
      <c r="AM675" t="n">
        <v>5</v>
      </c>
      <c r="AN675" t="n">
        <v>0</v>
      </c>
      <c r="AO675" t="n">
        <v>3</v>
      </c>
      <c r="AP675" t="n">
        <v>0</v>
      </c>
      <c r="AQ675" t="n">
        <v>0</v>
      </c>
      <c r="AR675" t="inlineStr">
        <is>
          <t>No</t>
        </is>
      </c>
      <c r="AS675" t="inlineStr">
        <is>
          <t>Yes</t>
        </is>
      </c>
      <c r="AT675">
        <f>HYPERLINK("http://catalog.hathitrust.org/Record/000870292","HathiTrust Record")</f>
        <v/>
      </c>
      <c r="AU675">
        <f>HYPERLINK("https://creighton-primo.hosted.exlibrisgroup.com/primo-explore/search?tab=default_tab&amp;search_scope=EVERYTHING&amp;vid=01CRU&amp;lang=en_US&amp;offset=0&amp;query=any,contains,991001423489702656","Catalog Record")</f>
        <v/>
      </c>
      <c r="AV675">
        <f>HYPERLINK("http://www.worldcat.org/oclc/16527321","WorldCat Record")</f>
        <v/>
      </c>
      <c r="AW675" t="inlineStr">
        <is>
          <t>4923637039:eng</t>
        </is>
      </c>
      <c r="AX675" t="inlineStr">
        <is>
          <t>16527321</t>
        </is>
      </c>
      <c r="AY675" t="inlineStr">
        <is>
          <t>991001423489702656</t>
        </is>
      </c>
      <c r="AZ675" t="inlineStr">
        <is>
          <t>991001423489702656</t>
        </is>
      </c>
      <c r="BA675" t="inlineStr">
        <is>
          <t>2271842000002656</t>
        </is>
      </c>
      <c r="BB675" t="inlineStr">
        <is>
          <t>BOOK</t>
        </is>
      </c>
      <c r="BD675" t="inlineStr">
        <is>
          <t>9780444012142</t>
        </is>
      </c>
      <c r="BE675" t="inlineStr">
        <is>
          <t>30001001183187</t>
        </is>
      </c>
      <c r="BF675" t="inlineStr">
        <is>
          <t>893460575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