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3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QZ 4 A5525 1996</t>
        </is>
      </c>
      <c r="C2" t="inlineStr">
        <is>
          <t>0                      QZ 0004000A  5525        1996</t>
        </is>
      </c>
      <c r="D2" t="inlineStr">
        <is>
          <t>Anderson's pathology.</t>
        </is>
      </c>
      <c r="E2" t="inlineStr">
        <is>
          <t>V. 2</t>
        </is>
      </c>
      <c r="F2" t="inlineStr">
        <is>
          <t>Yes</t>
        </is>
      </c>
      <c r="G2" t="inlineStr">
        <is>
          <t>1</t>
        </is>
      </c>
      <c r="H2" t="inlineStr">
        <is>
          <t>No</t>
        </is>
      </c>
      <c r="I2" t="inlineStr">
        <is>
          <t>No</t>
        </is>
      </c>
      <c r="J2" t="inlineStr">
        <is>
          <t>0</t>
        </is>
      </c>
      <c r="L2" t="inlineStr">
        <is>
          <t>St. Louis, Mo. : Mosby, c1996.</t>
        </is>
      </c>
      <c r="M2" t="inlineStr">
        <is>
          <t>1996</t>
        </is>
      </c>
      <c r="N2" t="inlineStr">
        <is>
          <t>10th ed. / edited by Ivan Damjanov, James Linder.</t>
        </is>
      </c>
      <c r="O2" t="inlineStr">
        <is>
          <t>eng</t>
        </is>
      </c>
      <c r="P2" t="inlineStr">
        <is>
          <t>mou</t>
        </is>
      </c>
      <c r="R2" t="inlineStr">
        <is>
          <t xml:space="preserve">QZ </t>
        </is>
      </c>
      <c r="S2" t="n">
        <v>21</v>
      </c>
      <c r="T2" t="n">
        <v>44</v>
      </c>
      <c r="U2" t="inlineStr">
        <is>
          <t>2003-07-14</t>
        </is>
      </c>
      <c r="V2" t="inlineStr">
        <is>
          <t>2006-03-03</t>
        </is>
      </c>
      <c r="W2" t="inlineStr">
        <is>
          <t>1996-01-25</t>
        </is>
      </c>
      <c r="X2" t="inlineStr">
        <is>
          <t>1996-01-25</t>
        </is>
      </c>
      <c r="Y2" t="n">
        <v>411</v>
      </c>
      <c r="Z2" t="n">
        <v>323</v>
      </c>
      <c r="AA2" t="n">
        <v>463</v>
      </c>
      <c r="AB2" t="n">
        <v>4</v>
      </c>
      <c r="AC2" t="n">
        <v>4</v>
      </c>
      <c r="AD2" t="n">
        <v>6</v>
      </c>
      <c r="AE2" t="n">
        <v>7</v>
      </c>
      <c r="AF2" t="n">
        <v>1</v>
      </c>
      <c r="AG2" t="n">
        <v>2</v>
      </c>
      <c r="AH2" t="n">
        <v>3</v>
      </c>
      <c r="AI2" t="n">
        <v>3</v>
      </c>
      <c r="AJ2" t="n">
        <v>2</v>
      </c>
      <c r="AK2" t="n">
        <v>2</v>
      </c>
      <c r="AL2" t="n">
        <v>1</v>
      </c>
      <c r="AM2" t="n">
        <v>1</v>
      </c>
      <c r="AN2" t="n">
        <v>0</v>
      </c>
      <c r="AO2" t="n">
        <v>0</v>
      </c>
      <c r="AP2" t="inlineStr">
        <is>
          <t>No</t>
        </is>
      </c>
      <c r="AQ2" t="inlineStr">
        <is>
          <t>Yes</t>
        </is>
      </c>
      <c r="AR2">
        <f>HYPERLINK("http://catalog.hathitrust.org/Record/003028126","HathiTrust Record")</f>
        <v/>
      </c>
      <c r="AS2">
        <f>HYPERLINK("https://creighton-primo.hosted.exlibrisgroup.com/primo-explore/search?tab=default_tab&amp;search_scope=EVERYTHING&amp;vid=01CRU&amp;lang=en_US&amp;offset=0&amp;query=any,contains,991001503619702656","Catalog Record")</f>
        <v/>
      </c>
      <c r="AT2">
        <f>HYPERLINK("http://www.worldcat.org/oclc/33440511","WorldCat Record")</f>
        <v/>
      </c>
      <c r="AU2" t="inlineStr">
        <is>
          <t>3857919272:eng</t>
        </is>
      </c>
      <c r="AV2" t="inlineStr">
        <is>
          <t>33440511</t>
        </is>
      </c>
      <c r="AW2" t="inlineStr">
        <is>
          <t>991001503619702656</t>
        </is>
      </c>
      <c r="AX2" t="inlineStr">
        <is>
          <t>991001503619702656</t>
        </is>
      </c>
      <c r="AY2" t="inlineStr">
        <is>
          <t>2265942210002656</t>
        </is>
      </c>
      <c r="AZ2" t="inlineStr">
        <is>
          <t>BOOK</t>
        </is>
      </c>
      <c r="BB2" t="inlineStr">
        <is>
          <t>9780801672361</t>
        </is>
      </c>
      <c r="BC2" t="inlineStr">
        <is>
          <t>30001003263326</t>
        </is>
      </c>
      <c r="BD2" t="inlineStr">
        <is>
          <t>893546769</t>
        </is>
      </c>
    </row>
    <row r="3">
      <c r="A3" t="inlineStr">
        <is>
          <t>No</t>
        </is>
      </c>
      <c r="B3" t="inlineStr">
        <is>
          <t>QZ 4 A5525 1996</t>
        </is>
      </c>
      <c r="C3" t="inlineStr">
        <is>
          <t>0                      QZ 0004000A  5525        1996</t>
        </is>
      </c>
      <c r="D3" t="inlineStr">
        <is>
          <t>Anderson's pathology.</t>
        </is>
      </c>
      <c r="E3" t="inlineStr">
        <is>
          <t>V. 1</t>
        </is>
      </c>
      <c r="F3" t="inlineStr">
        <is>
          <t>Yes</t>
        </is>
      </c>
      <c r="G3" t="inlineStr">
        <is>
          <t>1</t>
        </is>
      </c>
      <c r="H3" t="inlineStr">
        <is>
          <t>No</t>
        </is>
      </c>
      <c r="I3" t="inlineStr">
        <is>
          <t>No</t>
        </is>
      </c>
      <c r="J3" t="inlineStr">
        <is>
          <t>0</t>
        </is>
      </c>
      <c r="L3" t="inlineStr">
        <is>
          <t>St. Louis, Mo. : Mosby, c1996.</t>
        </is>
      </c>
      <c r="M3" t="inlineStr">
        <is>
          <t>1996</t>
        </is>
      </c>
      <c r="N3" t="inlineStr">
        <is>
          <t>10th ed. / edited by Ivan Damjanov, James Linder.</t>
        </is>
      </c>
      <c r="O3" t="inlineStr">
        <is>
          <t>eng</t>
        </is>
      </c>
      <c r="P3" t="inlineStr">
        <is>
          <t>mou</t>
        </is>
      </c>
      <c r="R3" t="inlineStr">
        <is>
          <t xml:space="preserve">QZ </t>
        </is>
      </c>
      <c r="S3" t="n">
        <v>23</v>
      </c>
      <c r="T3" t="n">
        <v>44</v>
      </c>
      <c r="U3" t="inlineStr">
        <is>
          <t>2006-03-03</t>
        </is>
      </c>
      <c r="V3" t="inlineStr">
        <is>
          <t>2006-03-03</t>
        </is>
      </c>
      <c r="W3" t="inlineStr">
        <is>
          <t>1996-01-25</t>
        </is>
      </c>
      <c r="X3" t="inlineStr">
        <is>
          <t>1996-01-25</t>
        </is>
      </c>
      <c r="Y3" t="n">
        <v>411</v>
      </c>
      <c r="Z3" t="n">
        <v>323</v>
      </c>
      <c r="AA3" t="n">
        <v>463</v>
      </c>
      <c r="AB3" t="n">
        <v>4</v>
      </c>
      <c r="AC3" t="n">
        <v>4</v>
      </c>
      <c r="AD3" t="n">
        <v>6</v>
      </c>
      <c r="AE3" t="n">
        <v>7</v>
      </c>
      <c r="AF3" t="n">
        <v>1</v>
      </c>
      <c r="AG3" t="n">
        <v>2</v>
      </c>
      <c r="AH3" t="n">
        <v>3</v>
      </c>
      <c r="AI3" t="n">
        <v>3</v>
      </c>
      <c r="AJ3" t="n">
        <v>2</v>
      </c>
      <c r="AK3" t="n">
        <v>2</v>
      </c>
      <c r="AL3" t="n">
        <v>1</v>
      </c>
      <c r="AM3" t="n">
        <v>1</v>
      </c>
      <c r="AN3" t="n">
        <v>0</v>
      </c>
      <c r="AO3" t="n">
        <v>0</v>
      </c>
      <c r="AP3" t="inlineStr">
        <is>
          <t>No</t>
        </is>
      </c>
      <c r="AQ3" t="inlineStr">
        <is>
          <t>Yes</t>
        </is>
      </c>
      <c r="AR3">
        <f>HYPERLINK("http://catalog.hathitrust.org/Record/003028126","HathiTrust Record")</f>
        <v/>
      </c>
      <c r="AS3">
        <f>HYPERLINK("https://creighton-primo.hosted.exlibrisgroup.com/primo-explore/search?tab=default_tab&amp;search_scope=EVERYTHING&amp;vid=01CRU&amp;lang=en_US&amp;offset=0&amp;query=any,contains,991001503619702656","Catalog Record")</f>
        <v/>
      </c>
      <c r="AT3">
        <f>HYPERLINK("http://www.worldcat.org/oclc/33440511","WorldCat Record")</f>
        <v/>
      </c>
      <c r="AU3" t="inlineStr">
        <is>
          <t>3857919272:eng</t>
        </is>
      </c>
      <c r="AV3" t="inlineStr">
        <is>
          <t>33440511</t>
        </is>
      </c>
      <c r="AW3" t="inlineStr">
        <is>
          <t>991001503619702656</t>
        </is>
      </c>
      <c r="AX3" t="inlineStr">
        <is>
          <t>991001503619702656</t>
        </is>
      </c>
      <c r="AY3" t="inlineStr">
        <is>
          <t>2265942210002656</t>
        </is>
      </c>
      <c r="AZ3" t="inlineStr">
        <is>
          <t>BOOK</t>
        </is>
      </c>
      <c r="BB3" t="inlineStr">
        <is>
          <t>9780801672361</t>
        </is>
      </c>
      <c r="BC3" t="inlineStr">
        <is>
          <t>30001003263318</t>
        </is>
      </c>
      <c r="BD3" t="inlineStr">
        <is>
          <t>893558038</t>
        </is>
      </c>
    </row>
    <row r="4">
      <c r="A4" t="inlineStr">
        <is>
          <t>No</t>
        </is>
      </c>
      <c r="B4" t="inlineStr">
        <is>
          <t>QZ 4 A552s 1980</t>
        </is>
      </c>
      <c r="C4" t="inlineStr">
        <is>
          <t>0                      QZ 0004000A  552s        1980</t>
        </is>
      </c>
      <c r="D4" t="inlineStr">
        <is>
          <t>Synopsis of pathology / W. A. D. Anderson, Thomas M. Scotti.</t>
        </is>
      </c>
      <c r="F4" t="inlineStr">
        <is>
          <t>No</t>
        </is>
      </c>
      <c r="G4" t="inlineStr">
        <is>
          <t>1</t>
        </is>
      </c>
      <c r="H4" t="inlineStr">
        <is>
          <t>No</t>
        </is>
      </c>
      <c r="I4" t="inlineStr">
        <is>
          <t>No</t>
        </is>
      </c>
      <c r="J4" t="inlineStr">
        <is>
          <t>0</t>
        </is>
      </c>
      <c r="K4" t="inlineStr">
        <is>
          <t>Anderson, W. A. D. (William Arnold Douglas), 1910-1986.</t>
        </is>
      </c>
      <c r="L4" t="inlineStr">
        <is>
          <t>St. Louis : Mosby, 1980.</t>
        </is>
      </c>
      <c r="M4" t="inlineStr">
        <is>
          <t>1980</t>
        </is>
      </c>
      <c r="N4" t="inlineStr">
        <is>
          <t>10th ed.</t>
        </is>
      </c>
      <c r="O4" t="inlineStr">
        <is>
          <t>eng</t>
        </is>
      </c>
      <c r="P4" t="inlineStr">
        <is>
          <t>xxu</t>
        </is>
      </c>
      <c r="R4" t="inlineStr">
        <is>
          <t xml:space="preserve">QZ </t>
        </is>
      </c>
      <c r="S4" t="n">
        <v>16</v>
      </c>
      <c r="T4" t="n">
        <v>16</v>
      </c>
      <c r="U4" t="inlineStr">
        <is>
          <t>1989-12-04</t>
        </is>
      </c>
      <c r="V4" t="inlineStr">
        <is>
          <t>1989-12-04</t>
        </is>
      </c>
      <c r="W4" t="inlineStr">
        <is>
          <t>1988-02-11</t>
        </is>
      </c>
      <c r="X4" t="inlineStr">
        <is>
          <t>1988-02-11</t>
        </is>
      </c>
      <c r="Y4" t="n">
        <v>249</v>
      </c>
      <c r="Z4" t="n">
        <v>185</v>
      </c>
      <c r="AA4" t="n">
        <v>396</v>
      </c>
      <c r="AB4" t="n">
        <v>1</v>
      </c>
      <c r="AC4" t="n">
        <v>3</v>
      </c>
      <c r="AD4" t="n">
        <v>3</v>
      </c>
      <c r="AE4" t="n">
        <v>11</v>
      </c>
      <c r="AF4" t="n">
        <v>1</v>
      </c>
      <c r="AG4" t="n">
        <v>5</v>
      </c>
      <c r="AH4" t="n">
        <v>0</v>
      </c>
      <c r="AI4" t="n">
        <v>1</v>
      </c>
      <c r="AJ4" t="n">
        <v>3</v>
      </c>
      <c r="AK4" t="n">
        <v>7</v>
      </c>
      <c r="AL4" t="n">
        <v>0</v>
      </c>
      <c r="AM4" t="n">
        <v>2</v>
      </c>
      <c r="AN4" t="n">
        <v>0</v>
      </c>
      <c r="AO4" t="n">
        <v>0</v>
      </c>
      <c r="AP4" t="inlineStr">
        <is>
          <t>No</t>
        </is>
      </c>
      <c r="AQ4" t="inlineStr">
        <is>
          <t>Yes</t>
        </is>
      </c>
      <c r="AR4">
        <f>HYPERLINK("http://catalog.hathitrust.org/Record/000086480","HathiTrust Record")</f>
        <v/>
      </c>
      <c r="AS4">
        <f>HYPERLINK("https://creighton-primo.hosted.exlibrisgroup.com/primo-explore/search?tab=default_tab&amp;search_scope=EVERYTHING&amp;vid=01CRU&amp;lang=en_US&amp;offset=0&amp;query=any,contains,991000981659702656","Catalog Record")</f>
        <v/>
      </c>
      <c r="AT4">
        <f>HYPERLINK("http://www.worldcat.org/oclc/6197021","WorldCat Record")</f>
        <v/>
      </c>
      <c r="AU4" t="inlineStr">
        <is>
          <t>133415194:eng</t>
        </is>
      </c>
      <c r="AV4" t="inlineStr">
        <is>
          <t>6197021</t>
        </is>
      </c>
      <c r="AW4" t="inlineStr">
        <is>
          <t>991000981659702656</t>
        </is>
      </c>
      <c r="AX4" t="inlineStr">
        <is>
          <t>991000981659702656</t>
        </is>
      </c>
      <c r="AY4" t="inlineStr">
        <is>
          <t>2264316120002656</t>
        </is>
      </c>
      <c r="AZ4" t="inlineStr">
        <is>
          <t>BOOK</t>
        </is>
      </c>
      <c r="BB4" t="inlineStr">
        <is>
          <t>9780801602313</t>
        </is>
      </c>
      <c r="BC4" t="inlineStr">
        <is>
          <t>30001000213571</t>
        </is>
      </c>
      <c r="BD4" t="inlineStr">
        <is>
          <t>893374161</t>
        </is>
      </c>
    </row>
    <row r="5">
      <c r="A5" t="inlineStr">
        <is>
          <t>No</t>
        </is>
      </c>
      <c r="B5" t="inlineStr">
        <is>
          <t>QZ 4 B789i 1984</t>
        </is>
      </c>
      <c r="C5" t="inlineStr">
        <is>
          <t>0                      QZ 0004000B  789i        1984</t>
        </is>
      </c>
      <c r="D5" t="inlineStr">
        <is>
          <t>Boyd's Introduction to the study of disease.</t>
        </is>
      </c>
      <c r="F5" t="inlineStr">
        <is>
          <t>No</t>
        </is>
      </c>
      <c r="G5" t="inlineStr">
        <is>
          <t>1</t>
        </is>
      </c>
      <c r="H5" t="inlineStr">
        <is>
          <t>No</t>
        </is>
      </c>
      <c r="I5" t="inlineStr">
        <is>
          <t>No</t>
        </is>
      </c>
      <c r="J5" t="inlineStr">
        <is>
          <t>0</t>
        </is>
      </c>
      <c r="K5" t="inlineStr">
        <is>
          <t>Boyd, William, 1885-1979.</t>
        </is>
      </c>
      <c r="L5" t="inlineStr">
        <is>
          <t>Philadelphia : Lea &amp; Febiger, c1984.</t>
        </is>
      </c>
      <c r="M5" t="inlineStr">
        <is>
          <t>1984</t>
        </is>
      </c>
      <c r="N5" t="inlineStr">
        <is>
          <t>9th ed. / Huntington Sheldon.</t>
        </is>
      </c>
      <c r="O5" t="inlineStr">
        <is>
          <t>eng</t>
        </is>
      </c>
      <c r="P5" t="inlineStr">
        <is>
          <t>xxu</t>
        </is>
      </c>
      <c r="R5" t="inlineStr">
        <is>
          <t xml:space="preserve">QZ </t>
        </is>
      </c>
      <c r="S5" t="n">
        <v>18</v>
      </c>
      <c r="T5" t="n">
        <v>18</v>
      </c>
      <c r="U5" t="inlineStr">
        <is>
          <t>2002-07-03</t>
        </is>
      </c>
      <c r="V5" t="inlineStr">
        <is>
          <t>2002-07-03</t>
        </is>
      </c>
      <c r="W5" t="inlineStr">
        <is>
          <t>1988-02-12</t>
        </is>
      </c>
      <c r="X5" t="inlineStr">
        <is>
          <t>1988-02-12</t>
        </is>
      </c>
      <c r="Y5" t="n">
        <v>273</v>
      </c>
      <c r="Z5" t="n">
        <v>221</v>
      </c>
      <c r="AA5" t="n">
        <v>800</v>
      </c>
      <c r="AB5" t="n">
        <v>1</v>
      </c>
      <c r="AC5" t="n">
        <v>5</v>
      </c>
      <c r="AD5" t="n">
        <v>5</v>
      </c>
      <c r="AE5" t="n">
        <v>25</v>
      </c>
      <c r="AF5" t="n">
        <v>3</v>
      </c>
      <c r="AG5" t="n">
        <v>12</v>
      </c>
      <c r="AH5" t="n">
        <v>1</v>
      </c>
      <c r="AI5" t="n">
        <v>5</v>
      </c>
      <c r="AJ5" t="n">
        <v>2</v>
      </c>
      <c r="AK5" t="n">
        <v>10</v>
      </c>
      <c r="AL5" t="n">
        <v>0</v>
      </c>
      <c r="AM5" t="n">
        <v>4</v>
      </c>
      <c r="AN5" t="n">
        <v>0</v>
      </c>
      <c r="AO5" t="n">
        <v>1</v>
      </c>
      <c r="AP5" t="inlineStr">
        <is>
          <t>No</t>
        </is>
      </c>
      <c r="AQ5" t="inlineStr">
        <is>
          <t>Yes</t>
        </is>
      </c>
      <c r="AR5">
        <f>HYPERLINK("http://catalog.hathitrust.org/Record/000560930","HathiTrust Record")</f>
        <v/>
      </c>
      <c r="AS5">
        <f>HYPERLINK("https://creighton-primo.hosted.exlibrisgroup.com/primo-explore/search?tab=default_tab&amp;search_scope=EVERYTHING&amp;vid=01CRU&amp;lang=en_US&amp;offset=0&amp;query=any,contains,991000981999702656","Catalog Record")</f>
        <v/>
      </c>
      <c r="AT5">
        <f>HYPERLINK("http://www.worldcat.org/oclc/11030097","WorldCat Record")</f>
        <v/>
      </c>
      <c r="AU5" t="inlineStr">
        <is>
          <t>20865974:eng</t>
        </is>
      </c>
      <c r="AV5" t="inlineStr">
        <is>
          <t>11030097</t>
        </is>
      </c>
      <c r="AW5" t="inlineStr">
        <is>
          <t>991000981999702656</t>
        </is>
      </c>
      <c r="AX5" t="inlineStr">
        <is>
          <t>991000981999702656</t>
        </is>
      </c>
      <c r="AY5" t="inlineStr">
        <is>
          <t>2261628620002656</t>
        </is>
      </c>
      <c r="AZ5" t="inlineStr">
        <is>
          <t>BOOK</t>
        </is>
      </c>
      <c r="BB5" t="inlineStr">
        <is>
          <t>9780812109382</t>
        </is>
      </c>
      <c r="BC5" t="inlineStr">
        <is>
          <t>30001000213811</t>
        </is>
      </c>
      <c r="BD5" t="inlineStr">
        <is>
          <t>893148787</t>
        </is>
      </c>
    </row>
    <row r="6">
      <c r="A6" t="inlineStr">
        <is>
          <t>No</t>
        </is>
      </c>
      <c r="B6" t="inlineStr">
        <is>
          <t>QZ 4 B938p 1992</t>
        </is>
      </c>
      <c r="C6" t="inlineStr">
        <is>
          <t>0                      QZ 0004000B  938p        1992</t>
        </is>
      </c>
      <c r="D6" t="inlineStr">
        <is>
          <t>Pathophysiology : adaptations and alterations in function / Barbara L. Bullock, Pearl Philbrook Rosendahl, with 18 contributors.</t>
        </is>
      </c>
      <c r="F6" t="inlineStr">
        <is>
          <t>No</t>
        </is>
      </c>
      <c r="G6" t="inlineStr">
        <is>
          <t>1</t>
        </is>
      </c>
      <c r="H6" t="inlineStr">
        <is>
          <t>No</t>
        </is>
      </c>
      <c r="I6" t="inlineStr">
        <is>
          <t>Yes</t>
        </is>
      </c>
      <c r="J6" t="inlineStr">
        <is>
          <t>0</t>
        </is>
      </c>
      <c r="K6" t="inlineStr">
        <is>
          <t>Bullock, Barbara L.</t>
        </is>
      </c>
      <c r="L6" t="inlineStr">
        <is>
          <t>Philadelphia : Lippincott, c1992.</t>
        </is>
      </c>
      <c r="M6" t="inlineStr">
        <is>
          <t>1992</t>
        </is>
      </c>
      <c r="N6" t="inlineStr">
        <is>
          <t>3rd ed.</t>
        </is>
      </c>
      <c r="O6" t="inlineStr">
        <is>
          <t>eng</t>
        </is>
      </c>
      <c r="P6" t="inlineStr">
        <is>
          <t>pau</t>
        </is>
      </c>
      <c r="R6" t="inlineStr">
        <is>
          <t xml:space="preserve">QZ </t>
        </is>
      </c>
      <c r="S6" t="n">
        <v>35</v>
      </c>
      <c r="T6" t="n">
        <v>35</v>
      </c>
      <c r="U6" t="inlineStr">
        <is>
          <t>1998-11-02</t>
        </is>
      </c>
      <c r="V6" t="inlineStr">
        <is>
          <t>1998-11-02</t>
        </is>
      </c>
      <c r="W6" t="inlineStr">
        <is>
          <t>1993-03-26</t>
        </is>
      </c>
      <c r="X6" t="inlineStr">
        <is>
          <t>1993-03-26</t>
        </is>
      </c>
      <c r="Y6" t="n">
        <v>279</v>
      </c>
      <c r="Z6" t="n">
        <v>215</v>
      </c>
      <c r="AA6" t="n">
        <v>504</v>
      </c>
      <c r="AB6" t="n">
        <v>1</v>
      </c>
      <c r="AC6" t="n">
        <v>2</v>
      </c>
      <c r="AD6" t="n">
        <v>6</v>
      </c>
      <c r="AE6" t="n">
        <v>18</v>
      </c>
      <c r="AF6" t="n">
        <v>2</v>
      </c>
      <c r="AG6" t="n">
        <v>10</v>
      </c>
      <c r="AH6" t="n">
        <v>2</v>
      </c>
      <c r="AI6" t="n">
        <v>4</v>
      </c>
      <c r="AJ6" t="n">
        <v>5</v>
      </c>
      <c r="AK6" t="n">
        <v>11</v>
      </c>
      <c r="AL6" t="n">
        <v>0</v>
      </c>
      <c r="AM6" t="n">
        <v>0</v>
      </c>
      <c r="AN6" t="n">
        <v>0</v>
      </c>
      <c r="AO6" t="n">
        <v>0</v>
      </c>
      <c r="AP6" t="inlineStr">
        <is>
          <t>No</t>
        </is>
      </c>
      <c r="AQ6" t="inlineStr">
        <is>
          <t>Yes</t>
        </is>
      </c>
      <c r="AR6">
        <f>HYPERLINK("http://catalog.hathitrust.org/Record/002527311","HathiTrust Record")</f>
        <v/>
      </c>
      <c r="AS6">
        <f>HYPERLINK("https://creighton-primo.hosted.exlibrisgroup.com/primo-explore/search?tab=default_tab&amp;search_scope=EVERYTHING&amp;vid=01CRU&amp;lang=en_US&amp;offset=0&amp;query=any,contains,991001475669702656","Catalog Record")</f>
        <v/>
      </c>
      <c r="AT6">
        <f>HYPERLINK("http://www.worldcat.org/oclc/25026153","WorldCat Record")</f>
        <v/>
      </c>
      <c r="AU6" t="inlineStr">
        <is>
          <t>3637904:eng</t>
        </is>
      </c>
      <c r="AV6" t="inlineStr">
        <is>
          <t>25026153</t>
        </is>
      </c>
      <c r="AW6" t="inlineStr">
        <is>
          <t>991001475669702656</t>
        </is>
      </c>
      <c r="AX6" t="inlineStr">
        <is>
          <t>991001475669702656</t>
        </is>
      </c>
      <c r="AY6" t="inlineStr">
        <is>
          <t>2262350750002656</t>
        </is>
      </c>
      <c r="AZ6" t="inlineStr">
        <is>
          <t>BOOK</t>
        </is>
      </c>
      <c r="BB6" t="inlineStr">
        <is>
          <t>9780397548613</t>
        </is>
      </c>
      <c r="BC6" t="inlineStr">
        <is>
          <t>30001002563379</t>
        </is>
      </c>
      <c r="BD6" t="inlineStr">
        <is>
          <t>893374615</t>
        </is>
      </c>
    </row>
    <row r="7">
      <c r="A7" t="inlineStr">
        <is>
          <t>No</t>
        </is>
      </c>
      <c r="B7" t="inlineStr">
        <is>
          <t>QZ 4 C132L 1997</t>
        </is>
      </c>
      <c r="C7" t="inlineStr">
        <is>
          <t>0                      QZ 0004000C  132L        1997</t>
        </is>
      </c>
      <c r="D7" t="inlineStr">
        <is>
          <t>Lachman's case studies in anatomy.</t>
        </is>
      </c>
      <c r="F7" t="inlineStr">
        <is>
          <t>No</t>
        </is>
      </c>
      <c r="G7" t="inlineStr">
        <is>
          <t>1</t>
        </is>
      </c>
      <c r="H7" t="inlineStr">
        <is>
          <t>No</t>
        </is>
      </c>
      <c r="I7" t="inlineStr">
        <is>
          <t>No</t>
        </is>
      </c>
      <c r="J7" t="inlineStr">
        <is>
          <t>1</t>
        </is>
      </c>
      <c r="K7" t="inlineStr">
        <is>
          <t>Cahill, Donald R.</t>
        </is>
      </c>
      <c r="L7" t="inlineStr">
        <is>
          <t>New York : Oxford University Press, c1997.</t>
        </is>
      </c>
      <c r="M7" t="inlineStr">
        <is>
          <t>1997</t>
        </is>
      </c>
      <c r="N7" t="inlineStr">
        <is>
          <t>4th ed. / rev. by Donald R. Cahill.</t>
        </is>
      </c>
      <c r="O7" t="inlineStr">
        <is>
          <t>eng</t>
        </is>
      </c>
      <c r="P7" t="inlineStr">
        <is>
          <t>nyu</t>
        </is>
      </c>
      <c r="R7" t="inlineStr">
        <is>
          <t xml:space="preserve">QZ </t>
        </is>
      </c>
      <c r="S7" t="n">
        <v>5</v>
      </c>
      <c r="T7" t="n">
        <v>5</v>
      </c>
      <c r="U7" t="inlineStr">
        <is>
          <t>2003-05-30</t>
        </is>
      </c>
      <c r="V7" t="inlineStr">
        <is>
          <t>2003-05-30</t>
        </is>
      </c>
      <c r="W7" t="inlineStr">
        <is>
          <t>1998-07-28</t>
        </is>
      </c>
      <c r="X7" t="inlineStr">
        <is>
          <t>1998-07-28</t>
        </is>
      </c>
      <c r="Y7" t="n">
        <v>133</v>
      </c>
      <c r="Z7" t="n">
        <v>91</v>
      </c>
      <c r="AA7" t="n">
        <v>844</v>
      </c>
      <c r="AB7" t="n">
        <v>1</v>
      </c>
      <c r="AC7" t="n">
        <v>13</v>
      </c>
      <c r="AD7" t="n">
        <v>1</v>
      </c>
      <c r="AE7" t="n">
        <v>38</v>
      </c>
      <c r="AF7" t="n">
        <v>1</v>
      </c>
      <c r="AG7" t="n">
        <v>11</v>
      </c>
      <c r="AH7" t="n">
        <v>0</v>
      </c>
      <c r="AI7" t="n">
        <v>9</v>
      </c>
      <c r="AJ7" t="n">
        <v>1</v>
      </c>
      <c r="AK7" t="n">
        <v>11</v>
      </c>
      <c r="AL7" t="n">
        <v>0</v>
      </c>
      <c r="AM7" t="n">
        <v>11</v>
      </c>
      <c r="AN7" t="n">
        <v>0</v>
      </c>
      <c r="AO7" t="n">
        <v>2</v>
      </c>
      <c r="AP7" t="inlineStr">
        <is>
          <t>No</t>
        </is>
      </c>
      <c r="AQ7" t="inlineStr">
        <is>
          <t>Yes</t>
        </is>
      </c>
      <c r="AR7">
        <f>HYPERLINK("http://catalog.hathitrust.org/Record/003094557","HathiTrust Record")</f>
        <v/>
      </c>
      <c r="AS7">
        <f>HYPERLINK("https://creighton-primo.hosted.exlibrisgroup.com/primo-explore/search?tab=default_tab&amp;search_scope=EVERYTHING&amp;vid=01CRU&amp;lang=en_US&amp;offset=0&amp;query=any,contains,991001569989702656","Catalog Record")</f>
        <v/>
      </c>
      <c r="AT7">
        <f>HYPERLINK("http://www.worldcat.org/oclc/34472369","WorldCat Record")</f>
        <v/>
      </c>
      <c r="AU7" t="inlineStr">
        <is>
          <t>39763084:eng</t>
        </is>
      </c>
      <c r="AV7" t="inlineStr">
        <is>
          <t>34472369</t>
        </is>
      </c>
      <c r="AW7" t="inlineStr">
        <is>
          <t>991001569989702656</t>
        </is>
      </c>
      <c r="AX7" t="inlineStr">
        <is>
          <t>991001569989702656</t>
        </is>
      </c>
      <c r="AY7" t="inlineStr">
        <is>
          <t>2265145220002656</t>
        </is>
      </c>
      <c r="AZ7" t="inlineStr">
        <is>
          <t>BOOK</t>
        </is>
      </c>
      <c r="BB7" t="inlineStr">
        <is>
          <t>9780195102970</t>
        </is>
      </c>
      <c r="BC7" t="inlineStr">
        <is>
          <t>30001004090835</t>
        </is>
      </c>
      <c r="BD7" t="inlineStr">
        <is>
          <t>893649333</t>
        </is>
      </c>
    </row>
    <row r="8">
      <c r="A8" t="inlineStr">
        <is>
          <t>No</t>
        </is>
      </c>
      <c r="B8" t="inlineStr">
        <is>
          <t>QZ 4 C368p 1906</t>
        </is>
      </c>
      <c r="C8" t="inlineStr">
        <is>
          <t>0                      QZ 0004000C  368p        1906</t>
        </is>
      </c>
      <c r="D8" t="inlineStr">
        <is>
          <t>Postmortem pathology; a manual of the technic of post-mortem examinations and the interpretations to be drawn therefrom : a practical treatise for students and practitioners.</t>
        </is>
      </c>
      <c r="F8" t="inlineStr">
        <is>
          <t>No</t>
        </is>
      </c>
      <c r="G8" t="inlineStr">
        <is>
          <t>1</t>
        </is>
      </c>
      <c r="H8" t="inlineStr">
        <is>
          <t>No</t>
        </is>
      </c>
      <c r="I8" t="inlineStr">
        <is>
          <t>No</t>
        </is>
      </c>
      <c r="J8" t="inlineStr">
        <is>
          <t>0</t>
        </is>
      </c>
      <c r="K8" t="inlineStr">
        <is>
          <t>Cattell, Henry W. (Henry Ware), 1862-1936.</t>
        </is>
      </c>
      <c r="L8" t="inlineStr">
        <is>
          <t>Philadelphia : Lippincott, 1906.</t>
        </is>
      </c>
      <c r="M8" t="inlineStr">
        <is>
          <t>1906</t>
        </is>
      </c>
      <c r="N8" t="inlineStr">
        <is>
          <t>3d ed.</t>
        </is>
      </c>
      <c r="O8" t="inlineStr">
        <is>
          <t>eng</t>
        </is>
      </c>
      <c r="P8" t="inlineStr">
        <is>
          <t>pau</t>
        </is>
      </c>
      <c r="R8" t="inlineStr">
        <is>
          <t xml:space="preserve">QZ </t>
        </is>
      </c>
      <c r="S8" t="n">
        <v>3</v>
      </c>
      <c r="T8" t="n">
        <v>3</v>
      </c>
      <c r="U8" t="inlineStr">
        <is>
          <t>1990-03-05</t>
        </is>
      </c>
      <c r="V8" t="inlineStr">
        <is>
          <t>1990-03-05</t>
        </is>
      </c>
      <c r="W8" t="inlineStr">
        <is>
          <t>1990-03-16</t>
        </is>
      </c>
      <c r="X8" t="inlineStr">
        <is>
          <t>1990-03-16</t>
        </is>
      </c>
      <c r="Y8" t="n">
        <v>32</v>
      </c>
      <c r="Z8" t="n">
        <v>29</v>
      </c>
      <c r="AA8" t="n">
        <v>74</v>
      </c>
      <c r="AB8" t="n">
        <v>1</v>
      </c>
      <c r="AC8" t="n">
        <v>2</v>
      </c>
      <c r="AD8" t="n">
        <v>0</v>
      </c>
      <c r="AE8" t="n">
        <v>3</v>
      </c>
      <c r="AF8" t="n">
        <v>0</v>
      </c>
      <c r="AG8" t="n">
        <v>0</v>
      </c>
      <c r="AH8" t="n">
        <v>0</v>
      </c>
      <c r="AI8" t="n">
        <v>2</v>
      </c>
      <c r="AJ8" t="n">
        <v>0</v>
      </c>
      <c r="AK8" t="n">
        <v>0</v>
      </c>
      <c r="AL8" t="n">
        <v>0</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HYPERLINK("https://creighton-primo.hosted.exlibrisgroup.com/primo-explore/search?tab=default_tab&amp;search_scope=EVERYTHING&amp;vid=01CRU&amp;lang=en_US&amp;offset=0&amp;query=any,contains,991001548189702656","Catalog Record")</f>
        <v/>
      </c>
      <c r="AT8">
        <f>HYPERLINK("http://www.worldcat.org/oclc/14790444","WorldCat Record")</f>
        <v/>
      </c>
      <c r="AU8" t="inlineStr">
        <is>
          <t>684808607:eng</t>
        </is>
      </c>
      <c r="AV8" t="inlineStr">
        <is>
          <t>14790444</t>
        </is>
      </c>
      <c r="AW8" t="inlineStr">
        <is>
          <t>991001548189702656</t>
        </is>
      </c>
      <c r="AX8" t="inlineStr">
        <is>
          <t>991001548189702656</t>
        </is>
      </c>
      <c r="AY8" t="inlineStr">
        <is>
          <t>2258307860002656</t>
        </is>
      </c>
      <c r="AZ8" t="inlineStr">
        <is>
          <t>BOOK</t>
        </is>
      </c>
      <c r="BC8" t="inlineStr">
        <is>
          <t>30001001981432</t>
        </is>
      </c>
      <c r="BD8" t="inlineStr">
        <is>
          <t>893279215</t>
        </is>
      </c>
    </row>
    <row r="9">
      <c r="A9" t="inlineStr">
        <is>
          <t>No</t>
        </is>
      </c>
      <c r="B9" t="inlineStr">
        <is>
          <t>QZ 4 C393 1983</t>
        </is>
      </c>
      <c r="C9" t="inlineStr">
        <is>
          <t>0                      QZ 0004000C  393         1983</t>
        </is>
      </c>
      <c r="D9" t="inlineStr">
        <is>
          <t>Cellular pathobiology of human disease / edited by Benjamin F. Trump, Alex Laufer, Raymond T. Jones.</t>
        </is>
      </c>
      <c r="F9" t="inlineStr">
        <is>
          <t>No</t>
        </is>
      </c>
      <c r="G9" t="inlineStr">
        <is>
          <t>1</t>
        </is>
      </c>
      <c r="H9" t="inlineStr">
        <is>
          <t>No</t>
        </is>
      </c>
      <c r="I9" t="inlineStr">
        <is>
          <t>No</t>
        </is>
      </c>
      <c r="J9" t="inlineStr">
        <is>
          <t>0</t>
        </is>
      </c>
      <c r="L9" t="inlineStr">
        <is>
          <t>New York : Fischer, c1983.</t>
        </is>
      </c>
      <c r="M9" t="inlineStr">
        <is>
          <t>1983</t>
        </is>
      </c>
      <c r="O9" t="inlineStr">
        <is>
          <t>eng</t>
        </is>
      </c>
      <c r="P9" t="inlineStr">
        <is>
          <t>xxu</t>
        </is>
      </c>
      <c r="R9" t="inlineStr">
        <is>
          <t xml:space="preserve">QZ </t>
        </is>
      </c>
      <c r="S9" t="n">
        <v>3</v>
      </c>
      <c r="T9" t="n">
        <v>3</v>
      </c>
      <c r="U9" t="inlineStr">
        <is>
          <t>1999-10-03</t>
        </is>
      </c>
      <c r="V9" t="inlineStr">
        <is>
          <t>1999-10-03</t>
        </is>
      </c>
      <c r="W9" t="inlineStr">
        <is>
          <t>1988-02-12</t>
        </is>
      </c>
      <c r="X9" t="inlineStr">
        <is>
          <t>1988-02-12</t>
        </is>
      </c>
      <c r="Y9" t="n">
        <v>102</v>
      </c>
      <c r="Z9" t="n">
        <v>64</v>
      </c>
      <c r="AA9" t="n">
        <v>66</v>
      </c>
      <c r="AB9" t="n">
        <v>1</v>
      </c>
      <c r="AC9" t="n">
        <v>1</v>
      </c>
      <c r="AD9" t="n">
        <v>0</v>
      </c>
      <c r="AE9" t="n">
        <v>0</v>
      </c>
      <c r="AF9" t="n">
        <v>0</v>
      </c>
      <c r="AG9" t="n">
        <v>0</v>
      </c>
      <c r="AH9" t="n">
        <v>0</v>
      </c>
      <c r="AI9" t="n">
        <v>0</v>
      </c>
      <c r="AJ9" t="n">
        <v>0</v>
      </c>
      <c r="AK9" t="n">
        <v>0</v>
      </c>
      <c r="AL9" t="n">
        <v>0</v>
      </c>
      <c r="AM9" t="n">
        <v>0</v>
      </c>
      <c r="AN9" t="n">
        <v>0</v>
      </c>
      <c r="AO9" t="n">
        <v>0</v>
      </c>
      <c r="AP9" t="inlineStr">
        <is>
          <t>No</t>
        </is>
      </c>
      <c r="AQ9" t="inlineStr">
        <is>
          <t>Yes</t>
        </is>
      </c>
      <c r="AR9">
        <f>HYPERLINK("http://catalog.hathitrust.org/Record/000166575","HathiTrust Record")</f>
        <v/>
      </c>
      <c r="AS9">
        <f>HYPERLINK("https://creighton-primo.hosted.exlibrisgroup.com/primo-explore/search?tab=default_tab&amp;search_scope=EVERYTHING&amp;vid=01CRU&amp;lang=en_US&amp;offset=0&amp;query=any,contains,991000981939702656","Catalog Record")</f>
        <v/>
      </c>
      <c r="AT9">
        <f>HYPERLINK("http://www.worldcat.org/oclc/8762926","WorldCat Record")</f>
        <v/>
      </c>
      <c r="AU9" t="inlineStr">
        <is>
          <t>470353858:eng</t>
        </is>
      </c>
      <c r="AV9" t="inlineStr">
        <is>
          <t>8762926</t>
        </is>
      </c>
      <c r="AW9" t="inlineStr">
        <is>
          <t>991000981939702656</t>
        </is>
      </c>
      <c r="AX9" t="inlineStr">
        <is>
          <t>991000981939702656</t>
        </is>
      </c>
      <c r="AY9" t="inlineStr">
        <is>
          <t>2265299810002656</t>
        </is>
      </c>
      <c r="AZ9" t="inlineStr">
        <is>
          <t>BOOK</t>
        </is>
      </c>
      <c r="BB9" t="inlineStr">
        <is>
          <t>9780895741066</t>
        </is>
      </c>
      <c r="BC9" t="inlineStr">
        <is>
          <t>30001000213761</t>
        </is>
      </c>
      <c r="BD9" t="inlineStr">
        <is>
          <t>893467748</t>
        </is>
      </c>
    </row>
    <row r="10">
      <c r="A10" t="inlineStr">
        <is>
          <t>No</t>
        </is>
      </c>
      <c r="B10" t="inlineStr">
        <is>
          <t>QZ 4 C4565c 1995</t>
        </is>
      </c>
      <c r="C10" t="inlineStr">
        <is>
          <t>0                      QZ 0004000C  4565c       1995</t>
        </is>
      </c>
      <c r="D10" t="inlineStr">
        <is>
          <t>Concise pathology / by Parakrama Chandrasoma, Clive R. Taylor.</t>
        </is>
      </c>
      <c r="F10" t="inlineStr">
        <is>
          <t>No</t>
        </is>
      </c>
      <c r="G10" t="inlineStr">
        <is>
          <t>1</t>
        </is>
      </c>
      <c r="H10" t="inlineStr">
        <is>
          <t>No</t>
        </is>
      </c>
      <c r="I10" t="inlineStr">
        <is>
          <t>No</t>
        </is>
      </c>
      <c r="J10" t="inlineStr">
        <is>
          <t>0</t>
        </is>
      </c>
      <c r="K10" t="inlineStr">
        <is>
          <t>Chandrasoma, Para.</t>
        </is>
      </c>
      <c r="L10" t="inlineStr">
        <is>
          <t>Norwalk, Conn. : Appleton &amp; Lange, c1995.</t>
        </is>
      </c>
      <c r="M10" t="inlineStr">
        <is>
          <t>1995</t>
        </is>
      </c>
      <c r="N10" t="inlineStr">
        <is>
          <t>2nd ed.</t>
        </is>
      </c>
      <c r="O10" t="inlineStr">
        <is>
          <t>eng</t>
        </is>
      </c>
      <c r="P10" t="inlineStr">
        <is>
          <t>ctu</t>
        </is>
      </c>
      <c r="R10" t="inlineStr">
        <is>
          <t xml:space="preserve">QZ </t>
        </is>
      </c>
      <c r="S10" t="n">
        <v>31</v>
      </c>
      <c r="T10" t="n">
        <v>31</v>
      </c>
      <c r="U10" t="inlineStr">
        <is>
          <t>2003-12-01</t>
        </is>
      </c>
      <c r="V10" t="inlineStr">
        <is>
          <t>2003-12-01</t>
        </is>
      </c>
      <c r="W10" t="inlineStr">
        <is>
          <t>1998-11-12</t>
        </is>
      </c>
      <c r="X10" t="inlineStr">
        <is>
          <t>1998-11-12</t>
        </is>
      </c>
      <c r="Y10" t="n">
        <v>86</v>
      </c>
      <c r="Z10" t="n">
        <v>58</v>
      </c>
      <c r="AA10" t="n">
        <v>175</v>
      </c>
      <c r="AB10" t="n">
        <v>1</v>
      </c>
      <c r="AC10" t="n">
        <v>1</v>
      </c>
      <c r="AD10" t="n">
        <v>2</v>
      </c>
      <c r="AE10" t="n">
        <v>9</v>
      </c>
      <c r="AF10" t="n">
        <v>0</v>
      </c>
      <c r="AG10" t="n">
        <v>2</v>
      </c>
      <c r="AH10" t="n">
        <v>2</v>
      </c>
      <c r="AI10" t="n">
        <v>5</v>
      </c>
      <c r="AJ10" t="n">
        <v>2</v>
      </c>
      <c r="AK10" t="n">
        <v>4</v>
      </c>
      <c r="AL10" t="n">
        <v>0</v>
      </c>
      <c r="AM10" t="n">
        <v>0</v>
      </c>
      <c r="AN10" t="n">
        <v>0</v>
      </c>
      <c r="AO10" t="n">
        <v>0</v>
      </c>
      <c r="AP10" t="inlineStr">
        <is>
          <t>No</t>
        </is>
      </c>
      <c r="AQ10" t="inlineStr">
        <is>
          <t>No</t>
        </is>
      </c>
      <c r="AS10">
        <f>HYPERLINK("https://creighton-primo.hosted.exlibrisgroup.com/primo-explore/search?tab=default_tab&amp;search_scope=EVERYTHING&amp;vid=01CRU&amp;lang=en_US&amp;offset=0&amp;query=any,contains,991001571079702656","Catalog Record")</f>
        <v/>
      </c>
      <c r="AT10">
        <f>HYPERLINK("http://www.worldcat.org/oclc/31157210","WorldCat Record")</f>
        <v/>
      </c>
      <c r="AU10" t="inlineStr">
        <is>
          <t>20469211:eng</t>
        </is>
      </c>
      <c r="AV10" t="inlineStr">
        <is>
          <t>31157210</t>
        </is>
      </c>
      <c r="AW10" t="inlineStr">
        <is>
          <t>991001571079702656</t>
        </is>
      </c>
      <c r="AX10" t="inlineStr">
        <is>
          <t>991001571079702656</t>
        </is>
      </c>
      <c r="AY10" t="inlineStr">
        <is>
          <t>2266851150002656</t>
        </is>
      </c>
      <c r="AZ10" t="inlineStr">
        <is>
          <t>BOOK</t>
        </is>
      </c>
      <c r="BB10" t="inlineStr">
        <is>
          <t>9780838512296</t>
        </is>
      </c>
      <c r="BC10" t="inlineStr">
        <is>
          <t>30001004035970</t>
        </is>
      </c>
      <c r="BD10" t="inlineStr">
        <is>
          <t>893546825</t>
        </is>
      </c>
    </row>
    <row r="11">
      <c r="A11" t="inlineStr">
        <is>
          <t>No</t>
        </is>
      </c>
      <c r="B11" t="inlineStr">
        <is>
          <t>QZ 4 C855p 1912</t>
        </is>
      </c>
      <c r="C11" t="inlineStr">
        <is>
          <t>0                      QZ 0004000C  855p        1912</t>
        </is>
      </c>
      <c r="D11" t="inlineStr">
        <is>
          <t>Pathology : a manual for teachers and students / by W.T. Councilman.</t>
        </is>
      </c>
      <c r="F11" t="inlineStr">
        <is>
          <t>No</t>
        </is>
      </c>
      <c r="G11" t="inlineStr">
        <is>
          <t>1</t>
        </is>
      </c>
      <c r="H11" t="inlineStr">
        <is>
          <t>No</t>
        </is>
      </c>
      <c r="I11" t="inlineStr">
        <is>
          <t>No</t>
        </is>
      </c>
      <c r="J11" t="inlineStr">
        <is>
          <t>0</t>
        </is>
      </c>
      <c r="K11" t="inlineStr">
        <is>
          <t>Councilman, W. T. (William Thomas), 1854-1933.</t>
        </is>
      </c>
      <c r="L11" t="inlineStr">
        <is>
          <t>Boston : W.M. Leonard, c1912.</t>
        </is>
      </c>
      <c r="M11" t="inlineStr">
        <is>
          <t>1912</t>
        </is>
      </c>
      <c r="O11" t="inlineStr">
        <is>
          <t>eng</t>
        </is>
      </c>
      <c r="P11" t="inlineStr">
        <is>
          <t>mau</t>
        </is>
      </c>
      <c r="R11" t="inlineStr">
        <is>
          <t xml:space="preserve">QZ </t>
        </is>
      </c>
      <c r="S11" t="n">
        <v>3</v>
      </c>
      <c r="T11" t="n">
        <v>3</v>
      </c>
      <c r="U11" t="inlineStr">
        <is>
          <t>1991-11-21</t>
        </is>
      </c>
      <c r="V11" t="inlineStr">
        <is>
          <t>1991-11-21</t>
        </is>
      </c>
      <c r="W11" t="inlineStr">
        <is>
          <t>1991-11-21</t>
        </is>
      </c>
      <c r="X11" t="inlineStr">
        <is>
          <t>1991-11-21</t>
        </is>
      </c>
      <c r="Y11" t="n">
        <v>32</v>
      </c>
      <c r="Z11" t="n">
        <v>31</v>
      </c>
      <c r="AA11" t="n">
        <v>48</v>
      </c>
      <c r="AB11" t="n">
        <v>1</v>
      </c>
      <c r="AC11" t="n">
        <v>2</v>
      </c>
      <c r="AD11" t="n">
        <v>2</v>
      </c>
      <c r="AE11" t="n">
        <v>4</v>
      </c>
      <c r="AF11" t="n">
        <v>1</v>
      </c>
      <c r="AG11" t="n">
        <v>1</v>
      </c>
      <c r="AH11" t="n">
        <v>1</v>
      </c>
      <c r="AI11" t="n">
        <v>2</v>
      </c>
      <c r="AJ11" t="n">
        <v>0</v>
      </c>
      <c r="AK11" t="n">
        <v>0</v>
      </c>
      <c r="AL11" t="n">
        <v>0</v>
      </c>
      <c r="AM11" t="n">
        <v>1</v>
      </c>
      <c r="AN11" t="n">
        <v>0</v>
      </c>
      <c r="AO11" t="n">
        <v>0</v>
      </c>
      <c r="AP11" t="inlineStr">
        <is>
          <t>Yes</t>
        </is>
      </c>
      <c r="AQ11" t="inlineStr">
        <is>
          <t>No</t>
        </is>
      </c>
      <c r="AR11">
        <f>HYPERLINK("http://catalog.hathitrust.org/Record/006111043","HathiTrust Record")</f>
        <v/>
      </c>
      <c r="AS11">
        <f>HYPERLINK("https://creighton-primo.hosted.exlibrisgroup.com/primo-explore/search?tab=default_tab&amp;search_scope=EVERYTHING&amp;vid=01CRU&amp;lang=en_US&amp;offset=0&amp;query=any,contains,991001153419702656","Catalog Record")</f>
        <v/>
      </c>
      <c r="AT11">
        <f>HYPERLINK("http://www.worldcat.org/oclc/27433206","WorldCat Record")</f>
        <v/>
      </c>
      <c r="AU11" t="inlineStr">
        <is>
          <t>4403062:eng</t>
        </is>
      </c>
      <c r="AV11" t="inlineStr">
        <is>
          <t>27433206</t>
        </is>
      </c>
      <c r="AW11" t="inlineStr">
        <is>
          <t>991001153419702656</t>
        </is>
      </c>
      <c r="AX11" t="inlineStr">
        <is>
          <t>991001153419702656</t>
        </is>
      </c>
      <c r="AY11" t="inlineStr">
        <is>
          <t>2256405560002656</t>
        </is>
      </c>
      <c r="AZ11" t="inlineStr">
        <is>
          <t>BOOK</t>
        </is>
      </c>
      <c r="BC11" t="inlineStr">
        <is>
          <t>30001002301523</t>
        </is>
      </c>
      <c r="BD11" t="inlineStr">
        <is>
          <t>893369153</t>
        </is>
      </c>
    </row>
    <row r="12">
      <c r="A12" t="inlineStr">
        <is>
          <t>No</t>
        </is>
      </c>
      <c r="B12" t="inlineStr">
        <is>
          <t>QZ 4 E36c 1990</t>
        </is>
      </c>
      <c r="C12" t="inlineStr">
        <is>
          <t>0                      QZ 0004000E  36c         1990</t>
        </is>
      </c>
      <c r="D12" t="inlineStr">
        <is>
          <t>Comprehensive radiographic pathology / Ronald L. Eisenberg, Cynthia A. Dennis.</t>
        </is>
      </c>
      <c r="F12" t="inlineStr">
        <is>
          <t>No</t>
        </is>
      </c>
      <c r="G12" t="inlineStr">
        <is>
          <t>1</t>
        </is>
      </c>
      <c r="H12" t="inlineStr">
        <is>
          <t>No</t>
        </is>
      </c>
      <c r="I12" t="inlineStr">
        <is>
          <t>No</t>
        </is>
      </c>
      <c r="J12" t="inlineStr">
        <is>
          <t>0</t>
        </is>
      </c>
      <c r="K12" t="inlineStr">
        <is>
          <t>Eisenberg, Ronald L.</t>
        </is>
      </c>
      <c r="L12" t="inlineStr">
        <is>
          <t>St. Louis : Mosby, c1990.</t>
        </is>
      </c>
      <c r="M12" t="inlineStr">
        <is>
          <t>1990</t>
        </is>
      </c>
      <c r="O12" t="inlineStr">
        <is>
          <t>eng</t>
        </is>
      </c>
      <c r="P12" t="inlineStr">
        <is>
          <t>mou</t>
        </is>
      </c>
      <c r="R12" t="inlineStr">
        <is>
          <t xml:space="preserve">QZ </t>
        </is>
      </c>
      <c r="S12" t="n">
        <v>4</v>
      </c>
      <c r="T12" t="n">
        <v>4</v>
      </c>
      <c r="U12" t="inlineStr">
        <is>
          <t>1993-02-12</t>
        </is>
      </c>
      <c r="V12" t="inlineStr">
        <is>
          <t>1993-02-12</t>
        </is>
      </c>
      <c r="W12" t="inlineStr">
        <is>
          <t>1993-02-03</t>
        </is>
      </c>
      <c r="X12" t="inlineStr">
        <is>
          <t>1993-02-03</t>
        </is>
      </c>
      <c r="Y12" t="n">
        <v>190</v>
      </c>
      <c r="Z12" t="n">
        <v>147</v>
      </c>
      <c r="AA12" t="n">
        <v>503</v>
      </c>
      <c r="AB12" t="n">
        <v>1</v>
      </c>
      <c r="AC12" t="n">
        <v>2</v>
      </c>
      <c r="AD12" t="n">
        <v>0</v>
      </c>
      <c r="AE12" t="n">
        <v>4</v>
      </c>
      <c r="AF12" t="n">
        <v>0</v>
      </c>
      <c r="AG12" t="n">
        <v>2</v>
      </c>
      <c r="AH12" t="n">
        <v>0</v>
      </c>
      <c r="AI12" t="n">
        <v>1</v>
      </c>
      <c r="AJ12" t="n">
        <v>0</v>
      </c>
      <c r="AK12" t="n">
        <v>1</v>
      </c>
      <c r="AL12" t="n">
        <v>0</v>
      </c>
      <c r="AM12" t="n">
        <v>1</v>
      </c>
      <c r="AN12" t="n">
        <v>0</v>
      </c>
      <c r="AO12" t="n">
        <v>0</v>
      </c>
      <c r="AP12" t="inlineStr">
        <is>
          <t>No</t>
        </is>
      </c>
      <c r="AQ12" t="inlineStr">
        <is>
          <t>Yes</t>
        </is>
      </c>
      <c r="AR12">
        <f>HYPERLINK("http://catalog.hathitrust.org/Record/001944725","HathiTrust Record")</f>
        <v/>
      </c>
      <c r="AS12">
        <f>HYPERLINK("https://creighton-primo.hosted.exlibrisgroup.com/primo-explore/search?tab=default_tab&amp;search_scope=EVERYTHING&amp;vid=01CRU&amp;lang=en_US&amp;offset=0&amp;query=any,contains,991001428349702656","Catalog Record")</f>
        <v/>
      </c>
      <c r="AT12">
        <f>HYPERLINK("http://www.worldcat.org/oclc/20594720","WorldCat Record")</f>
        <v/>
      </c>
      <c r="AU12" t="inlineStr">
        <is>
          <t>679466:eng</t>
        </is>
      </c>
      <c r="AV12" t="inlineStr">
        <is>
          <t>20594720</t>
        </is>
      </c>
      <c r="AW12" t="inlineStr">
        <is>
          <t>991001428349702656</t>
        </is>
      </c>
      <c r="AX12" t="inlineStr">
        <is>
          <t>991001428349702656</t>
        </is>
      </c>
      <c r="AY12" t="inlineStr">
        <is>
          <t>2270125370002656</t>
        </is>
      </c>
      <c r="AZ12" t="inlineStr">
        <is>
          <t>BOOK</t>
        </is>
      </c>
      <c r="BB12" t="inlineStr">
        <is>
          <t>9780801661426</t>
        </is>
      </c>
      <c r="BC12" t="inlineStr">
        <is>
          <t>30001002527721</t>
        </is>
      </c>
      <c r="BD12" t="inlineStr">
        <is>
          <t>893168191</t>
        </is>
      </c>
    </row>
    <row r="13">
      <c r="A13" t="inlineStr">
        <is>
          <t>No</t>
        </is>
      </c>
      <c r="B13" t="inlineStr">
        <is>
          <t>QZ 4 F352p 1984</t>
        </is>
      </c>
      <c r="C13" t="inlineStr">
        <is>
          <t>0                      QZ 0004000F  352p        1984</t>
        </is>
      </c>
      <c r="D13" t="inlineStr">
        <is>
          <t>Pathophysiology, mechanisms and expressions / Gary G. Ferguson.</t>
        </is>
      </c>
      <c r="F13" t="inlineStr">
        <is>
          <t>No</t>
        </is>
      </c>
      <c r="G13" t="inlineStr">
        <is>
          <t>1</t>
        </is>
      </c>
      <c r="H13" t="inlineStr">
        <is>
          <t>No</t>
        </is>
      </c>
      <c r="I13" t="inlineStr">
        <is>
          <t>No</t>
        </is>
      </c>
      <c r="J13" t="inlineStr">
        <is>
          <t>0</t>
        </is>
      </c>
      <c r="K13" t="inlineStr">
        <is>
          <t>Ferguson, Gary G.</t>
        </is>
      </c>
      <c r="L13" t="inlineStr">
        <is>
          <t>Philadelphia : Saunders, c1984.</t>
        </is>
      </c>
      <c r="M13" t="inlineStr">
        <is>
          <t>1984</t>
        </is>
      </c>
      <c r="O13" t="inlineStr">
        <is>
          <t>eng</t>
        </is>
      </c>
      <c r="P13" t="inlineStr">
        <is>
          <t>xxu</t>
        </is>
      </c>
      <c r="R13" t="inlineStr">
        <is>
          <t xml:space="preserve">QZ </t>
        </is>
      </c>
      <c r="S13" t="n">
        <v>11</v>
      </c>
      <c r="T13" t="n">
        <v>11</v>
      </c>
      <c r="U13" t="inlineStr">
        <is>
          <t>2001-10-16</t>
        </is>
      </c>
      <c r="V13" t="inlineStr">
        <is>
          <t>2001-10-16</t>
        </is>
      </c>
      <c r="W13" t="inlineStr">
        <is>
          <t>1988-02-12</t>
        </is>
      </c>
      <c r="X13" t="inlineStr">
        <is>
          <t>1988-02-12</t>
        </is>
      </c>
      <c r="Y13" t="n">
        <v>137</v>
      </c>
      <c r="Z13" t="n">
        <v>105</v>
      </c>
      <c r="AA13" t="n">
        <v>111</v>
      </c>
      <c r="AB13" t="n">
        <v>1</v>
      </c>
      <c r="AC13" t="n">
        <v>1</v>
      </c>
      <c r="AD13" t="n">
        <v>2</v>
      </c>
      <c r="AE13" t="n">
        <v>2</v>
      </c>
      <c r="AF13" t="n">
        <v>1</v>
      </c>
      <c r="AG13" t="n">
        <v>1</v>
      </c>
      <c r="AH13" t="n">
        <v>1</v>
      </c>
      <c r="AI13" t="n">
        <v>1</v>
      </c>
      <c r="AJ13" t="n">
        <v>1</v>
      </c>
      <c r="AK13" t="n">
        <v>1</v>
      </c>
      <c r="AL13" t="n">
        <v>0</v>
      </c>
      <c r="AM13" t="n">
        <v>0</v>
      </c>
      <c r="AN13" t="n">
        <v>0</v>
      </c>
      <c r="AO13" t="n">
        <v>0</v>
      </c>
      <c r="AP13" t="inlineStr">
        <is>
          <t>No</t>
        </is>
      </c>
      <c r="AQ13" t="inlineStr">
        <is>
          <t>Yes</t>
        </is>
      </c>
      <c r="AR13">
        <f>HYPERLINK("http://catalog.hathitrust.org/Record/000241553","HathiTrust Record")</f>
        <v/>
      </c>
      <c r="AS13">
        <f>HYPERLINK("https://creighton-primo.hosted.exlibrisgroup.com/primo-explore/search?tab=default_tab&amp;search_scope=EVERYTHING&amp;vid=01CRU&amp;lang=en_US&amp;offset=0&amp;query=any,contains,991000981869702656","Catalog Record")</f>
        <v/>
      </c>
      <c r="AT13">
        <f>HYPERLINK("http://www.worldcat.org/oclc/10100732","WorldCat Record")</f>
        <v/>
      </c>
      <c r="AU13" t="inlineStr">
        <is>
          <t>314629207:eng</t>
        </is>
      </c>
      <c r="AV13" t="inlineStr">
        <is>
          <t>10100732</t>
        </is>
      </c>
      <c r="AW13" t="inlineStr">
        <is>
          <t>991000981869702656</t>
        </is>
      </c>
      <c r="AX13" t="inlineStr">
        <is>
          <t>991000981869702656</t>
        </is>
      </c>
      <c r="AY13" t="inlineStr">
        <is>
          <t>2264970090002656</t>
        </is>
      </c>
      <c r="AZ13" t="inlineStr">
        <is>
          <t>BOOK</t>
        </is>
      </c>
      <c r="BB13" t="inlineStr">
        <is>
          <t>9780721636160</t>
        </is>
      </c>
      <c r="BC13" t="inlineStr">
        <is>
          <t>30001000213720</t>
        </is>
      </c>
      <c r="BD13" t="inlineStr">
        <is>
          <t>893148786</t>
        </is>
      </c>
    </row>
    <row r="14">
      <c r="A14" t="inlineStr">
        <is>
          <t>No</t>
        </is>
      </c>
      <c r="B14" t="inlineStr">
        <is>
          <t>QZ 4 G618p 1982</t>
        </is>
      </c>
      <c r="C14" t="inlineStr">
        <is>
          <t>0                      QZ 0004000G  618p        1982</t>
        </is>
      </c>
      <c r="D14" t="inlineStr">
        <is>
          <t>Pathology : understanding human disease / Abner Golden.</t>
        </is>
      </c>
      <c r="F14" t="inlineStr">
        <is>
          <t>No</t>
        </is>
      </c>
      <c r="G14" t="inlineStr">
        <is>
          <t>1</t>
        </is>
      </c>
      <c r="H14" t="inlineStr">
        <is>
          <t>No</t>
        </is>
      </c>
      <c r="I14" t="inlineStr">
        <is>
          <t>No</t>
        </is>
      </c>
      <c r="J14" t="inlineStr">
        <is>
          <t>0</t>
        </is>
      </c>
      <c r="K14" t="inlineStr">
        <is>
          <t>Golden, Abner, 1918-</t>
        </is>
      </c>
      <c r="L14" t="inlineStr">
        <is>
          <t>Baltimore : Williams &amp; Wilkins, c1982.</t>
        </is>
      </c>
      <c r="M14" t="inlineStr">
        <is>
          <t>1982</t>
        </is>
      </c>
      <c r="O14" t="inlineStr">
        <is>
          <t>eng</t>
        </is>
      </c>
      <c r="P14" t="inlineStr">
        <is>
          <t>xxu</t>
        </is>
      </c>
      <c r="R14" t="inlineStr">
        <is>
          <t xml:space="preserve">QZ </t>
        </is>
      </c>
      <c r="S14" t="n">
        <v>3</v>
      </c>
      <c r="T14" t="n">
        <v>3</v>
      </c>
      <c r="U14" t="inlineStr">
        <is>
          <t>1991-01-25</t>
        </is>
      </c>
      <c r="V14" t="inlineStr">
        <is>
          <t>1991-01-25</t>
        </is>
      </c>
      <c r="W14" t="inlineStr">
        <is>
          <t>1988-02-12</t>
        </is>
      </c>
      <c r="X14" t="inlineStr">
        <is>
          <t>1988-02-12</t>
        </is>
      </c>
      <c r="Y14" t="n">
        <v>100</v>
      </c>
      <c r="Z14" t="n">
        <v>77</v>
      </c>
      <c r="AA14" t="n">
        <v>136</v>
      </c>
      <c r="AB14" t="n">
        <v>1</v>
      </c>
      <c r="AC14" t="n">
        <v>1</v>
      </c>
      <c r="AD14" t="n">
        <v>1</v>
      </c>
      <c r="AE14" t="n">
        <v>5</v>
      </c>
      <c r="AF14" t="n">
        <v>1</v>
      </c>
      <c r="AG14" t="n">
        <v>2</v>
      </c>
      <c r="AH14" t="n">
        <v>0</v>
      </c>
      <c r="AI14" t="n">
        <v>1</v>
      </c>
      <c r="AJ14" t="n">
        <v>1</v>
      </c>
      <c r="AK14" t="n">
        <v>4</v>
      </c>
      <c r="AL14" t="n">
        <v>0</v>
      </c>
      <c r="AM14" t="n">
        <v>0</v>
      </c>
      <c r="AN14" t="n">
        <v>0</v>
      </c>
      <c r="AO14" t="n">
        <v>0</v>
      </c>
      <c r="AP14" t="inlineStr">
        <is>
          <t>No</t>
        </is>
      </c>
      <c r="AQ14" t="inlineStr">
        <is>
          <t>Yes</t>
        </is>
      </c>
      <c r="AR14">
        <f>HYPERLINK("http://catalog.hathitrust.org/Record/000279685","HathiTrust Record")</f>
        <v/>
      </c>
      <c r="AS14">
        <f>HYPERLINK("https://creighton-primo.hosted.exlibrisgroup.com/primo-explore/search?tab=default_tab&amp;search_scope=EVERYTHING&amp;vid=01CRU&amp;lang=en_US&amp;offset=0&amp;query=any,contains,991000981819702656","Catalog Record")</f>
        <v/>
      </c>
      <c r="AT14">
        <f>HYPERLINK("http://www.worldcat.org/oclc/7596003","WorldCat Record")</f>
        <v/>
      </c>
      <c r="AU14" t="inlineStr">
        <is>
          <t>4111616:eng</t>
        </is>
      </c>
      <c r="AV14" t="inlineStr">
        <is>
          <t>7596003</t>
        </is>
      </c>
      <c r="AW14" t="inlineStr">
        <is>
          <t>991000981819702656</t>
        </is>
      </c>
      <c r="AX14" t="inlineStr">
        <is>
          <t>991000981819702656</t>
        </is>
      </c>
      <c r="AY14" t="inlineStr">
        <is>
          <t>2267120510002656</t>
        </is>
      </c>
      <c r="AZ14" t="inlineStr">
        <is>
          <t>BOOK</t>
        </is>
      </c>
      <c r="BB14" t="inlineStr">
        <is>
          <t>9780683037265</t>
        </is>
      </c>
      <c r="BC14" t="inlineStr">
        <is>
          <t>30001000213704</t>
        </is>
      </c>
      <c r="BD14" t="inlineStr">
        <is>
          <t>893637911</t>
        </is>
      </c>
    </row>
    <row r="15">
      <c r="A15" t="inlineStr">
        <is>
          <t>No</t>
        </is>
      </c>
      <c r="B15" t="inlineStr">
        <is>
          <t>QZ 4 H8903u 1996</t>
        </is>
      </c>
      <c r="C15" t="inlineStr">
        <is>
          <t>0                      QZ 0004000H  8903u       1996</t>
        </is>
      </c>
      <c r="D15" t="inlineStr">
        <is>
          <t>Understanding pathophysiology / Sue E. Huether, Kathryn L. McCance.</t>
        </is>
      </c>
      <c r="F15" t="inlineStr">
        <is>
          <t>No</t>
        </is>
      </c>
      <c r="G15" t="inlineStr">
        <is>
          <t>1</t>
        </is>
      </c>
      <c r="H15" t="inlineStr">
        <is>
          <t>No</t>
        </is>
      </c>
      <c r="I15" t="inlineStr">
        <is>
          <t>Yes</t>
        </is>
      </c>
      <c r="J15" t="inlineStr">
        <is>
          <t>0</t>
        </is>
      </c>
      <c r="K15" t="inlineStr">
        <is>
          <t>Huether, Sue E., editor.</t>
        </is>
      </c>
      <c r="L15" t="inlineStr">
        <is>
          <t>St. Louis, Mo. : Mosby-Year Book, Inc., c1996.</t>
        </is>
      </c>
      <c r="M15" t="inlineStr">
        <is>
          <t>1996</t>
        </is>
      </c>
      <c r="O15" t="inlineStr">
        <is>
          <t>eng</t>
        </is>
      </c>
      <c r="P15" t="inlineStr">
        <is>
          <t>mou</t>
        </is>
      </c>
      <c r="R15" t="inlineStr">
        <is>
          <t xml:space="preserve">QZ </t>
        </is>
      </c>
      <c r="S15" t="n">
        <v>104</v>
      </c>
      <c r="T15" t="n">
        <v>104</v>
      </c>
      <c r="U15" t="inlineStr">
        <is>
          <t>2005-04-20</t>
        </is>
      </c>
      <c r="V15" t="inlineStr">
        <is>
          <t>2005-04-20</t>
        </is>
      </c>
      <c r="W15" t="inlineStr">
        <is>
          <t>1997-05-21</t>
        </is>
      </c>
      <c r="X15" t="inlineStr">
        <is>
          <t>1997-05-21</t>
        </is>
      </c>
      <c r="Y15" t="n">
        <v>185</v>
      </c>
      <c r="Z15" t="n">
        <v>136</v>
      </c>
      <c r="AA15" t="n">
        <v>497</v>
      </c>
      <c r="AB15" t="n">
        <v>2</v>
      </c>
      <c r="AC15" t="n">
        <v>3</v>
      </c>
      <c r="AD15" t="n">
        <v>3</v>
      </c>
      <c r="AE15" t="n">
        <v>13</v>
      </c>
      <c r="AF15" t="n">
        <v>1</v>
      </c>
      <c r="AG15" t="n">
        <v>5</v>
      </c>
      <c r="AH15" t="n">
        <v>0</v>
      </c>
      <c r="AI15" t="n">
        <v>1</v>
      </c>
      <c r="AJ15" t="n">
        <v>2</v>
      </c>
      <c r="AK15" t="n">
        <v>8</v>
      </c>
      <c r="AL15" t="n">
        <v>0</v>
      </c>
      <c r="AM15" t="n">
        <v>1</v>
      </c>
      <c r="AN15" t="n">
        <v>0</v>
      </c>
      <c r="AO15" t="n">
        <v>0</v>
      </c>
      <c r="AP15" t="inlineStr">
        <is>
          <t>No</t>
        </is>
      </c>
      <c r="AQ15" t="inlineStr">
        <is>
          <t>Yes</t>
        </is>
      </c>
      <c r="AR15">
        <f>HYPERLINK("http://catalog.hathitrust.org/Record/003025993","HathiTrust Record")</f>
        <v/>
      </c>
      <c r="AS15">
        <f>HYPERLINK("https://creighton-primo.hosted.exlibrisgroup.com/primo-explore/search?tab=default_tab&amp;search_scope=EVERYTHING&amp;vid=01CRU&amp;lang=en_US&amp;offset=0&amp;query=any,contains,991001556869702656","Catalog Record")</f>
        <v/>
      </c>
      <c r="AT15">
        <f>HYPERLINK("http://www.worldcat.org/oclc/32466704","WorldCat Record")</f>
        <v/>
      </c>
      <c r="AU15" t="inlineStr">
        <is>
          <t>679677:eng</t>
        </is>
      </c>
      <c r="AV15" t="inlineStr">
        <is>
          <t>32466704</t>
        </is>
      </c>
      <c r="AW15" t="inlineStr">
        <is>
          <t>991001556869702656</t>
        </is>
      </c>
      <c r="AX15" t="inlineStr">
        <is>
          <t>991001556869702656</t>
        </is>
      </c>
      <c r="AY15" t="inlineStr">
        <is>
          <t>2266816670002656</t>
        </is>
      </c>
      <c r="AZ15" t="inlineStr">
        <is>
          <t>BOOK</t>
        </is>
      </c>
      <c r="BB15" t="inlineStr">
        <is>
          <t>9780815140818</t>
        </is>
      </c>
      <c r="BC15" t="inlineStr">
        <is>
          <t>30001003673847</t>
        </is>
      </c>
      <c r="BD15" t="inlineStr">
        <is>
          <t>893633208</t>
        </is>
      </c>
    </row>
    <row r="16">
      <c r="A16" t="inlineStr">
        <is>
          <t>No</t>
        </is>
      </c>
      <c r="B16" t="inlineStr">
        <is>
          <t>QZ 4 K37i 1987</t>
        </is>
      </c>
      <c r="C16" t="inlineStr">
        <is>
          <t>0                      QZ 0004000K  37i         1987</t>
        </is>
      </c>
      <c r="D16" t="inlineStr">
        <is>
          <t>Introduction to human disease / Thomas H. Kent, Michael Noel Hart.</t>
        </is>
      </c>
      <c r="F16" t="inlineStr">
        <is>
          <t>No</t>
        </is>
      </c>
      <c r="G16" t="inlineStr">
        <is>
          <t>1</t>
        </is>
      </c>
      <c r="H16" t="inlineStr">
        <is>
          <t>No</t>
        </is>
      </c>
      <c r="I16" t="inlineStr">
        <is>
          <t>Yes</t>
        </is>
      </c>
      <c r="J16" t="inlineStr">
        <is>
          <t>0</t>
        </is>
      </c>
      <c r="K16" t="inlineStr">
        <is>
          <t>Kent, Thomas H. (Thomas Hugh), 1934-</t>
        </is>
      </c>
      <c r="L16" t="inlineStr">
        <is>
          <t>Norwalk, Conn. : Appleton-Century-Crofts, c1987.</t>
        </is>
      </c>
      <c r="M16" t="inlineStr">
        <is>
          <t>1987</t>
        </is>
      </c>
      <c r="N16" t="inlineStr">
        <is>
          <t>2nd ed.</t>
        </is>
      </c>
      <c r="O16" t="inlineStr">
        <is>
          <t>eng</t>
        </is>
      </c>
      <c r="P16" t="inlineStr">
        <is>
          <t>xxu</t>
        </is>
      </c>
      <c r="R16" t="inlineStr">
        <is>
          <t xml:space="preserve">QZ </t>
        </is>
      </c>
      <c r="S16" t="n">
        <v>76</v>
      </c>
      <c r="T16" t="n">
        <v>76</v>
      </c>
      <c r="U16" t="inlineStr">
        <is>
          <t>2004-02-03</t>
        </is>
      </c>
      <c r="V16" t="inlineStr">
        <is>
          <t>2004-02-03</t>
        </is>
      </c>
      <c r="W16" t="inlineStr">
        <is>
          <t>1989-01-07</t>
        </is>
      </c>
      <c r="X16" t="inlineStr">
        <is>
          <t>1989-01-07</t>
        </is>
      </c>
      <c r="Y16" t="n">
        <v>148</v>
      </c>
      <c r="Z16" t="n">
        <v>119</v>
      </c>
      <c r="AA16" t="n">
        <v>409</v>
      </c>
      <c r="AB16" t="n">
        <v>3</v>
      </c>
      <c r="AC16" t="n">
        <v>3</v>
      </c>
      <c r="AD16" t="n">
        <v>7</v>
      </c>
      <c r="AE16" t="n">
        <v>15</v>
      </c>
      <c r="AF16" t="n">
        <v>4</v>
      </c>
      <c r="AG16" t="n">
        <v>8</v>
      </c>
      <c r="AH16" t="n">
        <v>2</v>
      </c>
      <c r="AI16" t="n">
        <v>4</v>
      </c>
      <c r="AJ16" t="n">
        <v>3</v>
      </c>
      <c r="AK16" t="n">
        <v>8</v>
      </c>
      <c r="AL16" t="n">
        <v>1</v>
      </c>
      <c r="AM16" t="n">
        <v>1</v>
      </c>
      <c r="AN16" t="n">
        <v>0</v>
      </c>
      <c r="AO16" t="n">
        <v>0</v>
      </c>
      <c r="AP16" t="inlineStr">
        <is>
          <t>No</t>
        </is>
      </c>
      <c r="AQ16" t="inlineStr">
        <is>
          <t>Yes</t>
        </is>
      </c>
      <c r="AR16">
        <f>HYPERLINK("http://catalog.hathitrust.org/Record/000876244","HathiTrust Record")</f>
        <v/>
      </c>
      <c r="AS16">
        <f>HYPERLINK("https://creighton-primo.hosted.exlibrisgroup.com/primo-explore/search?tab=default_tab&amp;search_scope=EVERYTHING&amp;vid=01CRU&amp;lang=en_US&amp;offset=0&amp;query=any,contains,991001106649702656","Catalog Record")</f>
        <v/>
      </c>
      <c r="AT16">
        <f>HYPERLINK("http://www.worldcat.org/oclc/13945530","WorldCat Record")</f>
        <v/>
      </c>
      <c r="AU16" t="inlineStr">
        <is>
          <t>3901090124:eng</t>
        </is>
      </c>
      <c r="AV16" t="inlineStr">
        <is>
          <t>13945530</t>
        </is>
      </c>
      <c r="AW16" t="inlineStr">
        <is>
          <t>991001106649702656</t>
        </is>
      </c>
      <c r="AX16" t="inlineStr">
        <is>
          <t>991001106649702656</t>
        </is>
      </c>
      <c r="AY16" t="inlineStr">
        <is>
          <t>2267101420002656</t>
        </is>
      </c>
      <c r="AZ16" t="inlineStr">
        <is>
          <t>BOOK</t>
        </is>
      </c>
      <c r="BB16" t="inlineStr">
        <is>
          <t>9780838543467</t>
        </is>
      </c>
      <c r="BC16" t="inlineStr">
        <is>
          <t>30001001611195</t>
        </is>
      </c>
      <c r="BD16" t="inlineStr">
        <is>
          <t>893363774</t>
        </is>
      </c>
    </row>
    <row r="17">
      <c r="A17" t="inlineStr">
        <is>
          <t>No</t>
        </is>
      </c>
      <c r="B17" t="inlineStr">
        <is>
          <t>QZ 4 K37i 1993</t>
        </is>
      </c>
      <c r="C17" t="inlineStr">
        <is>
          <t>0                      QZ 0004000K  37i         1993</t>
        </is>
      </c>
      <c r="D17" t="inlineStr">
        <is>
          <t>Introduction to human disease / Thomas H. Kent, Michael Noel Hart.</t>
        </is>
      </c>
      <c r="F17" t="inlineStr">
        <is>
          <t>No</t>
        </is>
      </c>
      <c r="G17" t="inlineStr">
        <is>
          <t>1</t>
        </is>
      </c>
      <c r="H17" t="inlineStr">
        <is>
          <t>No</t>
        </is>
      </c>
      <c r="I17" t="inlineStr">
        <is>
          <t>Yes</t>
        </is>
      </c>
      <c r="J17" t="inlineStr">
        <is>
          <t>0</t>
        </is>
      </c>
      <c r="K17" t="inlineStr">
        <is>
          <t>Kent, Thomas H. (Thomas Hugh), 1934-</t>
        </is>
      </c>
      <c r="L17" t="inlineStr">
        <is>
          <t>Norwalk, Conn. : Appleton &amp; Lange, c1993.</t>
        </is>
      </c>
      <c r="M17" t="inlineStr">
        <is>
          <t>1993</t>
        </is>
      </c>
      <c r="N17" t="inlineStr">
        <is>
          <t>3rd ed.</t>
        </is>
      </c>
      <c r="O17" t="inlineStr">
        <is>
          <t>eng</t>
        </is>
      </c>
      <c r="P17" t="inlineStr">
        <is>
          <t>xxu</t>
        </is>
      </c>
      <c r="R17" t="inlineStr">
        <is>
          <t xml:space="preserve">QZ </t>
        </is>
      </c>
      <c r="S17" t="n">
        <v>75</v>
      </c>
      <c r="T17" t="n">
        <v>75</v>
      </c>
      <c r="U17" t="inlineStr">
        <is>
          <t>2006-04-18</t>
        </is>
      </c>
      <c r="V17" t="inlineStr">
        <is>
          <t>2006-04-18</t>
        </is>
      </c>
      <c r="W17" t="inlineStr">
        <is>
          <t>1992-11-18</t>
        </is>
      </c>
      <c r="X17" t="inlineStr">
        <is>
          <t>1992-11-18</t>
        </is>
      </c>
      <c r="Y17" t="n">
        <v>17</v>
      </c>
      <c r="Z17" t="n">
        <v>17</v>
      </c>
      <c r="AA17" t="n">
        <v>409</v>
      </c>
      <c r="AB17" t="n">
        <v>1</v>
      </c>
      <c r="AC17" t="n">
        <v>3</v>
      </c>
      <c r="AD17" t="n">
        <v>0</v>
      </c>
      <c r="AE17" t="n">
        <v>15</v>
      </c>
      <c r="AF17" t="n">
        <v>0</v>
      </c>
      <c r="AG17" t="n">
        <v>8</v>
      </c>
      <c r="AH17" t="n">
        <v>0</v>
      </c>
      <c r="AI17" t="n">
        <v>4</v>
      </c>
      <c r="AJ17" t="n">
        <v>0</v>
      </c>
      <c r="AK17" t="n">
        <v>8</v>
      </c>
      <c r="AL17" t="n">
        <v>0</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HYPERLINK("https://creighton-primo.hosted.exlibrisgroup.com/primo-explore/search?tab=default_tab&amp;search_scope=EVERYTHING&amp;vid=01CRU&amp;lang=en_US&amp;offset=0&amp;query=any,contains,991001347729702656","Catalog Record")</f>
        <v/>
      </c>
      <c r="AT17">
        <f>HYPERLINK("http://www.worldcat.org/oclc/25873364","WorldCat Record")</f>
        <v/>
      </c>
      <c r="AU17" t="inlineStr">
        <is>
          <t>3901090124:eng</t>
        </is>
      </c>
      <c r="AV17" t="inlineStr">
        <is>
          <t>25873364</t>
        </is>
      </c>
      <c r="AW17" t="inlineStr">
        <is>
          <t>991001347729702656</t>
        </is>
      </c>
      <c r="AX17" t="inlineStr">
        <is>
          <t>991001347729702656</t>
        </is>
      </c>
      <c r="AY17" t="inlineStr">
        <is>
          <t>2269545720002656</t>
        </is>
      </c>
      <c r="AZ17" t="inlineStr">
        <is>
          <t>BOOK</t>
        </is>
      </c>
      <c r="BB17" t="inlineStr">
        <is>
          <t>9780838543474</t>
        </is>
      </c>
      <c r="BC17" t="inlineStr">
        <is>
          <t>30001002457952</t>
        </is>
      </c>
      <c r="BD17" t="inlineStr">
        <is>
          <t>893465416</t>
        </is>
      </c>
    </row>
    <row r="18">
      <c r="A18" t="inlineStr">
        <is>
          <t>No</t>
        </is>
      </c>
      <c r="B18" t="inlineStr">
        <is>
          <t>QZ 4 K37i 1998</t>
        </is>
      </c>
      <c r="C18" t="inlineStr">
        <is>
          <t>0                      QZ 0004000K  37i         1998</t>
        </is>
      </c>
      <c r="D18" t="inlineStr">
        <is>
          <t>Introduction to human disease / Thomas H. Kent, Michael Noel Hart.</t>
        </is>
      </c>
      <c r="F18" t="inlineStr">
        <is>
          <t>No</t>
        </is>
      </c>
      <c r="G18" t="inlineStr">
        <is>
          <t>1</t>
        </is>
      </c>
      <c r="H18" t="inlineStr">
        <is>
          <t>No</t>
        </is>
      </c>
      <c r="I18" t="inlineStr">
        <is>
          <t>Yes</t>
        </is>
      </c>
      <c r="J18" t="inlineStr">
        <is>
          <t>0</t>
        </is>
      </c>
      <c r="K18" t="inlineStr">
        <is>
          <t>Kent, Thomas H. (Thomas Hugh), 1934-</t>
        </is>
      </c>
      <c r="L18" t="inlineStr">
        <is>
          <t>Stamford, Conn. : Appleton &amp; Lange, c1998.</t>
        </is>
      </c>
      <c r="M18" t="inlineStr">
        <is>
          <t>1998</t>
        </is>
      </c>
      <c r="N18" t="inlineStr">
        <is>
          <t>4th ed.</t>
        </is>
      </c>
      <c r="O18" t="inlineStr">
        <is>
          <t>eng</t>
        </is>
      </c>
      <c r="P18" t="inlineStr">
        <is>
          <t>ctu</t>
        </is>
      </c>
      <c r="R18" t="inlineStr">
        <is>
          <t xml:space="preserve">QZ </t>
        </is>
      </c>
      <c r="S18" t="n">
        <v>177</v>
      </c>
      <c r="T18" t="n">
        <v>177</v>
      </c>
      <c r="U18" t="inlineStr">
        <is>
          <t>2008-02-24</t>
        </is>
      </c>
      <c r="V18" t="inlineStr">
        <is>
          <t>2008-02-24</t>
        </is>
      </c>
      <c r="W18" t="inlineStr">
        <is>
          <t>1998-04-16</t>
        </is>
      </c>
      <c r="X18" t="inlineStr">
        <is>
          <t>1998-04-16</t>
        </is>
      </c>
      <c r="Y18" t="n">
        <v>210</v>
      </c>
      <c r="Z18" t="n">
        <v>165</v>
      </c>
      <c r="AA18" t="n">
        <v>409</v>
      </c>
      <c r="AB18" t="n">
        <v>1</v>
      </c>
      <c r="AC18" t="n">
        <v>3</v>
      </c>
      <c r="AD18" t="n">
        <v>4</v>
      </c>
      <c r="AE18" t="n">
        <v>15</v>
      </c>
      <c r="AF18" t="n">
        <v>2</v>
      </c>
      <c r="AG18" t="n">
        <v>8</v>
      </c>
      <c r="AH18" t="n">
        <v>2</v>
      </c>
      <c r="AI18" t="n">
        <v>4</v>
      </c>
      <c r="AJ18" t="n">
        <v>1</v>
      </c>
      <c r="AK18" t="n">
        <v>8</v>
      </c>
      <c r="AL18" t="n">
        <v>0</v>
      </c>
      <c r="AM18" t="n">
        <v>1</v>
      </c>
      <c r="AN18" t="n">
        <v>0</v>
      </c>
      <c r="AO18" t="n">
        <v>0</v>
      </c>
      <c r="AP18" t="inlineStr">
        <is>
          <t>No</t>
        </is>
      </c>
      <c r="AQ18" t="inlineStr">
        <is>
          <t>Yes</t>
        </is>
      </c>
      <c r="AR18">
        <f>HYPERLINK("http://catalog.hathitrust.org/Record/003972407","HathiTrust Record")</f>
        <v/>
      </c>
      <c r="AS18">
        <f>HYPERLINK("https://creighton-primo.hosted.exlibrisgroup.com/primo-explore/search?tab=default_tab&amp;search_scope=EVERYTHING&amp;vid=01CRU&amp;lang=en_US&amp;offset=0&amp;query=any,contains,991001429149702656","Catalog Record")</f>
        <v/>
      </c>
      <c r="AT18">
        <f>HYPERLINK("http://www.worldcat.org/oclc/38017022","WorldCat Record")</f>
        <v/>
      </c>
      <c r="AU18" t="inlineStr">
        <is>
          <t>3901090124:eng</t>
        </is>
      </c>
      <c r="AV18" t="inlineStr">
        <is>
          <t>38017022</t>
        </is>
      </c>
      <c r="AW18" t="inlineStr">
        <is>
          <t>991001429149702656</t>
        </is>
      </c>
      <c r="AX18" t="inlineStr">
        <is>
          <t>991001429149702656</t>
        </is>
      </c>
      <c r="AY18" t="inlineStr">
        <is>
          <t>2266633730002656</t>
        </is>
      </c>
      <c r="AZ18" t="inlineStr">
        <is>
          <t>BOOK</t>
        </is>
      </c>
      <c r="BB18" t="inlineStr">
        <is>
          <t>9780838540701</t>
        </is>
      </c>
      <c r="BC18" t="inlineStr">
        <is>
          <t>30001003864362</t>
        </is>
      </c>
      <c r="BD18" t="inlineStr">
        <is>
          <t>893369389</t>
        </is>
      </c>
    </row>
    <row r="19">
      <c r="A19" t="inlineStr">
        <is>
          <t>No</t>
        </is>
      </c>
      <c r="B19" t="inlineStr">
        <is>
          <t>QZ 4 K955b 1992</t>
        </is>
      </c>
      <c r="C19" t="inlineStr">
        <is>
          <t>0                      QZ 0004000K  955b        1992</t>
        </is>
      </c>
      <c r="D19" t="inlineStr">
        <is>
          <t>Basic pathology / Vinay Kumar, Ramzi S. Cotran, Stanley L. Robbins.</t>
        </is>
      </c>
      <c r="F19" t="inlineStr">
        <is>
          <t>No</t>
        </is>
      </c>
      <c r="G19" t="inlineStr">
        <is>
          <t>1</t>
        </is>
      </c>
      <c r="H19" t="inlineStr">
        <is>
          <t>No</t>
        </is>
      </c>
      <c r="I19" t="inlineStr">
        <is>
          <t>No</t>
        </is>
      </c>
      <c r="J19" t="inlineStr">
        <is>
          <t>0</t>
        </is>
      </c>
      <c r="K19" t="inlineStr">
        <is>
          <t>Kumar, Vinay.</t>
        </is>
      </c>
      <c r="L19" t="inlineStr">
        <is>
          <t>Philadelphia : Saunders, c1992.</t>
        </is>
      </c>
      <c r="M19" t="inlineStr">
        <is>
          <t>1992</t>
        </is>
      </c>
      <c r="N19" t="inlineStr">
        <is>
          <t>5th ed.</t>
        </is>
      </c>
      <c r="O19" t="inlineStr">
        <is>
          <t>eng</t>
        </is>
      </c>
      <c r="P19" t="inlineStr">
        <is>
          <t>pau</t>
        </is>
      </c>
      <c r="R19" t="inlineStr">
        <is>
          <t xml:space="preserve">QZ </t>
        </is>
      </c>
      <c r="S19" t="n">
        <v>172</v>
      </c>
      <c r="T19" t="n">
        <v>172</v>
      </c>
      <c r="U19" t="inlineStr">
        <is>
          <t>2003-02-10</t>
        </is>
      </c>
      <c r="V19" t="inlineStr">
        <is>
          <t>2003-02-10</t>
        </is>
      </c>
      <c r="W19" t="inlineStr">
        <is>
          <t>1992-08-12</t>
        </is>
      </c>
      <c r="X19" t="inlineStr">
        <is>
          <t>1992-08-12</t>
        </is>
      </c>
      <c r="Y19" t="n">
        <v>304</v>
      </c>
      <c r="Z19" t="n">
        <v>184</v>
      </c>
      <c r="AA19" t="n">
        <v>313</v>
      </c>
      <c r="AB19" t="n">
        <v>3</v>
      </c>
      <c r="AC19" t="n">
        <v>3</v>
      </c>
      <c r="AD19" t="n">
        <v>6</v>
      </c>
      <c r="AE19" t="n">
        <v>9</v>
      </c>
      <c r="AF19" t="n">
        <v>2</v>
      </c>
      <c r="AG19" t="n">
        <v>3</v>
      </c>
      <c r="AH19" t="n">
        <v>1</v>
      </c>
      <c r="AI19" t="n">
        <v>1</v>
      </c>
      <c r="AJ19" t="n">
        <v>3</v>
      </c>
      <c r="AK19" t="n">
        <v>6</v>
      </c>
      <c r="AL19" t="n">
        <v>2</v>
      </c>
      <c r="AM19" t="n">
        <v>2</v>
      </c>
      <c r="AN19" t="n">
        <v>0</v>
      </c>
      <c r="AO19" t="n">
        <v>0</v>
      </c>
      <c r="AP19" t="inlineStr">
        <is>
          <t>No</t>
        </is>
      </c>
      <c r="AQ19" t="inlineStr">
        <is>
          <t>Yes</t>
        </is>
      </c>
      <c r="AR19">
        <f>HYPERLINK("http://catalog.hathitrust.org/Record/002563864","HathiTrust Record")</f>
        <v/>
      </c>
      <c r="AS19">
        <f>HYPERLINK("https://creighton-primo.hosted.exlibrisgroup.com/primo-explore/search?tab=default_tab&amp;search_scope=EVERYTHING&amp;vid=01CRU&amp;lang=en_US&amp;offset=0&amp;query=any,contains,991001339869702656","Catalog Record")</f>
        <v/>
      </c>
      <c r="AT19">
        <f>HYPERLINK("http://www.worldcat.org/oclc/25164138","WorldCat Record")</f>
        <v/>
      </c>
      <c r="AU19" t="inlineStr">
        <is>
          <t>10567495767:eng</t>
        </is>
      </c>
      <c r="AV19" t="inlineStr">
        <is>
          <t>25164138</t>
        </is>
      </c>
      <c r="AW19" t="inlineStr">
        <is>
          <t>991001339869702656</t>
        </is>
      </c>
      <c r="AX19" t="inlineStr">
        <is>
          <t>991001339869702656</t>
        </is>
      </c>
      <c r="AY19" t="inlineStr">
        <is>
          <t>2263803600002656</t>
        </is>
      </c>
      <c r="AZ19" t="inlineStr">
        <is>
          <t>BOOK</t>
        </is>
      </c>
      <c r="BB19" t="inlineStr">
        <is>
          <t>9780721637327</t>
        </is>
      </c>
      <c r="BC19" t="inlineStr">
        <is>
          <t>30001002455204</t>
        </is>
      </c>
      <c r="BD19" t="inlineStr">
        <is>
          <t>893358490</t>
        </is>
      </c>
    </row>
    <row r="20">
      <c r="A20" t="inlineStr">
        <is>
          <t>No</t>
        </is>
      </c>
      <c r="B20" t="inlineStr">
        <is>
          <t>QZ 4 L138c 1965</t>
        </is>
      </c>
      <c r="C20" t="inlineStr">
        <is>
          <t>0                      QZ 0004000L  138c        1965</t>
        </is>
      </c>
      <c r="D20" t="inlineStr">
        <is>
          <t>Case studies in anatomy.</t>
        </is>
      </c>
      <c r="F20" t="inlineStr">
        <is>
          <t>No</t>
        </is>
      </c>
      <c r="G20" t="inlineStr">
        <is>
          <t>1</t>
        </is>
      </c>
      <c r="H20" t="inlineStr">
        <is>
          <t>No</t>
        </is>
      </c>
      <c r="I20" t="inlineStr">
        <is>
          <t>No</t>
        </is>
      </c>
      <c r="J20" t="inlineStr">
        <is>
          <t>0</t>
        </is>
      </c>
      <c r="K20" t="inlineStr">
        <is>
          <t>Lachman, Ernest, 1901-1979.</t>
        </is>
      </c>
      <c r="L20" t="inlineStr">
        <is>
          <t>New York : Oxford University Press, 1965.</t>
        </is>
      </c>
      <c r="M20" t="inlineStr">
        <is>
          <t>1965</t>
        </is>
      </c>
      <c r="O20" t="inlineStr">
        <is>
          <t>eng</t>
        </is>
      </c>
      <c r="P20" t="inlineStr">
        <is>
          <t>nyu</t>
        </is>
      </c>
      <c r="R20" t="inlineStr">
        <is>
          <t xml:space="preserve">QZ </t>
        </is>
      </c>
      <c r="S20" t="n">
        <v>9</v>
      </c>
      <c r="T20" t="n">
        <v>9</v>
      </c>
      <c r="U20" t="inlineStr">
        <is>
          <t>1996-07-22</t>
        </is>
      </c>
      <c r="V20" t="inlineStr">
        <is>
          <t>1996-07-22</t>
        </is>
      </c>
      <c r="W20" t="inlineStr">
        <is>
          <t>1988-03-27</t>
        </is>
      </c>
      <c r="X20" t="inlineStr">
        <is>
          <t>1988-03-27</t>
        </is>
      </c>
      <c r="Y20" t="n">
        <v>88</v>
      </c>
      <c r="Z20" t="n">
        <v>68</v>
      </c>
      <c r="AA20" t="n">
        <v>184</v>
      </c>
      <c r="AB20" t="n">
        <v>1</v>
      </c>
      <c r="AC20" t="n">
        <v>3</v>
      </c>
      <c r="AD20" t="n">
        <v>0</v>
      </c>
      <c r="AE20" t="n">
        <v>4</v>
      </c>
      <c r="AF20" t="n">
        <v>0</v>
      </c>
      <c r="AG20" t="n">
        <v>1</v>
      </c>
      <c r="AH20" t="n">
        <v>0</v>
      </c>
      <c r="AI20" t="n">
        <v>1</v>
      </c>
      <c r="AJ20" t="n">
        <v>0</v>
      </c>
      <c r="AK20" t="n">
        <v>1</v>
      </c>
      <c r="AL20" t="n">
        <v>0</v>
      </c>
      <c r="AM20" t="n">
        <v>2</v>
      </c>
      <c r="AN20" t="n">
        <v>0</v>
      </c>
      <c r="AO20" t="n">
        <v>0</v>
      </c>
      <c r="AP20" t="inlineStr">
        <is>
          <t>No</t>
        </is>
      </c>
      <c r="AQ20" t="inlineStr">
        <is>
          <t>Yes</t>
        </is>
      </c>
      <c r="AR20">
        <f>HYPERLINK("http://catalog.hathitrust.org/Record/001560778","HathiTrust Record")</f>
        <v/>
      </c>
      <c r="AS20">
        <f>HYPERLINK("https://creighton-primo.hosted.exlibrisgroup.com/primo-explore/search?tab=default_tab&amp;search_scope=EVERYTHING&amp;vid=01CRU&amp;lang=en_US&amp;offset=0&amp;query=any,contains,991001087819702656","Catalog Record")</f>
        <v/>
      </c>
      <c r="AT20">
        <f>HYPERLINK("http://www.worldcat.org/oclc/1405626","WorldCat Record")</f>
        <v/>
      </c>
      <c r="AU20" t="inlineStr">
        <is>
          <t>1286880:eng</t>
        </is>
      </c>
      <c r="AV20" t="inlineStr">
        <is>
          <t>1405626</t>
        </is>
      </c>
      <c r="AW20" t="inlineStr">
        <is>
          <t>991001087819702656</t>
        </is>
      </c>
      <c r="AX20" t="inlineStr">
        <is>
          <t>991001087819702656</t>
        </is>
      </c>
      <c r="AY20" t="inlineStr">
        <is>
          <t>2261573240002656</t>
        </is>
      </c>
      <c r="AZ20" t="inlineStr">
        <is>
          <t>BOOK</t>
        </is>
      </c>
      <c r="BC20" t="inlineStr">
        <is>
          <t>30001000260507</t>
        </is>
      </c>
      <c r="BD20" t="inlineStr">
        <is>
          <t>893740737</t>
        </is>
      </c>
    </row>
    <row r="21">
      <c r="A21" t="inlineStr">
        <is>
          <t>No</t>
        </is>
      </c>
      <c r="B21" t="inlineStr">
        <is>
          <t>QZ 4 M478p 1998</t>
        </is>
      </c>
      <c r="C21" t="inlineStr">
        <is>
          <t>0                      QZ 0004000M  478p        1998</t>
        </is>
      </c>
      <c r="D21" t="inlineStr">
        <is>
          <t>Pathophysiology : the biologic basis for disease in adults and children / Kathryn L. McCance, Sue E. Huether.</t>
        </is>
      </c>
      <c r="F21" t="inlineStr">
        <is>
          <t>No</t>
        </is>
      </c>
      <c r="G21" t="inlineStr">
        <is>
          <t>1</t>
        </is>
      </c>
      <c r="H21" t="inlineStr">
        <is>
          <t>No</t>
        </is>
      </c>
      <c r="I21" t="inlineStr">
        <is>
          <t>Yes</t>
        </is>
      </c>
      <c r="J21" t="inlineStr">
        <is>
          <t>0</t>
        </is>
      </c>
      <c r="K21" t="inlineStr">
        <is>
          <t>McCance, Kathryn L.</t>
        </is>
      </c>
      <c r="L21" t="inlineStr">
        <is>
          <t>St. Louis : Mosby, c1998.</t>
        </is>
      </c>
      <c r="M21" t="inlineStr">
        <is>
          <t>1998</t>
        </is>
      </c>
      <c r="N21" t="inlineStr">
        <is>
          <t>3rd ed.</t>
        </is>
      </c>
      <c r="O21" t="inlineStr">
        <is>
          <t>eng</t>
        </is>
      </c>
      <c r="P21" t="inlineStr">
        <is>
          <t>mou</t>
        </is>
      </c>
      <c r="R21" t="inlineStr">
        <is>
          <t xml:space="preserve">QZ </t>
        </is>
      </c>
      <c r="S21" t="n">
        <v>125</v>
      </c>
      <c r="T21" t="n">
        <v>125</v>
      </c>
      <c r="U21" t="inlineStr">
        <is>
          <t>2004-03-03</t>
        </is>
      </c>
      <c r="V21" t="inlineStr">
        <is>
          <t>2004-03-03</t>
        </is>
      </c>
      <c r="W21" t="inlineStr">
        <is>
          <t>1997-12-23</t>
        </is>
      </c>
      <c r="X21" t="inlineStr">
        <is>
          <t>1997-12-23</t>
        </is>
      </c>
      <c r="Y21" t="n">
        <v>379</v>
      </c>
      <c r="Z21" t="n">
        <v>298</v>
      </c>
      <c r="AA21" t="n">
        <v>1305</v>
      </c>
      <c r="AB21" t="n">
        <v>2</v>
      </c>
      <c r="AC21" t="n">
        <v>9</v>
      </c>
      <c r="AD21" t="n">
        <v>6</v>
      </c>
      <c r="AE21" t="n">
        <v>40</v>
      </c>
      <c r="AF21" t="n">
        <v>2</v>
      </c>
      <c r="AG21" t="n">
        <v>18</v>
      </c>
      <c r="AH21" t="n">
        <v>2</v>
      </c>
      <c r="AI21" t="n">
        <v>6</v>
      </c>
      <c r="AJ21" t="n">
        <v>5</v>
      </c>
      <c r="AK21" t="n">
        <v>15</v>
      </c>
      <c r="AL21" t="n">
        <v>0</v>
      </c>
      <c r="AM21" t="n">
        <v>6</v>
      </c>
      <c r="AN21" t="n">
        <v>0</v>
      </c>
      <c r="AO21" t="n">
        <v>0</v>
      </c>
      <c r="AP21" t="inlineStr">
        <is>
          <t>No</t>
        </is>
      </c>
      <c r="AQ21" t="inlineStr">
        <is>
          <t>No</t>
        </is>
      </c>
      <c r="AS21">
        <f>HYPERLINK("https://creighton-primo.hosted.exlibrisgroup.com/primo-explore/search?tab=default_tab&amp;search_scope=EVERYTHING&amp;vid=01CRU&amp;lang=en_US&amp;offset=0&amp;query=any,contains,991001564209702656","Catalog Record")</f>
        <v/>
      </c>
      <c r="AT21">
        <f>HYPERLINK("http://www.worldcat.org/oclc/36990024","WorldCat Record")</f>
        <v/>
      </c>
      <c r="AU21" t="inlineStr">
        <is>
          <t>22629172:eng</t>
        </is>
      </c>
      <c r="AV21" t="inlineStr">
        <is>
          <t>36990024</t>
        </is>
      </c>
      <c r="AW21" t="inlineStr">
        <is>
          <t>991001564209702656</t>
        </is>
      </c>
      <c r="AX21" t="inlineStr">
        <is>
          <t>991001564209702656</t>
        </is>
      </c>
      <c r="AY21" t="inlineStr">
        <is>
          <t>2263692840002656</t>
        </is>
      </c>
      <c r="AZ21" t="inlineStr">
        <is>
          <t>BOOK</t>
        </is>
      </c>
      <c r="BB21" t="inlineStr">
        <is>
          <t>9780815194811</t>
        </is>
      </c>
      <c r="BC21" t="inlineStr">
        <is>
          <t>30001003669399</t>
        </is>
      </c>
      <c r="BD21" t="inlineStr">
        <is>
          <t>893274296</t>
        </is>
      </c>
    </row>
    <row r="22">
      <c r="A22" t="inlineStr">
        <is>
          <t>No</t>
        </is>
      </c>
      <c r="B22" t="inlineStr">
        <is>
          <t>QZ 4 M5492i 1983</t>
        </is>
      </c>
      <c r="C22" t="inlineStr">
        <is>
          <t>0                      QZ 0004000M  5492i       1983</t>
        </is>
      </c>
      <c r="D22" t="inlineStr">
        <is>
          <t>Introduction to pathophysiology--principles of disease / by Martha J. Miller.</t>
        </is>
      </c>
      <c r="F22" t="inlineStr">
        <is>
          <t>No</t>
        </is>
      </c>
      <c r="G22" t="inlineStr">
        <is>
          <t>1</t>
        </is>
      </c>
      <c r="H22" t="inlineStr">
        <is>
          <t>No</t>
        </is>
      </c>
      <c r="I22" t="inlineStr">
        <is>
          <t>No</t>
        </is>
      </c>
      <c r="J22" t="inlineStr">
        <is>
          <t>0</t>
        </is>
      </c>
      <c r="K22" t="inlineStr">
        <is>
          <t>Miller, Martha J.</t>
        </is>
      </c>
      <c r="L22" t="inlineStr">
        <is>
          <t>Philadelphia : Saunders, c1983.</t>
        </is>
      </c>
      <c r="M22" t="inlineStr">
        <is>
          <t>1983</t>
        </is>
      </c>
      <c r="O22" t="inlineStr">
        <is>
          <t>eng</t>
        </is>
      </c>
      <c r="P22" t="inlineStr">
        <is>
          <t>xxu</t>
        </is>
      </c>
      <c r="R22" t="inlineStr">
        <is>
          <t xml:space="preserve">QZ </t>
        </is>
      </c>
      <c r="S22" t="n">
        <v>16</v>
      </c>
      <c r="T22" t="n">
        <v>16</v>
      </c>
      <c r="U22" t="inlineStr">
        <is>
          <t>1992-09-04</t>
        </is>
      </c>
      <c r="V22" t="inlineStr">
        <is>
          <t>1992-09-04</t>
        </is>
      </c>
      <c r="W22" t="inlineStr">
        <is>
          <t>1989-07-08</t>
        </is>
      </c>
      <c r="X22" t="inlineStr">
        <is>
          <t>1989-07-08</t>
        </is>
      </c>
      <c r="Y22" t="n">
        <v>212</v>
      </c>
      <c r="Z22" t="n">
        <v>137</v>
      </c>
      <c r="AA22" t="n">
        <v>144</v>
      </c>
      <c r="AB22" t="n">
        <v>1</v>
      </c>
      <c r="AC22" t="n">
        <v>1</v>
      </c>
      <c r="AD22" t="n">
        <v>4</v>
      </c>
      <c r="AE22" t="n">
        <v>4</v>
      </c>
      <c r="AF22" t="n">
        <v>3</v>
      </c>
      <c r="AG22" t="n">
        <v>3</v>
      </c>
      <c r="AH22" t="n">
        <v>1</v>
      </c>
      <c r="AI22" t="n">
        <v>1</v>
      </c>
      <c r="AJ22" t="n">
        <v>3</v>
      </c>
      <c r="AK22" t="n">
        <v>3</v>
      </c>
      <c r="AL22" t="n">
        <v>0</v>
      </c>
      <c r="AM22" t="n">
        <v>0</v>
      </c>
      <c r="AN22" t="n">
        <v>0</v>
      </c>
      <c r="AO22" t="n">
        <v>0</v>
      </c>
      <c r="AP22" t="inlineStr">
        <is>
          <t>No</t>
        </is>
      </c>
      <c r="AQ22" t="inlineStr">
        <is>
          <t>Yes</t>
        </is>
      </c>
      <c r="AR22">
        <f>HYPERLINK("http://catalog.hathitrust.org/Record/000274905","HathiTrust Record")</f>
        <v/>
      </c>
      <c r="AS22">
        <f>HYPERLINK("https://creighton-primo.hosted.exlibrisgroup.com/primo-explore/search?tab=default_tab&amp;search_scope=EVERYTHING&amp;vid=01CRU&amp;lang=en_US&amp;offset=0&amp;query=any,contains,991001087939702656","Catalog Record")</f>
        <v/>
      </c>
      <c r="AT22">
        <f>HYPERLINK("http://www.worldcat.org/oclc/7653713","WorldCat Record")</f>
        <v/>
      </c>
      <c r="AU22" t="inlineStr">
        <is>
          <t>375721071:eng</t>
        </is>
      </c>
      <c r="AV22" t="inlineStr">
        <is>
          <t>7653713</t>
        </is>
      </c>
      <c r="AW22" t="inlineStr">
        <is>
          <t>991001087939702656</t>
        </is>
      </c>
      <c r="AX22" t="inlineStr">
        <is>
          <t>991001087939702656</t>
        </is>
      </c>
      <c r="AY22" t="inlineStr">
        <is>
          <t>2267156360002656</t>
        </is>
      </c>
      <c r="AZ22" t="inlineStr">
        <is>
          <t>BOOK</t>
        </is>
      </c>
      <c r="BB22" t="inlineStr">
        <is>
          <t>9780721663371</t>
        </is>
      </c>
      <c r="BC22" t="inlineStr">
        <is>
          <t>30001000260549</t>
        </is>
      </c>
      <c r="BD22" t="inlineStr">
        <is>
          <t>893826434</t>
        </is>
      </c>
    </row>
    <row r="23">
      <c r="A23" t="inlineStr">
        <is>
          <t>No</t>
        </is>
      </c>
      <c r="B23" t="inlineStr">
        <is>
          <t>QZ 4 P2984 1989</t>
        </is>
      </c>
      <c r="C23" t="inlineStr">
        <is>
          <t>0                      QZ 0004000P  2984        1989</t>
        </is>
      </c>
      <c r="D23" t="inlineStr">
        <is>
          <t>Anderson's pathology.</t>
        </is>
      </c>
      <c r="E23" t="inlineStr">
        <is>
          <t>V. 1</t>
        </is>
      </c>
      <c r="F23" t="inlineStr">
        <is>
          <t>Yes</t>
        </is>
      </c>
      <c r="G23" t="inlineStr">
        <is>
          <t>1</t>
        </is>
      </c>
      <c r="H23" t="inlineStr">
        <is>
          <t>No</t>
        </is>
      </c>
      <c r="I23" t="inlineStr">
        <is>
          <t>No</t>
        </is>
      </c>
      <c r="J23" t="inlineStr">
        <is>
          <t>0</t>
        </is>
      </c>
      <c r="K23" t="inlineStr">
        <is>
          <t>Pathology (Saint Louis, Mo.)</t>
        </is>
      </c>
      <c r="L23" t="inlineStr">
        <is>
          <t>St. Louis : Mosby, c1989.</t>
        </is>
      </c>
      <c r="M23" t="inlineStr">
        <is>
          <t>1989</t>
        </is>
      </c>
      <c r="N23" t="inlineStr">
        <is>
          <t>9th ed. / edited by John M. Kissane.</t>
        </is>
      </c>
      <c r="O23" t="inlineStr">
        <is>
          <t>eng</t>
        </is>
      </c>
      <c r="P23" t="inlineStr">
        <is>
          <t>xxu</t>
        </is>
      </c>
      <c r="R23" t="inlineStr">
        <is>
          <t xml:space="preserve">QZ </t>
        </is>
      </c>
      <c r="S23" t="n">
        <v>38</v>
      </c>
      <c r="T23" t="n">
        <v>66</v>
      </c>
      <c r="U23" t="inlineStr">
        <is>
          <t>2000-05-14</t>
        </is>
      </c>
      <c r="V23" t="inlineStr">
        <is>
          <t>2000-05-14</t>
        </is>
      </c>
      <c r="W23" t="inlineStr">
        <is>
          <t>1989-07-13</t>
        </is>
      </c>
      <c r="X23" t="inlineStr">
        <is>
          <t>1989-07-13</t>
        </is>
      </c>
      <c r="Y23" t="n">
        <v>358</v>
      </c>
      <c r="Z23" t="n">
        <v>273</v>
      </c>
      <c r="AA23" t="n">
        <v>291</v>
      </c>
      <c r="AB23" t="n">
        <v>2</v>
      </c>
      <c r="AC23" t="n">
        <v>2</v>
      </c>
      <c r="AD23" t="n">
        <v>3</v>
      </c>
      <c r="AE23" t="n">
        <v>6</v>
      </c>
      <c r="AF23" t="n">
        <v>0</v>
      </c>
      <c r="AG23" t="n">
        <v>2</v>
      </c>
      <c r="AH23" t="n">
        <v>2</v>
      </c>
      <c r="AI23" t="n">
        <v>3</v>
      </c>
      <c r="AJ23" t="n">
        <v>2</v>
      </c>
      <c r="AK23" t="n">
        <v>3</v>
      </c>
      <c r="AL23" t="n">
        <v>0</v>
      </c>
      <c r="AM23" t="n">
        <v>0</v>
      </c>
      <c r="AN23" t="n">
        <v>0</v>
      </c>
      <c r="AO23" t="n">
        <v>0</v>
      </c>
      <c r="AP23" t="inlineStr">
        <is>
          <t>No</t>
        </is>
      </c>
      <c r="AQ23" t="inlineStr">
        <is>
          <t>Yes</t>
        </is>
      </c>
      <c r="AR23">
        <f>HYPERLINK("http://catalog.hathitrust.org/Record/001538708","HathiTrust Record")</f>
        <v/>
      </c>
      <c r="AS23">
        <f>HYPERLINK("https://creighton-primo.hosted.exlibrisgroup.com/primo-explore/search?tab=default_tab&amp;search_scope=EVERYTHING&amp;vid=01CRU&amp;lang=en_US&amp;offset=0&amp;query=any,contains,991001253699702656","Catalog Record")</f>
        <v/>
      </c>
      <c r="AT23">
        <f>HYPERLINK("http://www.worldcat.org/oclc/19268317","WorldCat Record")</f>
        <v/>
      </c>
      <c r="AU23" t="inlineStr">
        <is>
          <t>10628183632:eng</t>
        </is>
      </c>
      <c r="AV23" t="inlineStr">
        <is>
          <t>19268317</t>
        </is>
      </c>
      <c r="AW23" t="inlineStr">
        <is>
          <t>991001253699702656</t>
        </is>
      </c>
      <c r="AX23" t="inlineStr">
        <is>
          <t>991001253699702656</t>
        </is>
      </c>
      <c r="AY23" t="inlineStr">
        <is>
          <t>2265137290002656</t>
        </is>
      </c>
      <c r="AZ23" t="inlineStr">
        <is>
          <t>BOOK</t>
        </is>
      </c>
      <c r="BB23" t="inlineStr">
        <is>
          <t>9780801627729</t>
        </is>
      </c>
      <c r="BC23" t="inlineStr">
        <is>
          <t>30001001679697</t>
        </is>
      </c>
      <c r="BD23" t="inlineStr">
        <is>
          <t>893727381</t>
        </is>
      </c>
    </row>
    <row r="24">
      <c r="A24" t="inlineStr">
        <is>
          <t>No</t>
        </is>
      </c>
      <c r="B24" t="inlineStr">
        <is>
          <t>QZ 4 P2984 1989</t>
        </is>
      </c>
      <c r="C24" t="inlineStr">
        <is>
          <t>0                      QZ 0004000P  2984        1989</t>
        </is>
      </c>
      <c r="D24" t="inlineStr">
        <is>
          <t>Anderson's pathology.</t>
        </is>
      </c>
      <c r="E24" t="inlineStr">
        <is>
          <t>V. 2</t>
        </is>
      </c>
      <c r="F24" t="inlineStr">
        <is>
          <t>Yes</t>
        </is>
      </c>
      <c r="G24" t="inlineStr">
        <is>
          <t>1</t>
        </is>
      </c>
      <c r="H24" t="inlineStr">
        <is>
          <t>No</t>
        </is>
      </c>
      <c r="I24" t="inlineStr">
        <is>
          <t>No</t>
        </is>
      </c>
      <c r="J24" t="inlineStr">
        <is>
          <t>0</t>
        </is>
      </c>
      <c r="K24" t="inlineStr">
        <is>
          <t>Pathology (Saint Louis, Mo.)</t>
        </is>
      </c>
      <c r="L24" t="inlineStr">
        <is>
          <t>St. Louis : Mosby, c1989.</t>
        </is>
      </c>
      <c r="M24" t="inlineStr">
        <is>
          <t>1989</t>
        </is>
      </c>
      <c r="N24" t="inlineStr">
        <is>
          <t>9th ed. / edited by John M. Kissane.</t>
        </is>
      </c>
      <c r="O24" t="inlineStr">
        <is>
          <t>eng</t>
        </is>
      </c>
      <c r="P24" t="inlineStr">
        <is>
          <t>xxu</t>
        </is>
      </c>
      <c r="R24" t="inlineStr">
        <is>
          <t xml:space="preserve">QZ </t>
        </is>
      </c>
      <c r="S24" t="n">
        <v>28</v>
      </c>
      <c r="T24" t="n">
        <v>66</v>
      </c>
      <c r="U24" t="inlineStr">
        <is>
          <t>1995-12-01</t>
        </is>
      </c>
      <c r="V24" t="inlineStr">
        <is>
          <t>2000-05-14</t>
        </is>
      </c>
      <c r="W24" t="inlineStr">
        <is>
          <t>1989-07-13</t>
        </is>
      </c>
      <c r="X24" t="inlineStr">
        <is>
          <t>1989-07-13</t>
        </is>
      </c>
      <c r="Y24" t="n">
        <v>358</v>
      </c>
      <c r="Z24" t="n">
        <v>273</v>
      </c>
      <c r="AA24" t="n">
        <v>291</v>
      </c>
      <c r="AB24" t="n">
        <v>2</v>
      </c>
      <c r="AC24" t="n">
        <v>2</v>
      </c>
      <c r="AD24" t="n">
        <v>3</v>
      </c>
      <c r="AE24" t="n">
        <v>6</v>
      </c>
      <c r="AF24" t="n">
        <v>0</v>
      </c>
      <c r="AG24" t="n">
        <v>2</v>
      </c>
      <c r="AH24" t="n">
        <v>2</v>
      </c>
      <c r="AI24" t="n">
        <v>3</v>
      </c>
      <c r="AJ24" t="n">
        <v>2</v>
      </c>
      <c r="AK24" t="n">
        <v>3</v>
      </c>
      <c r="AL24" t="n">
        <v>0</v>
      </c>
      <c r="AM24" t="n">
        <v>0</v>
      </c>
      <c r="AN24" t="n">
        <v>0</v>
      </c>
      <c r="AO24" t="n">
        <v>0</v>
      </c>
      <c r="AP24" t="inlineStr">
        <is>
          <t>No</t>
        </is>
      </c>
      <c r="AQ24" t="inlineStr">
        <is>
          <t>Yes</t>
        </is>
      </c>
      <c r="AR24">
        <f>HYPERLINK("http://catalog.hathitrust.org/Record/001538708","HathiTrust Record")</f>
        <v/>
      </c>
      <c r="AS24">
        <f>HYPERLINK("https://creighton-primo.hosted.exlibrisgroup.com/primo-explore/search?tab=default_tab&amp;search_scope=EVERYTHING&amp;vid=01CRU&amp;lang=en_US&amp;offset=0&amp;query=any,contains,991001253699702656","Catalog Record")</f>
        <v/>
      </c>
      <c r="AT24">
        <f>HYPERLINK("http://www.worldcat.org/oclc/19268317","WorldCat Record")</f>
        <v/>
      </c>
      <c r="AU24" t="inlineStr">
        <is>
          <t>10628183632:eng</t>
        </is>
      </c>
      <c r="AV24" t="inlineStr">
        <is>
          <t>19268317</t>
        </is>
      </c>
      <c r="AW24" t="inlineStr">
        <is>
          <t>991001253699702656</t>
        </is>
      </c>
      <c r="AX24" t="inlineStr">
        <is>
          <t>991001253699702656</t>
        </is>
      </c>
      <c r="AY24" t="inlineStr">
        <is>
          <t>2265137290002656</t>
        </is>
      </c>
      <c r="AZ24" t="inlineStr">
        <is>
          <t>BOOK</t>
        </is>
      </c>
      <c r="BB24" t="inlineStr">
        <is>
          <t>9780801627729</t>
        </is>
      </c>
      <c r="BC24" t="inlineStr">
        <is>
          <t>30001001679713</t>
        </is>
      </c>
      <c r="BD24" t="inlineStr">
        <is>
          <t>893731782</t>
        </is>
      </c>
    </row>
    <row r="25">
      <c r="A25" t="inlineStr">
        <is>
          <t>No</t>
        </is>
      </c>
      <c r="B25" t="inlineStr">
        <is>
          <t>QZ 4 P29854 1998</t>
        </is>
      </c>
      <c r="C25" t="inlineStr">
        <is>
          <t>0                      QZ 0004000P  29854       1998</t>
        </is>
      </c>
      <c r="D25" t="inlineStr">
        <is>
          <t>Pathology / edited by Emanuel Rubin, John L. Farber.</t>
        </is>
      </c>
      <c r="F25" t="inlineStr">
        <is>
          <t>No</t>
        </is>
      </c>
      <c r="G25" t="inlineStr">
        <is>
          <t>1</t>
        </is>
      </c>
      <c r="H25" t="inlineStr">
        <is>
          <t>No</t>
        </is>
      </c>
      <c r="I25" t="inlineStr">
        <is>
          <t>Yes</t>
        </is>
      </c>
      <c r="J25" t="inlineStr">
        <is>
          <t>0</t>
        </is>
      </c>
      <c r="L25" t="inlineStr">
        <is>
          <t>Philadelphia : Lippincott-Raven, c1998.</t>
        </is>
      </c>
      <c r="M25" t="inlineStr">
        <is>
          <t>1998</t>
        </is>
      </c>
      <c r="N25" t="inlineStr">
        <is>
          <t>3rd ed.</t>
        </is>
      </c>
      <c r="O25" t="inlineStr">
        <is>
          <t>eng</t>
        </is>
      </c>
      <c r="P25" t="inlineStr">
        <is>
          <t>pau</t>
        </is>
      </c>
      <c r="R25" t="inlineStr">
        <is>
          <t xml:space="preserve">QZ </t>
        </is>
      </c>
      <c r="S25" t="n">
        <v>55</v>
      </c>
      <c r="T25" t="n">
        <v>55</v>
      </c>
      <c r="U25" t="inlineStr">
        <is>
          <t>2004-08-06</t>
        </is>
      </c>
      <c r="V25" t="inlineStr">
        <is>
          <t>2004-08-06</t>
        </is>
      </c>
      <c r="W25" t="inlineStr">
        <is>
          <t>1998-12-18</t>
        </is>
      </c>
      <c r="X25" t="inlineStr">
        <is>
          <t>1998-12-18</t>
        </is>
      </c>
      <c r="Y25" t="n">
        <v>277</v>
      </c>
      <c r="Z25" t="n">
        <v>181</v>
      </c>
      <c r="AA25" t="n">
        <v>367</v>
      </c>
      <c r="AB25" t="n">
        <v>1</v>
      </c>
      <c r="AC25" t="n">
        <v>1</v>
      </c>
      <c r="AD25" t="n">
        <v>5</v>
      </c>
      <c r="AE25" t="n">
        <v>7</v>
      </c>
      <c r="AF25" t="n">
        <v>1</v>
      </c>
      <c r="AG25" t="n">
        <v>3</v>
      </c>
      <c r="AH25" t="n">
        <v>2</v>
      </c>
      <c r="AI25" t="n">
        <v>3</v>
      </c>
      <c r="AJ25" t="n">
        <v>3</v>
      </c>
      <c r="AK25" t="n">
        <v>3</v>
      </c>
      <c r="AL25" t="n">
        <v>0</v>
      </c>
      <c r="AM25" t="n">
        <v>0</v>
      </c>
      <c r="AN25" t="n">
        <v>0</v>
      </c>
      <c r="AO25" t="n">
        <v>0</v>
      </c>
      <c r="AP25" t="inlineStr">
        <is>
          <t>No</t>
        </is>
      </c>
      <c r="AQ25" t="inlineStr">
        <is>
          <t>No</t>
        </is>
      </c>
      <c r="AS25">
        <f>HYPERLINK("https://creighton-primo.hosted.exlibrisgroup.com/primo-explore/search?tab=default_tab&amp;search_scope=EVERYTHING&amp;vid=01CRU&amp;lang=en_US&amp;offset=0&amp;query=any,contains,991001549269702656","Catalog Record")</f>
        <v/>
      </c>
      <c r="AT25">
        <f>HYPERLINK("http://www.worldcat.org/oclc/38862824","WorldCat Record")</f>
        <v/>
      </c>
      <c r="AU25" t="inlineStr">
        <is>
          <t>2863863691:eng</t>
        </is>
      </c>
      <c r="AV25" t="inlineStr">
        <is>
          <t>38862824</t>
        </is>
      </c>
      <c r="AW25" t="inlineStr">
        <is>
          <t>991001549269702656</t>
        </is>
      </c>
      <c r="AX25" t="inlineStr">
        <is>
          <t>991001549269702656</t>
        </is>
      </c>
      <c r="AY25" t="inlineStr">
        <is>
          <t>2258602980002656</t>
        </is>
      </c>
      <c r="AZ25" t="inlineStr">
        <is>
          <t>BOOK</t>
        </is>
      </c>
      <c r="BB25" t="inlineStr">
        <is>
          <t>9780397584222</t>
        </is>
      </c>
      <c r="BC25" t="inlineStr">
        <is>
          <t>30001004038628</t>
        </is>
      </c>
      <c r="BD25" t="inlineStr">
        <is>
          <t>893741244</t>
        </is>
      </c>
    </row>
    <row r="26">
      <c r="A26" t="inlineStr">
        <is>
          <t>No</t>
        </is>
      </c>
      <c r="B26" t="inlineStr">
        <is>
          <t>QZ 4 P302 1992</t>
        </is>
      </c>
      <c r="C26" t="inlineStr">
        <is>
          <t>0                      QZ 0004000P  302         1992</t>
        </is>
      </c>
      <c r="D26" t="inlineStr">
        <is>
          <t>Pathophysiology : clinical concepts of disease processes / Sylvia Anderson Price, Lorraine McCarty Wilson.</t>
        </is>
      </c>
      <c r="F26" t="inlineStr">
        <is>
          <t>No</t>
        </is>
      </c>
      <c r="G26" t="inlineStr">
        <is>
          <t>1</t>
        </is>
      </c>
      <c r="H26" t="inlineStr">
        <is>
          <t>No</t>
        </is>
      </c>
      <c r="I26" t="inlineStr">
        <is>
          <t>No</t>
        </is>
      </c>
      <c r="J26" t="inlineStr">
        <is>
          <t>0</t>
        </is>
      </c>
      <c r="L26" t="inlineStr">
        <is>
          <t>St. Louis : Mosby-Year Book, c1992.</t>
        </is>
      </c>
      <c r="M26" t="inlineStr">
        <is>
          <t>1992</t>
        </is>
      </c>
      <c r="N26" t="inlineStr">
        <is>
          <t>4th ed.</t>
        </is>
      </c>
      <c r="O26" t="inlineStr">
        <is>
          <t>eng</t>
        </is>
      </c>
      <c r="P26" t="inlineStr">
        <is>
          <t>mou</t>
        </is>
      </c>
      <c r="R26" t="inlineStr">
        <is>
          <t xml:space="preserve">QZ </t>
        </is>
      </c>
      <c r="S26" t="n">
        <v>54</v>
      </c>
      <c r="T26" t="n">
        <v>54</v>
      </c>
      <c r="U26" t="inlineStr">
        <is>
          <t>1998-12-14</t>
        </is>
      </c>
      <c r="V26" t="inlineStr">
        <is>
          <t>1998-12-14</t>
        </is>
      </c>
      <c r="W26" t="inlineStr">
        <is>
          <t>1993-03-26</t>
        </is>
      </c>
      <c r="X26" t="inlineStr">
        <is>
          <t>1993-03-26</t>
        </is>
      </c>
      <c r="Y26" t="n">
        <v>337</v>
      </c>
      <c r="Z26" t="n">
        <v>263</v>
      </c>
      <c r="AA26" t="n">
        <v>742</v>
      </c>
      <c r="AB26" t="n">
        <v>1</v>
      </c>
      <c r="AC26" t="n">
        <v>4</v>
      </c>
      <c r="AD26" t="n">
        <v>13</v>
      </c>
      <c r="AE26" t="n">
        <v>29</v>
      </c>
      <c r="AF26" t="n">
        <v>10</v>
      </c>
      <c r="AG26" t="n">
        <v>16</v>
      </c>
      <c r="AH26" t="n">
        <v>0</v>
      </c>
      <c r="AI26" t="n">
        <v>4</v>
      </c>
      <c r="AJ26" t="n">
        <v>7</v>
      </c>
      <c r="AK26" t="n">
        <v>15</v>
      </c>
      <c r="AL26" t="n">
        <v>0</v>
      </c>
      <c r="AM26" t="n">
        <v>2</v>
      </c>
      <c r="AN26" t="n">
        <v>0</v>
      </c>
      <c r="AO26" t="n">
        <v>0</v>
      </c>
      <c r="AP26" t="inlineStr">
        <is>
          <t>No</t>
        </is>
      </c>
      <c r="AQ26" t="inlineStr">
        <is>
          <t>No</t>
        </is>
      </c>
      <c r="AS26">
        <f>HYPERLINK("https://creighton-primo.hosted.exlibrisgroup.com/primo-explore/search?tab=default_tab&amp;search_scope=EVERYTHING&amp;vid=01CRU&amp;lang=en_US&amp;offset=0&amp;query=any,contains,991001476349702656","Catalog Record")</f>
        <v/>
      </c>
      <c r="AT26">
        <f>HYPERLINK("http://www.worldcat.org/oclc/26503751","WorldCat Record")</f>
        <v/>
      </c>
      <c r="AU26" t="inlineStr">
        <is>
          <t>29577034:eng</t>
        </is>
      </c>
      <c r="AV26" t="inlineStr">
        <is>
          <t>26503751</t>
        </is>
      </c>
      <c r="AW26" t="inlineStr">
        <is>
          <t>991001476349702656</t>
        </is>
      </c>
      <c r="AX26" t="inlineStr">
        <is>
          <t>991001476349702656</t>
        </is>
      </c>
      <c r="AY26" t="inlineStr">
        <is>
          <t>2255800800002656</t>
        </is>
      </c>
      <c r="AZ26" t="inlineStr">
        <is>
          <t>BOOK</t>
        </is>
      </c>
      <c r="BB26" t="inlineStr">
        <is>
          <t>9780801660511</t>
        </is>
      </c>
      <c r="BC26" t="inlineStr">
        <is>
          <t>30001002563395</t>
        </is>
      </c>
      <c r="BD26" t="inlineStr">
        <is>
          <t>893279138</t>
        </is>
      </c>
    </row>
    <row r="27">
      <c r="A27" t="inlineStr">
        <is>
          <t>No</t>
        </is>
      </c>
      <c r="B27" t="inlineStr">
        <is>
          <t>QZ4 P3027 2002</t>
        </is>
      </c>
      <c r="C27" t="inlineStr">
        <is>
          <t>0                      QZ 0004000P  3027        2002</t>
        </is>
      </c>
      <c r="D27" t="inlineStr">
        <is>
          <t>Pathophysiology : the biologic basis for disease in adults &amp; children / [edited by] Kathryn L. McCance, Sue E. Huether.</t>
        </is>
      </c>
      <c r="F27" t="inlineStr">
        <is>
          <t>No</t>
        </is>
      </c>
      <c r="G27" t="inlineStr">
        <is>
          <t>1</t>
        </is>
      </c>
      <c r="H27" t="inlineStr">
        <is>
          <t>No</t>
        </is>
      </c>
      <c r="I27" t="inlineStr">
        <is>
          <t>Yes</t>
        </is>
      </c>
      <c r="J27" t="inlineStr">
        <is>
          <t>0</t>
        </is>
      </c>
      <c r="L27" t="inlineStr">
        <is>
          <t>St. Louis : Mosby, c2002.</t>
        </is>
      </c>
      <c r="M27" t="inlineStr">
        <is>
          <t>2002</t>
        </is>
      </c>
      <c r="N27" t="inlineStr">
        <is>
          <t>4th ed.</t>
        </is>
      </c>
      <c r="O27" t="inlineStr">
        <is>
          <t>eng</t>
        </is>
      </c>
      <c r="P27" t="inlineStr">
        <is>
          <t>mou</t>
        </is>
      </c>
      <c r="R27" t="inlineStr">
        <is>
          <t xml:space="preserve">QZ </t>
        </is>
      </c>
      <c r="S27" t="n">
        <v>13</v>
      </c>
      <c r="T27" t="n">
        <v>13</v>
      </c>
      <c r="U27" t="inlineStr">
        <is>
          <t>2010-02-11</t>
        </is>
      </c>
      <c r="V27" t="inlineStr">
        <is>
          <t>2010-02-11</t>
        </is>
      </c>
      <c r="W27" t="inlineStr">
        <is>
          <t>2002-08-20</t>
        </is>
      </c>
      <c r="X27" t="inlineStr">
        <is>
          <t>2002-08-20</t>
        </is>
      </c>
      <c r="Y27" t="n">
        <v>539</v>
      </c>
      <c r="Z27" t="n">
        <v>409</v>
      </c>
      <c r="AA27" t="n">
        <v>1305</v>
      </c>
      <c r="AB27" t="n">
        <v>1</v>
      </c>
      <c r="AC27" t="n">
        <v>9</v>
      </c>
      <c r="AD27" t="n">
        <v>14</v>
      </c>
      <c r="AE27" t="n">
        <v>40</v>
      </c>
      <c r="AF27" t="n">
        <v>6</v>
      </c>
      <c r="AG27" t="n">
        <v>18</v>
      </c>
      <c r="AH27" t="n">
        <v>2</v>
      </c>
      <c r="AI27" t="n">
        <v>6</v>
      </c>
      <c r="AJ27" t="n">
        <v>8</v>
      </c>
      <c r="AK27" t="n">
        <v>15</v>
      </c>
      <c r="AL27" t="n">
        <v>0</v>
      </c>
      <c r="AM27" t="n">
        <v>6</v>
      </c>
      <c r="AN27" t="n">
        <v>0</v>
      </c>
      <c r="AO27" t="n">
        <v>0</v>
      </c>
      <c r="AP27" t="inlineStr">
        <is>
          <t>No</t>
        </is>
      </c>
      <c r="AQ27" t="inlineStr">
        <is>
          <t>No</t>
        </is>
      </c>
      <c r="AS27">
        <f>HYPERLINK("https://creighton-primo.hosted.exlibrisgroup.com/primo-explore/search?tab=default_tab&amp;search_scope=EVERYTHING&amp;vid=01CRU&amp;lang=en_US&amp;offset=0&amp;query=any,contains,991000327859702656","Catalog Record")</f>
        <v/>
      </c>
      <c r="AT27">
        <f>HYPERLINK("http://www.worldcat.org/oclc/47756529","WorldCat Record")</f>
        <v/>
      </c>
      <c r="AU27" t="inlineStr">
        <is>
          <t>22629172:eng</t>
        </is>
      </c>
      <c r="AV27" t="inlineStr">
        <is>
          <t>47756529</t>
        </is>
      </c>
      <c r="AW27" t="inlineStr">
        <is>
          <t>991000327859702656</t>
        </is>
      </c>
      <c r="AX27" t="inlineStr">
        <is>
          <t>991000327859702656</t>
        </is>
      </c>
      <c r="AY27" t="inlineStr">
        <is>
          <t>2258259970002656</t>
        </is>
      </c>
      <c r="AZ27" t="inlineStr">
        <is>
          <t>BOOK</t>
        </is>
      </c>
      <c r="BB27" t="inlineStr">
        <is>
          <t>9780323014380</t>
        </is>
      </c>
      <c r="BC27" t="inlineStr">
        <is>
          <t>30001004441590</t>
        </is>
      </c>
      <c r="BD27" t="inlineStr">
        <is>
          <t>893542256</t>
        </is>
      </c>
    </row>
    <row r="28">
      <c r="A28" t="inlineStr">
        <is>
          <t>No</t>
        </is>
      </c>
      <c r="B28" t="inlineStr">
        <is>
          <t>QZ 4 P851p 1990</t>
        </is>
      </c>
      <c r="C28" t="inlineStr">
        <is>
          <t>0                      QZ 0004000P  851p        1990</t>
        </is>
      </c>
      <c r="D28" t="inlineStr">
        <is>
          <t>Pathophysiology : concepts of altered health states / Carol Mattson Porth ; with contributors ; illustrated by Carole Russell Hilmer and others.</t>
        </is>
      </c>
      <c r="F28" t="inlineStr">
        <is>
          <t>No</t>
        </is>
      </c>
      <c r="G28" t="inlineStr">
        <is>
          <t>1</t>
        </is>
      </c>
      <c r="H28" t="inlineStr">
        <is>
          <t>No</t>
        </is>
      </c>
      <c r="I28" t="inlineStr">
        <is>
          <t>Yes</t>
        </is>
      </c>
      <c r="J28" t="inlineStr">
        <is>
          <t>0</t>
        </is>
      </c>
      <c r="K28" t="inlineStr">
        <is>
          <t>Porth, Carol.</t>
        </is>
      </c>
      <c r="L28" t="inlineStr">
        <is>
          <t>Philadelphia : Lippincott, c1990.</t>
        </is>
      </c>
      <c r="M28" t="inlineStr">
        <is>
          <t>1990</t>
        </is>
      </c>
      <c r="N28" t="inlineStr">
        <is>
          <t>3rd ed.</t>
        </is>
      </c>
      <c r="O28" t="inlineStr">
        <is>
          <t>eng</t>
        </is>
      </c>
      <c r="P28" t="inlineStr">
        <is>
          <t>xxu</t>
        </is>
      </c>
      <c r="R28" t="inlineStr">
        <is>
          <t xml:space="preserve">QZ </t>
        </is>
      </c>
      <c r="S28" t="n">
        <v>155</v>
      </c>
      <c r="T28" t="n">
        <v>155</v>
      </c>
      <c r="U28" t="inlineStr">
        <is>
          <t>2007-01-10</t>
        </is>
      </c>
      <c r="V28" t="inlineStr">
        <is>
          <t>2007-01-10</t>
        </is>
      </c>
      <c r="W28" t="inlineStr">
        <is>
          <t>1990-07-17</t>
        </is>
      </c>
      <c r="X28" t="inlineStr">
        <is>
          <t>1990-07-17</t>
        </is>
      </c>
      <c r="Y28" t="n">
        <v>240</v>
      </c>
      <c r="Z28" t="n">
        <v>177</v>
      </c>
      <c r="AA28" t="n">
        <v>847</v>
      </c>
      <c r="AB28" t="n">
        <v>1</v>
      </c>
      <c r="AC28" t="n">
        <v>6</v>
      </c>
      <c r="AD28" t="n">
        <v>4</v>
      </c>
      <c r="AE28" t="n">
        <v>31</v>
      </c>
      <c r="AF28" t="n">
        <v>3</v>
      </c>
      <c r="AG28" t="n">
        <v>12</v>
      </c>
      <c r="AH28" t="n">
        <v>0</v>
      </c>
      <c r="AI28" t="n">
        <v>7</v>
      </c>
      <c r="AJ28" t="n">
        <v>3</v>
      </c>
      <c r="AK28" t="n">
        <v>13</v>
      </c>
      <c r="AL28" t="n">
        <v>0</v>
      </c>
      <c r="AM28" t="n">
        <v>4</v>
      </c>
      <c r="AN28" t="n">
        <v>0</v>
      </c>
      <c r="AO28" t="n">
        <v>0</v>
      </c>
      <c r="AP28" t="inlineStr">
        <is>
          <t>No</t>
        </is>
      </c>
      <c r="AQ28" t="inlineStr">
        <is>
          <t>No</t>
        </is>
      </c>
      <c r="AS28">
        <f>HYPERLINK("https://creighton-primo.hosted.exlibrisgroup.com/primo-explore/search?tab=default_tab&amp;search_scope=EVERYTHING&amp;vid=01CRU&amp;lang=en_US&amp;offset=0&amp;query=any,contains,991001451299702656","Catalog Record")</f>
        <v/>
      </c>
      <c r="AT28">
        <f>HYPERLINK("http://www.worldcat.org/oclc/19920950","WorldCat Record")</f>
        <v/>
      </c>
      <c r="AU28" t="inlineStr">
        <is>
          <t>29787610:eng</t>
        </is>
      </c>
      <c r="AV28" t="inlineStr">
        <is>
          <t>19920950</t>
        </is>
      </c>
      <c r="AW28" t="inlineStr">
        <is>
          <t>991001451299702656</t>
        </is>
      </c>
      <c r="AX28" t="inlineStr">
        <is>
          <t>991001451299702656</t>
        </is>
      </c>
      <c r="AY28" t="inlineStr">
        <is>
          <t>2269323790002656</t>
        </is>
      </c>
      <c r="AZ28" t="inlineStr">
        <is>
          <t>BOOK</t>
        </is>
      </c>
      <c r="BB28" t="inlineStr">
        <is>
          <t>9780397547234</t>
        </is>
      </c>
      <c r="BC28" t="inlineStr">
        <is>
          <t>30001001883067</t>
        </is>
      </c>
      <c r="BD28" t="inlineStr">
        <is>
          <t>893465556</t>
        </is>
      </c>
    </row>
    <row r="29">
      <c r="A29" t="inlineStr">
        <is>
          <t>No</t>
        </is>
      </c>
      <c r="B29" t="inlineStr">
        <is>
          <t>QZ 4 R329p 1981</t>
        </is>
      </c>
      <c r="C29" t="inlineStr">
        <is>
          <t>0                      QZ 0004000R  329p        1981</t>
        </is>
      </c>
      <c r="D29" t="inlineStr">
        <is>
          <t>The principles of pathology / A.J.M. Reese.</t>
        </is>
      </c>
      <c r="F29" t="inlineStr">
        <is>
          <t>No</t>
        </is>
      </c>
      <c r="G29" t="inlineStr">
        <is>
          <t>1</t>
        </is>
      </c>
      <c r="H29" t="inlineStr">
        <is>
          <t>No</t>
        </is>
      </c>
      <c r="I29" t="inlineStr">
        <is>
          <t>No</t>
        </is>
      </c>
      <c r="J29" t="inlineStr">
        <is>
          <t>0</t>
        </is>
      </c>
      <c r="K29" t="inlineStr">
        <is>
          <t>Reese, A. J. M.</t>
        </is>
      </c>
      <c r="L29" t="inlineStr">
        <is>
          <t>Bristol [Gloucestershire] ; Boston [Mass.] : Wright-PSG, c1981.</t>
        </is>
      </c>
      <c r="M29" t="inlineStr">
        <is>
          <t>1981</t>
        </is>
      </c>
      <c r="N29" t="inlineStr">
        <is>
          <t>2nd ed.</t>
        </is>
      </c>
      <c r="O29" t="inlineStr">
        <is>
          <t>eng</t>
        </is>
      </c>
      <c r="P29" t="inlineStr">
        <is>
          <t>enk</t>
        </is>
      </c>
      <c r="R29" t="inlineStr">
        <is>
          <t xml:space="preserve">QZ </t>
        </is>
      </c>
      <c r="S29" t="n">
        <v>9</v>
      </c>
      <c r="T29" t="n">
        <v>9</v>
      </c>
      <c r="U29" t="inlineStr">
        <is>
          <t>1993-05-23</t>
        </is>
      </c>
      <c r="V29" t="inlineStr">
        <is>
          <t>1993-05-23</t>
        </is>
      </c>
      <c r="W29" t="inlineStr">
        <is>
          <t>1988-02-12</t>
        </is>
      </c>
      <c r="X29" t="inlineStr">
        <is>
          <t>1988-02-12</t>
        </is>
      </c>
      <c r="Y29" t="n">
        <v>64</v>
      </c>
      <c r="Z29" t="n">
        <v>31</v>
      </c>
      <c r="AA29" t="n">
        <v>47</v>
      </c>
      <c r="AB29" t="n">
        <v>1</v>
      </c>
      <c r="AC29" t="n">
        <v>1</v>
      </c>
      <c r="AD29" t="n">
        <v>0</v>
      </c>
      <c r="AE29" t="n">
        <v>0</v>
      </c>
      <c r="AF29" t="n">
        <v>0</v>
      </c>
      <c r="AG29" t="n">
        <v>0</v>
      </c>
      <c r="AH29" t="n">
        <v>0</v>
      </c>
      <c r="AI29" t="n">
        <v>0</v>
      </c>
      <c r="AJ29" t="n">
        <v>0</v>
      </c>
      <c r="AK29" t="n">
        <v>0</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HYPERLINK("https://creighton-primo.hosted.exlibrisgroup.com/primo-explore/search?tab=default_tab&amp;search_scope=EVERYTHING&amp;vid=01CRU&amp;lang=en_US&amp;offset=0&amp;query=any,contains,991001088039702656","Catalog Record")</f>
        <v/>
      </c>
      <c r="AT29">
        <f>HYPERLINK("http://www.worldcat.org/oclc/7739559","WorldCat Record")</f>
        <v/>
      </c>
      <c r="AU29" t="inlineStr">
        <is>
          <t>503058:eng</t>
        </is>
      </c>
      <c r="AV29" t="inlineStr">
        <is>
          <t>7739559</t>
        </is>
      </c>
      <c r="AW29" t="inlineStr">
        <is>
          <t>991001088039702656</t>
        </is>
      </c>
      <c r="AX29" t="inlineStr">
        <is>
          <t>991001088039702656</t>
        </is>
      </c>
      <c r="AY29" t="inlineStr">
        <is>
          <t>2272623980002656</t>
        </is>
      </c>
      <c r="AZ29" t="inlineStr">
        <is>
          <t>BOOK</t>
        </is>
      </c>
      <c r="BB29" t="inlineStr">
        <is>
          <t>9780723606031</t>
        </is>
      </c>
      <c r="BC29" t="inlineStr">
        <is>
          <t>30001000260689</t>
        </is>
      </c>
      <c r="BD29" t="inlineStr">
        <is>
          <t>893284374</t>
        </is>
      </c>
    </row>
    <row r="30">
      <c r="A30" t="inlineStr">
        <is>
          <t>No</t>
        </is>
      </c>
      <c r="B30" t="inlineStr">
        <is>
          <t>QZ 4 R599 1990</t>
        </is>
      </c>
      <c r="C30" t="inlineStr">
        <is>
          <t>0                      QZ 0004000R  599         1990</t>
        </is>
      </c>
      <c r="D30" t="inlineStr">
        <is>
          <t>Boyd's textbook of pathology.</t>
        </is>
      </c>
      <c r="E30" t="inlineStr">
        <is>
          <t>V. 2</t>
        </is>
      </c>
      <c r="F30" t="inlineStr">
        <is>
          <t>Yes</t>
        </is>
      </c>
      <c r="G30" t="inlineStr">
        <is>
          <t>1</t>
        </is>
      </c>
      <c r="H30" t="inlineStr">
        <is>
          <t>No</t>
        </is>
      </c>
      <c r="I30" t="inlineStr">
        <is>
          <t>No</t>
        </is>
      </c>
      <c r="J30" t="inlineStr">
        <is>
          <t>0</t>
        </is>
      </c>
      <c r="K30" t="inlineStr">
        <is>
          <t>Ritchie, A. C.</t>
        </is>
      </c>
      <c r="L30" t="inlineStr">
        <is>
          <t>Philadelphia : Lea &amp; Febiger, c1990.</t>
        </is>
      </c>
      <c r="M30" t="inlineStr">
        <is>
          <t>1990</t>
        </is>
      </c>
      <c r="N30" t="inlineStr">
        <is>
          <t>9th ed. / A.C. Ritchie.</t>
        </is>
      </c>
      <c r="O30" t="inlineStr">
        <is>
          <t>eng</t>
        </is>
      </c>
      <c r="P30" t="inlineStr">
        <is>
          <t>pau</t>
        </is>
      </c>
      <c r="R30" t="inlineStr">
        <is>
          <t xml:space="preserve">QZ </t>
        </is>
      </c>
      <c r="S30" t="n">
        <v>15</v>
      </c>
      <c r="T30" t="n">
        <v>37</v>
      </c>
      <c r="U30" t="inlineStr">
        <is>
          <t>1994-03-01</t>
        </is>
      </c>
      <c r="V30" t="inlineStr">
        <is>
          <t>1995-11-14</t>
        </is>
      </c>
      <c r="W30" t="inlineStr">
        <is>
          <t>1993-01-22</t>
        </is>
      </c>
      <c r="X30" t="inlineStr">
        <is>
          <t>1993-01-22</t>
        </is>
      </c>
      <c r="Y30" t="n">
        <v>255</v>
      </c>
      <c r="Z30" t="n">
        <v>192</v>
      </c>
      <c r="AA30" t="n">
        <v>199</v>
      </c>
      <c r="AB30" t="n">
        <v>2</v>
      </c>
      <c r="AC30" t="n">
        <v>2</v>
      </c>
      <c r="AD30" t="n">
        <v>5</v>
      </c>
      <c r="AE30" t="n">
        <v>5</v>
      </c>
      <c r="AF30" t="n">
        <v>1</v>
      </c>
      <c r="AG30" t="n">
        <v>1</v>
      </c>
      <c r="AH30" t="n">
        <v>2</v>
      </c>
      <c r="AI30" t="n">
        <v>2</v>
      </c>
      <c r="AJ30" t="n">
        <v>3</v>
      </c>
      <c r="AK30" t="n">
        <v>3</v>
      </c>
      <c r="AL30" t="n">
        <v>1</v>
      </c>
      <c r="AM30" t="n">
        <v>1</v>
      </c>
      <c r="AN30" t="n">
        <v>0</v>
      </c>
      <c r="AO30" t="n">
        <v>0</v>
      </c>
      <c r="AP30" t="inlineStr">
        <is>
          <t>No</t>
        </is>
      </c>
      <c r="AQ30" t="inlineStr">
        <is>
          <t>Yes</t>
        </is>
      </c>
      <c r="AR30">
        <f>HYPERLINK("http://catalog.hathitrust.org/Record/002205222","HathiTrust Record")</f>
        <v/>
      </c>
      <c r="AS30">
        <f>HYPERLINK("https://creighton-primo.hosted.exlibrisgroup.com/primo-explore/search?tab=default_tab&amp;search_scope=EVERYTHING&amp;vid=01CRU&amp;lang=en_US&amp;offset=0&amp;query=any,contains,991001435339702656","Catalog Record")</f>
        <v/>
      </c>
      <c r="AT30">
        <f>HYPERLINK("http://www.worldcat.org/oclc/20823631","WorldCat Record")</f>
        <v/>
      </c>
      <c r="AU30" t="inlineStr">
        <is>
          <t>22385681:eng</t>
        </is>
      </c>
      <c r="AV30" t="inlineStr">
        <is>
          <t>20823631</t>
        </is>
      </c>
      <c r="AW30" t="inlineStr">
        <is>
          <t>991001435339702656</t>
        </is>
      </c>
      <c r="AX30" t="inlineStr">
        <is>
          <t>991001435339702656</t>
        </is>
      </c>
      <c r="AY30" t="inlineStr">
        <is>
          <t>2263840230002656</t>
        </is>
      </c>
      <c r="AZ30" t="inlineStr">
        <is>
          <t>BOOK</t>
        </is>
      </c>
      <c r="BB30" t="inlineStr">
        <is>
          <t>9780812107265</t>
        </is>
      </c>
      <c r="BC30" t="inlineStr">
        <is>
          <t>30001002530931</t>
        </is>
      </c>
      <c r="BD30" t="inlineStr">
        <is>
          <t>893268491</t>
        </is>
      </c>
    </row>
    <row r="31">
      <c r="A31" t="inlineStr">
        <is>
          <t>No</t>
        </is>
      </c>
      <c r="B31" t="inlineStr">
        <is>
          <t>QZ 4 R599 1990</t>
        </is>
      </c>
      <c r="C31" t="inlineStr">
        <is>
          <t>0                      QZ 0004000R  599         1990</t>
        </is>
      </c>
      <c r="D31" t="inlineStr">
        <is>
          <t>Boyd's textbook of pathology.</t>
        </is>
      </c>
      <c r="E31" t="inlineStr">
        <is>
          <t>V. 1</t>
        </is>
      </c>
      <c r="F31" t="inlineStr">
        <is>
          <t>Yes</t>
        </is>
      </c>
      <c r="G31" t="inlineStr">
        <is>
          <t>1</t>
        </is>
      </c>
      <c r="H31" t="inlineStr">
        <is>
          <t>No</t>
        </is>
      </c>
      <c r="I31" t="inlineStr">
        <is>
          <t>No</t>
        </is>
      </c>
      <c r="J31" t="inlineStr">
        <is>
          <t>0</t>
        </is>
      </c>
      <c r="K31" t="inlineStr">
        <is>
          <t>Ritchie, A. C.</t>
        </is>
      </c>
      <c r="L31" t="inlineStr">
        <is>
          <t>Philadelphia : Lea &amp; Febiger, c1990.</t>
        </is>
      </c>
      <c r="M31" t="inlineStr">
        <is>
          <t>1990</t>
        </is>
      </c>
      <c r="N31" t="inlineStr">
        <is>
          <t>9th ed. / A.C. Ritchie.</t>
        </is>
      </c>
      <c r="O31" t="inlineStr">
        <is>
          <t>eng</t>
        </is>
      </c>
      <c r="P31" t="inlineStr">
        <is>
          <t>pau</t>
        </is>
      </c>
      <c r="R31" t="inlineStr">
        <is>
          <t xml:space="preserve">QZ </t>
        </is>
      </c>
      <c r="S31" t="n">
        <v>22</v>
      </c>
      <c r="T31" t="n">
        <v>37</v>
      </c>
      <c r="U31" t="inlineStr">
        <is>
          <t>1995-11-14</t>
        </is>
      </c>
      <c r="V31" t="inlineStr">
        <is>
          <t>1995-11-14</t>
        </is>
      </c>
      <c r="W31" t="inlineStr">
        <is>
          <t>1993-01-22</t>
        </is>
      </c>
      <c r="X31" t="inlineStr">
        <is>
          <t>1993-01-22</t>
        </is>
      </c>
      <c r="Y31" t="n">
        <v>255</v>
      </c>
      <c r="Z31" t="n">
        <v>192</v>
      </c>
      <c r="AA31" t="n">
        <v>199</v>
      </c>
      <c r="AB31" t="n">
        <v>2</v>
      </c>
      <c r="AC31" t="n">
        <v>2</v>
      </c>
      <c r="AD31" t="n">
        <v>5</v>
      </c>
      <c r="AE31" t="n">
        <v>5</v>
      </c>
      <c r="AF31" t="n">
        <v>1</v>
      </c>
      <c r="AG31" t="n">
        <v>1</v>
      </c>
      <c r="AH31" t="n">
        <v>2</v>
      </c>
      <c r="AI31" t="n">
        <v>2</v>
      </c>
      <c r="AJ31" t="n">
        <v>3</v>
      </c>
      <c r="AK31" t="n">
        <v>3</v>
      </c>
      <c r="AL31" t="n">
        <v>1</v>
      </c>
      <c r="AM31" t="n">
        <v>1</v>
      </c>
      <c r="AN31" t="n">
        <v>0</v>
      </c>
      <c r="AO31" t="n">
        <v>0</v>
      </c>
      <c r="AP31" t="inlineStr">
        <is>
          <t>No</t>
        </is>
      </c>
      <c r="AQ31" t="inlineStr">
        <is>
          <t>Yes</t>
        </is>
      </c>
      <c r="AR31">
        <f>HYPERLINK("http://catalog.hathitrust.org/Record/002205222","HathiTrust Record")</f>
        <v/>
      </c>
      <c r="AS31">
        <f>HYPERLINK("https://creighton-primo.hosted.exlibrisgroup.com/primo-explore/search?tab=default_tab&amp;search_scope=EVERYTHING&amp;vid=01CRU&amp;lang=en_US&amp;offset=0&amp;query=any,contains,991001435339702656","Catalog Record")</f>
        <v/>
      </c>
      <c r="AT31">
        <f>HYPERLINK("http://www.worldcat.org/oclc/20823631","WorldCat Record")</f>
        <v/>
      </c>
      <c r="AU31" t="inlineStr">
        <is>
          <t>22385681:eng</t>
        </is>
      </c>
      <c r="AV31" t="inlineStr">
        <is>
          <t>20823631</t>
        </is>
      </c>
      <c r="AW31" t="inlineStr">
        <is>
          <t>991001435339702656</t>
        </is>
      </c>
      <c r="AX31" t="inlineStr">
        <is>
          <t>991001435339702656</t>
        </is>
      </c>
      <c r="AY31" t="inlineStr">
        <is>
          <t>2263840230002656</t>
        </is>
      </c>
      <c r="AZ31" t="inlineStr">
        <is>
          <t>BOOK</t>
        </is>
      </c>
      <c r="BB31" t="inlineStr">
        <is>
          <t>9780812107265</t>
        </is>
      </c>
      <c r="BC31" t="inlineStr">
        <is>
          <t>30001002530923</t>
        </is>
      </c>
      <c r="BD31" t="inlineStr">
        <is>
          <t>893268492</t>
        </is>
      </c>
    </row>
    <row r="32">
      <c r="A32" t="inlineStr">
        <is>
          <t>No</t>
        </is>
      </c>
      <c r="B32" t="inlineStr">
        <is>
          <t>QZ 4 R634p 1989</t>
        </is>
      </c>
      <c r="C32" t="inlineStr">
        <is>
          <t>0                      QZ 0004000R  634p        1989</t>
        </is>
      </c>
      <c r="D32" t="inlineStr">
        <is>
          <t>Robbins' pathologic basis of disease.</t>
        </is>
      </c>
      <c r="F32" t="inlineStr">
        <is>
          <t>No</t>
        </is>
      </c>
      <c r="G32" t="inlineStr">
        <is>
          <t>1</t>
        </is>
      </c>
      <c r="H32" t="inlineStr">
        <is>
          <t>No</t>
        </is>
      </c>
      <c r="I32" t="inlineStr">
        <is>
          <t>Yes</t>
        </is>
      </c>
      <c r="J32" t="inlineStr">
        <is>
          <t>0</t>
        </is>
      </c>
      <c r="K32" t="inlineStr">
        <is>
          <t>Robbins, Stanley L. (Stanley Leonard), 1915-2003.</t>
        </is>
      </c>
      <c r="L32" t="inlineStr">
        <is>
          <t>Philadelphia : Saunders, c1989.</t>
        </is>
      </c>
      <c r="M32" t="inlineStr">
        <is>
          <t>1989</t>
        </is>
      </c>
      <c r="N32" t="inlineStr">
        <is>
          <t>4th ed. / Ramzi S. Cotran, Stanley L. Robbins, Vinay Kumar.</t>
        </is>
      </c>
      <c r="O32" t="inlineStr">
        <is>
          <t>eng</t>
        </is>
      </c>
      <c r="P32" t="inlineStr">
        <is>
          <t>xxu</t>
        </is>
      </c>
      <c r="R32" t="inlineStr">
        <is>
          <t xml:space="preserve">QZ </t>
        </is>
      </c>
      <c r="S32" t="n">
        <v>278</v>
      </c>
      <c r="T32" t="n">
        <v>278</v>
      </c>
      <c r="U32" t="inlineStr">
        <is>
          <t>2003-06-15</t>
        </is>
      </c>
      <c r="V32" t="inlineStr">
        <is>
          <t>2003-06-15</t>
        </is>
      </c>
      <c r="W32" t="inlineStr">
        <is>
          <t>1989-07-14</t>
        </is>
      </c>
      <c r="X32" t="inlineStr">
        <is>
          <t>1989-07-14</t>
        </is>
      </c>
      <c r="Y32" t="n">
        <v>432</v>
      </c>
      <c r="Z32" t="n">
        <v>308</v>
      </c>
      <c r="AA32" t="n">
        <v>972</v>
      </c>
      <c r="AB32" t="n">
        <v>2</v>
      </c>
      <c r="AC32" t="n">
        <v>4</v>
      </c>
      <c r="AD32" t="n">
        <v>2</v>
      </c>
      <c r="AE32" t="n">
        <v>19</v>
      </c>
      <c r="AF32" t="n">
        <v>0</v>
      </c>
      <c r="AG32" t="n">
        <v>7</v>
      </c>
      <c r="AH32" t="n">
        <v>0</v>
      </c>
      <c r="AI32" t="n">
        <v>5</v>
      </c>
      <c r="AJ32" t="n">
        <v>1</v>
      </c>
      <c r="AK32" t="n">
        <v>11</v>
      </c>
      <c r="AL32" t="n">
        <v>1</v>
      </c>
      <c r="AM32" t="n">
        <v>1</v>
      </c>
      <c r="AN32" t="n">
        <v>0</v>
      </c>
      <c r="AO32" t="n">
        <v>0</v>
      </c>
      <c r="AP32" t="inlineStr">
        <is>
          <t>No</t>
        </is>
      </c>
      <c r="AQ32" t="inlineStr">
        <is>
          <t>Yes</t>
        </is>
      </c>
      <c r="AR32">
        <f>HYPERLINK("http://catalog.hathitrust.org/Record/001304917","HathiTrust Record")</f>
        <v/>
      </c>
      <c r="AS32">
        <f>HYPERLINK("https://creighton-primo.hosted.exlibrisgroup.com/primo-explore/search?tab=default_tab&amp;search_scope=EVERYTHING&amp;vid=01CRU&amp;lang=en_US&amp;offset=0&amp;query=any,contains,991001253909702656","Catalog Record")</f>
        <v/>
      </c>
      <c r="AT32">
        <f>HYPERLINK("http://www.worldcat.org/oclc/19555093","WorldCat Record")</f>
        <v/>
      </c>
      <c r="AU32" t="inlineStr">
        <is>
          <t>4918831963:eng</t>
        </is>
      </c>
      <c r="AV32" t="inlineStr">
        <is>
          <t>19555093</t>
        </is>
      </c>
      <c r="AW32" t="inlineStr">
        <is>
          <t>991001253909702656</t>
        </is>
      </c>
      <c r="AX32" t="inlineStr">
        <is>
          <t>991001253909702656</t>
        </is>
      </c>
      <c r="AY32" t="inlineStr">
        <is>
          <t>2255590990002656</t>
        </is>
      </c>
      <c r="AZ32" t="inlineStr">
        <is>
          <t>BOOK</t>
        </is>
      </c>
      <c r="BB32" t="inlineStr">
        <is>
          <t>9780721623023</t>
        </is>
      </c>
      <c r="BC32" t="inlineStr">
        <is>
          <t>30001001679762</t>
        </is>
      </c>
      <c r="BD32" t="inlineStr">
        <is>
          <t>893826595</t>
        </is>
      </c>
    </row>
    <row r="33">
      <c r="A33" t="inlineStr">
        <is>
          <t>No</t>
        </is>
      </c>
      <c r="B33" t="inlineStr">
        <is>
          <t>QZ 4 R636b 1987</t>
        </is>
      </c>
      <c r="C33" t="inlineStr">
        <is>
          <t>0                      QZ 0004000R  636b        1987</t>
        </is>
      </c>
      <c r="D33" t="inlineStr">
        <is>
          <t>Basic pathology / Stanley L. Robbins, Vinay Kumar.</t>
        </is>
      </c>
      <c r="F33" t="inlineStr">
        <is>
          <t>No</t>
        </is>
      </c>
      <c r="G33" t="inlineStr">
        <is>
          <t>1</t>
        </is>
      </c>
      <c r="H33" t="inlineStr">
        <is>
          <t>No</t>
        </is>
      </c>
      <c r="I33" t="inlineStr">
        <is>
          <t>No</t>
        </is>
      </c>
      <c r="J33" t="inlineStr">
        <is>
          <t>0</t>
        </is>
      </c>
      <c r="K33" t="inlineStr">
        <is>
          <t>Robbins, Stanley L. (Stanley Leonard), 1915-2003.</t>
        </is>
      </c>
      <c r="L33" t="inlineStr">
        <is>
          <t>Philadelphia : Saunders, 1987.</t>
        </is>
      </c>
      <c r="M33" t="inlineStr">
        <is>
          <t>1987</t>
        </is>
      </c>
      <c r="N33" t="inlineStr">
        <is>
          <t>4th ed.</t>
        </is>
      </c>
      <c r="O33" t="inlineStr">
        <is>
          <t>eng</t>
        </is>
      </c>
      <c r="P33" t="inlineStr">
        <is>
          <t>xxu</t>
        </is>
      </c>
      <c r="R33" t="inlineStr">
        <is>
          <t xml:space="preserve">QZ </t>
        </is>
      </c>
      <c r="S33" t="n">
        <v>51</v>
      </c>
      <c r="T33" t="n">
        <v>51</v>
      </c>
      <c r="U33" t="inlineStr">
        <is>
          <t>2000-10-10</t>
        </is>
      </c>
      <c r="V33" t="inlineStr">
        <is>
          <t>2000-10-10</t>
        </is>
      </c>
      <c r="W33" t="inlineStr">
        <is>
          <t>1987-10-03</t>
        </is>
      </c>
      <c r="X33" t="inlineStr">
        <is>
          <t>1987-10-03</t>
        </is>
      </c>
      <c r="Y33" t="n">
        <v>299</v>
      </c>
      <c r="Z33" t="n">
        <v>202</v>
      </c>
      <c r="AA33" t="n">
        <v>378</v>
      </c>
      <c r="AB33" t="n">
        <v>1</v>
      </c>
      <c r="AC33" t="n">
        <v>2</v>
      </c>
      <c r="AD33" t="n">
        <v>2</v>
      </c>
      <c r="AE33" t="n">
        <v>10</v>
      </c>
      <c r="AF33" t="n">
        <v>1</v>
      </c>
      <c r="AG33" t="n">
        <v>4</v>
      </c>
      <c r="AH33" t="n">
        <v>1</v>
      </c>
      <c r="AI33" t="n">
        <v>3</v>
      </c>
      <c r="AJ33" t="n">
        <v>1</v>
      </c>
      <c r="AK33" t="n">
        <v>5</v>
      </c>
      <c r="AL33" t="n">
        <v>0</v>
      </c>
      <c r="AM33" t="n">
        <v>1</v>
      </c>
      <c r="AN33" t="n">
        <v>0</v>
      </c>
      <c r="AO33" t="n">
        <v>1</v>
      </c>
      <c r="AP33" t="inlineStr">
        <is>
          <t>No</t>
        </is>
      </c>
      <c r="AQ33" t="inlineStr">
        <is>
          <t>Yes</t>
        </is>
      </c>
      <c r="AR33">
        <f>HYPERLINK("http://catalog.hathitrust.org/Record/000817083","HathiTrust Record")</f>
        <v/>
      </c>
      <c r="AS33">
        <f>HYPERLINK("https://creighton-primo.hosted.exlibrisgroup.com/primo-explore/search?tab=default_tab&amp;search_scope=EVERYTHING&amp;vid=01CRU&amp;lang=en_US&amp;offset=0&amp;query=any,contains,991001265439702656","Catalog Record")</f>
        <v/>
      </c>
      <c r="AT33">
        <f>HYPERLINK("http://www.worldcat.org/oclc/14167010","WorldCat Record")</f>
        <v/>
      </c>
      <c r="AU33" t="inlineStr">
        <is>
          <t>4095614117:eng</t>
        </is>
      </c>
      <c r="AV33" t="inlineStr">
        <is>
          <t>14167010</t>
        </is>
      </c>
      <c r="AW33" t="inlineStr">
        <is>
          <t>991001265439702656</t>
        </is>
      </c>
      <c r="AX33" t="inlineStr">
        <is>
          <t>991001265439702656</t>
        </is>
      </c>
      <c r="AY33" t="inlineStr">
        <is>
          <t>2259685930002656</t>
        </is>
      </c>
      <c r="AZ33" t="inlineStr">
        <is>
          <t>BOOK</t>
        </is>
      </c>
      <c r="BB33" t="inlineStr">
        <is>
          <t>9780721618142</t>
        </is>
      </c>
      <c r="BC33" t="inlineStr">
        <is>
          <t>30001000352692</t>
        </is>
      </c>
      <c r="BD33" t="inlineStr">
        <is>
          <t>893450995</t>
        </is>
      </c>
    </row>
    <row r="34">
      <c r="A34" t="inlineStr">
        <is>
          <t>No</t>
        </is>
      </c>
      <c r="B34" t="inlineStr">
        <is>
          <t>QZ 4 R742m 1855</t>
        </is>
      </c>
      <c r="C34" t="inlineStr">
        <is>
          <t>0                      QZ 0004000R  742m        1855</t>
        </is>
      </c>
      <c r="D34" t="inlineStr">
        <is>
          <t>A manual of pathological anatomy / Carl Rokitansky.</t>
        </is>
      </c>
      <c r="F34" t="inlineStr">
        <is>
          <t>No</t>
        </is>
      </c>
      <c r="G34" t="inlineStr">
        <is>
          <t>1</t>
        </is>
      </c>
      <c r="H34" t="inlineStr">
        <is>
          <t>Yes</t>
        </is>
      </c>
      <c r="I34" t="inlineStr">
        <is>
          <t>No</t>
        </is>
      </c>
      <c r="J34" t="inlineStr">
        <is>
          <t>0</t>
        </is>
      </c>
      <c r="K34" t="inlineStr">
        <is>
          <t>Rokitansky, Carl von, 1804-1878.</t>
        </is>
      </c>
      <c r="L34" t="inlineStr">
        <is>
          <t>Philadelphia : Blanchard &amp; Lea, 1855.</t>
        </is>
      </c>
      <c r="M34" t="inlineStr">
        <is>
          <t>1855</t>
        </is>
      </c>
      <c r="O34" t="inlineStr">
        <is>
          <t>eng</t>
        </is>
      </c>
      <c r="P34" t="inlineStr">
        <is>
          <t>pau</t>
        </is>
      </c>
      <c r="R34" t="inlineStr">
        <is>
          <t xml:space="preserve">QZ </t>
        </is>
      </c>
      <c r="S34" t="n">
        <v>5</v>
      </c>
      <c r="T34" t="n">
        <v>5</v>
      </c>
      <c r="U34" t="inlineStr">
        <is>
          <t>2003-07-24</t>
        </is>
      </c>
      <c r="V34" t="inlineStr">
        <is>
          <t>2003-07-24</t>
        </is>
      </c>
      <c r="W34" t="inlineStr">
        <is>
          <t>1987-10-21</t>
        </is>
      </c>
      <c r="X34" t="inlineStr">
        <is>
          <t>1987-10-21</t>
        </is>
      </c>
      <c r="Y34" t="n">
        <v>60</v>
      </c>
      <c r="Z34" t="n">
        <v>55</v>
      </c>
      <c r="AA34" t="n">
        <v>68</v>
      </c>
      <c r="AB34" t="n">
        <v>2</v>
      </c>
      <c r="AC34" t="n">
        <v>3</v>
      </c>
      <c r="AD34" t="n">
        <v>2</v>
      </c>
      <c r="AE34" t="n">
        <v>4</v>
      </c>
      <c r="AF34" t="n">
        <v>0</v>
      </c>
      <c r="AG34" t="n">
        <v>0</v>
      </c>
      <c r="AH34" t="n">
        <v>1</v>
      </c>
      <c r="AI34" t="n">
        <v>2</v>
      </c>
      <c r="AJ34" t="n">
        <v>0</v>
      </c>
      <c r="AK34" t="n">
        <v>0</v>
      </c>
      <c r="AL34" t="n">
        <v>1</v>
      </c>
      <c r="AM34" t="n">
        <v>2</v>
      </c>
      <c r="AN34" t="n">
        <v>0</v>
      </c>
      <c r="AO34" t="n">
        <v>0</v>
      </c>
      <c r="AP34" t="inlineStr">
        <is>
          <t>Yes</t>
        </is>
      </c>
      <c r="AQ34" t="inlineStr">
        <is>
          <t>No</t>
        </is>
      </c>
      <c r="AR34">
        <f>HYPERLINK("http://catalog.hathitrust.org/Record/006219914","HathiTrust Record")</f>
        <v/>
      </c>
      <c r="AS34">
        <f>HYPERLINK("https://creighton-primo.hosted.exlibrisgroup.com/primo-explore/search?tab=default_tab&amp;search_scope=EVERYTHING&amp;vid=01CRU&amp;lang=en_US&amp;offset=0&amp;query=any,contains,991001456239702656","Catalog Record")</f>
        <v/>
      </c>
      <c r="AT34">
        <f>HYPERLINK("http://www.worldcat.org/oclc/5582622","WorldCat Record")</f>
        <v/>
      </c>
      <c r="AU34" t="inlineStr">
        <is>
          <t>10627765591:eng</t>
        </is>
      </c>
      <c r="AV34" t="inlineStr">
        <is>
          <t>5582622</t>
        </is>
      </c>
      <c r="AW34" t="inlineStr">
        <is>
          <t>991001456239702656</t>
        </is>
      </c>
      <c r="AX34" t="inlineStr">
        <is>
          <t>991001456239702656</t>
        </is>
      </c>
      <c r="AY34" t="inlineStr">
        <is>
          <t>2261667890002656</t>
        </is>
      </c>
      <c r="AZ34" t="inlineStr">
        <is>
          <t>BOOK</t>
        </is>
      </c>
      <c r="BC34" t="inlineStr">
        <is>
          <t>30001000555203</t>
        </is>
      </c>
      <c r="BD34" t="inlineStr">
        <is>
          <t>893279125</t>
        </is>
      </c>
    </row>
    <row r="35">
      <c r="A35" t="inlineStr">
        <is>
          <t>No</t>
        </is>
      </c>
      <c r="B35" t="inlineStr">
        <is>
          <t>QZ 4 R896 2004</t>
        </is>
      </c>
      <c r="C35" t="inlineStr">
        <is>
          <t>0                      QZ 0004000R  896         2004</t>
        </is>
      </c>
      <c r="D35" t="inlineStr">
        <is>
          <t>Rubin's pathology : clinicopathologic foundations of medicine / editor-in-chief, Emanuel Rubin ; associate editors, Fred Gorstein ... [et al.].</t>
        </is>
      </c>
      <c r="F35" t="inlineStr">
        <is>
          <t>No</t>
        </is>
      </c>
      <c r="G35" t="inlineStr">
        <is>
          <t>1</t>
        </is>
      </c>
      <c r="H35" t="inlineStr">
        <is>
          <t>No</t>
        </is>
      </c>
      <c r="I35" t="inlineStr">
        <is>
          <t>Yes</t>
        </is>
      </c>
      <c r="J35" t="inlineStr">
        <is>
          <t>0</t>
        </is>
      </c>
      <c r="L35" t="inlineStr">
        <is>
          <t>Philadelphia : Lippincott Williams &amp; Wilkins, c2005.</t>
        </is>
      </c>
      <c r="M35" t="inlineStr">
        <is>
          <t>2005</t>
        </is>
      </c>
      <c r="N35" t="inlineStr">
        <is>
          <t>4th ed.</t>
        </is>
      </c>
      <c r="O35" t="inlineStr">
        <is>
          <t>eng</t>
        </is>
      </c>
      <c r="P35" t="inlineStr">
        <is>
          <t>pau</t>
        </is>
      </c>
      <c r="R35" t="inlineStr">
        <is>
          <t xml:space="preserve">QZ </t>
        </is>
      </c>
      <c r="S35" t="n">
        <v>16</v>
      </c>
      <c r="T35" t="n">
        <v>16</v>
      </c>
      <c r="U35" t="inlineStr">
        <is>
          <t>2007-08-30</t>
        </is>
      </c>
      <c r="V35" t="inlineStr">
        <is>
          <t>2007-08-30</t>
        </is>
      </c>
      <c r="W35" t="inlineStr">
        <is>
          <t>2004-09-29</t>
        </is>
      </c>
      <c r="X35" t="inlineStr">
        <is>
          <t>2004-09-29</t>
        </is>
      </c>
      <c r="Y35" t="n">
        <v>230</v>
      </c>
      <c r="Z35" t="n">
        <v>142</v>
      </c>
      <c r="AA35" t="n">
        <v>376</v>
      </c>
      <c r="AB35" t="n">
        <v>2</v>
      </c>
      <c r="AC35" t="n">
        <v>3</v>
      </c>
      <c r="AD35" t="n">
        <v>4</v>
      </c>
      <c r="AE35" t="n">
        <v>13</v>
      </c>
      <c r="AF35" t="n">
        <v>1</v>
      </c>
      <c r="AG35" t="n">
        <v>4</v>
      </c>
      <c r="AH35" t="n">
        <v>2</v>
      </c>
      <c r="AI35" t="n">
        <v>4</v>
      </c>
      <c r="AJ35" t="n">
        <v>2</v>
      </c>
      <c r="AK35" t="n">
        <v>8</v>
      </c>
      <c r="AL35" t="n">
        <v>1</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HYPERLINK("https://creighton-primo.hosted.exlibrisgroup.com/primo-explore/search?tab=default_tab&amp;search_scope=EVERYTHING&amp;vid=01CRU&amp;lang=en_US&amp;offset=0&amp;query=any,contains,991000398909702656","Catalog Record")</f>
        <v/>
      </c>
      <c r="AT35">
        <f>HYPERLINK("http://www.worldcat.org/oclc/53325047","WorldCat Record")</f>
        <v/>
      </c>
      <c r="AU35" t="inlineStr">
        <is>
          <t>2909431840:eng</t>
        </is>
      </c>
      <c r="AV35" t="inlineStr">
        <is>
          <t>53325047</t>
        </is>
      </c>
      <c r="AW35" t="inlineStr">
        <is>
          <t>991000398909702656</t>
        </is>
      </c>
      <c r="AX35" t="inlineStr">
        <is>
          <t>991000398909702656</t>
        </is>
      </c>
      <c r="AY35" t="inlineStr">
        <is>
          <t>2267105350002656</t>
        </is>
      </c>
      <c r="AZ35" t="inlineStr">
        <is>
          <t>BOOK</t>
        </is>
      </c>
      <c r="BB35" t="inlineStr">
        <is>
          <t>9780781747332</t>
        </is>
      </c>
      <c r="BC35" t="inlineStr">
        <is>
          <t>30001004810406</t>
        </is>
      </c>
      <c r="BD35" t="inlineStr">
        <is>
          <t>893732836</t>
        </is>
      </c>
    </row>
    <row r="36">
      <c r="A36" t="inlineStr">
        <is>
          <t>No</t>
        </is>
      </c>
      <c r="B36" t="inlineStr">
        <is>
          <t>QZ 4 S219h 1984</t>
        </is>
      </c>
      <c r="C36" t="inlineStr">
        <is>
          <t>0                      QZ 0004000S  219h        1984</t>
        </is>
      </c>
      <c r="D36" t="inlineStr">
        <is>
          <t>Sandritter's Color atlas and textbook of histopathology.</t>
        </is>
      </c>
      <c r="F36" t="inlineStr">
        <is>
          <t>No</t>
        </is>
      </c>
      <c r="G36" t="inlineStr">
        <is>
          <t>1</t>
        </is>
      </c>
      <c r="H36" t="inlineStr">
        <is>
          <t>No</t>
        </is>
      </c>
      <c r="I36" t="inlineStr">
        <is>
          <t>No</t>
        </is>
      </c>
      <c r="J36" t="inlineStr">
        <is>
          <t>0</t>
        </is>
      </c>
      <c r="K36" t="inlineStr">
        <is>
          <t>Sandritter, Walter.</t>
        </is>
      </c>
      <c r="L36" t="inlineStr">
        <is>
          <t>Chicago : Year Book Medical Publishers, c1984.</t>
        </is>
      </c>
      <c r="M36" t="inlineStr">
        <is>
          <t>1984</t>
        </is>
      </c>
      <c r="N36" t="inlineStr">
        <is>
          <t>7th English ed. / Carlos Thomas ; with the assistance of C.P. Adler ... [et al.] ; translated and edited by Goetz W. Richter.</t>
        </is>
      </c>
      <c r="O36" t="inlineStr">
        <is>
          <t>eng</t>
        </is>
      </c>
      <c r="P36" t="inlineStr">
        <is>
          <t xml:space="preserve">xx </t>
        </is>
      </c>
      <c r="R36" t="inlineStr">
        <is>
          <t xml:space="preserve">QZ </t>
        </is>
      </c>
      <c r="S36" t="n">
        <v>39</v>
      </c>
      <c r="T36" t="n">
        <v>39</v>
      </c>
      <c r="U36" t="inlineStr">
        <is>
          <t>1997-05-11</t>
        </is>
      </c>
      <c r="V36" t="inlineStr">
        <is>
          <t>1997-05-11</t>
        </is>
      </c>
      <c r="W36" t="inlineStr">
        <is>
          <t>1988-04-26</t>
        </is>
      </c>
      <c r="X36" t="inlineStr">
        <is>
          <t>1988-04-26</t>
        </is>
      </c>
      <c r="Y36" t="n">
        <v>169</v>
      </c>
      <c r="Z36" t="n">
        <v>120</v>
      </c>
      <c r="AA36" t="n">
        <v>330</v>
      </c>
      <c r="AB36" t="n">
        <v>1</v>
      </c>
      <c r="AC36" t="n">
        <v>2</v>
      </c>
      <c r="AD36" t="n">
        <v>1</v>
      </c>
      <c r="AE36" t="n">
        <v>6</v>
      </c>
      <c r="AF36" t="n">
        <v>0</v>
      </c>
      <c r="AG36" t="n">
        <v>2</v>
      </c>
      <c r="AH36" t="n">
        <v>1</v>
      </c>
      <c r="AI36" t="n">
        <v>1</v>
      </c>
      <c r="AJ36" t="n">
        <v>0</v>
      </c>
      <c r="AK36" t="n">
        <v>2</v>
      </c>
      <c r="AL36" t="n">
        <v>0</v>
      </c>
      <c r="AM36" t="n">
        <v>1</v>
      </c>
      <c r="AN36" t="n">
        <v>0</v>
      </c>
      <c r="AO36" t="n">
        <v>0</v>
      </c>
      <c r="AP36" t="inlineStr">
        <is>
          <t>No</t>
        </is>
      </c>
      <c r="AQ36" t="inlineStr">
        <is>
          <t>Yes</t>
        </is>
      </c>
      <c r="AR36">
        <f>HYPERLINK("http://catalog.hathitrust.org/Record/000206859","HathiTrust Record")</f>
        <v/>
      </c>
      <c r="AS36">
        <f>HYPERLINK("https://creighton-primo.hosted.exlibrisgroup.com/primo-explore/search?tab=default_tab&amp;search_scope=EVERYTHING&amp;vid=01CRU&amp;lang=en_US&amp;offset=0&amp;query=any,contains,991001161069702656","Catalog Record")</f>
        <v/>
      </c>
      <c r="AT36">
        <f>HYPERLINK("http://www.worldcat.org/oclc/10751829","WorldCat Record")</f>
        <v/>
      </c>
      <c r="AU36" t="inlineStr">
        <is>
          <t>3856325355:eng</t>
        </is>
      </c>
      <c r="AV36" t="inlineStr">
        <is>
          <t>10751829</t>
        </is>
      </c>
      <c r="AW36" t="inlineStr">
        <is>
          <t>991001161069702656</t>
        </is>
      </c>
      <c r="AX36" t="inlineStr">
        <is>
          <t>991001161069702656</t>
        </is>
      </c>
      <c r="AY36" t="inlineStr">
        <is>
          <t>2263309030002656</t>
        </is>
      </c>
      <c r="AZ36" t="inlineStr">
        <is>
          <t>BOOK</t>
        </is>
      </c>
      <c r="BB36" t="inlineStr">
        <is>
          <t>9780815187943</t>
        </is>
      </c>
      <c r="BC36" t="inlineStr">
        <is>
          <t>30001000970071</t>
        </is>
      </c>
      <c r="BD36" t="inlineStr">
        <is>
          <t>893121226</t>
        </is>
      </c>
    </row>
    <row r="37">
      <c r="A37" t="inlineStr">
        <is>
          <t>No</t>
        </is>
      </c>
      <c r="B37" t="inlineStr">
        <is>
          <t>QZ 4 S995 1976-80 v.1-6</t>
        </is>
      </c>
      <c r="C37" t="inlineStr">
        <is>
          <t>0                      QZ 0004000S  995         1976                                        -80 v.1-6</t>
        </is>
      </c>
      <c r="D37" t="inlineStr">
        <is>
          <t>Systemic pathology / by thirty-eight authors, C.W.M. Adams ... [et al.] ; editor, W. St. C. Symmers.</t>
        </is>
      </c>
      <c r="E37" t="inlineStr">
        <is>
          <t>V. 6</t>
        </is>
      </c>
      <c r="F37" t="inlineStr">
        <is>
          <t>Yes</t>
        </is>
      </c>
      <c r="G37" t="inlineStr">
        <is>
          <t>1</t>
        </is>
      </c>
      <c r="H37" t="inlineStr">
        <is>
          <t>No</t>
        </is>
      </c>
      <c r="I37" t="inlineStr">
        <is>
          <t>No</t>
        </is>
      </c>
      <c r="J37" t="inlineStr">
        <is>
          <t>0</t>
        </is>
      </c>
      <c r="L37" t="inlineStr">
        <is>
          <t>Edinburgh ; New York : Churchill Livingstone, c1976-1980.</t>
        </is>
      </c>
      <c r="M37" t="inlineStr">
        <is>
          <t>1976</t>
        </is>
      </c>
      <c r="N37" t="inlineStr">
        <is>
          <t>2nd ed.</t>
        </is>
      </c>
      <c r="O37" t="inlineStr">
        <is>
          <t>eng</t>
        </is>
      </c>
      <c r="P37" t="inlineStr">
        <is>
          <t>stk</t>
        </is>
      </c>
      <c r="R37" t="inlineStr">
        <is>
          <t xml:space="preserve">QZ </t>
        </is>
      </c>
      <c r="S37" t="n">
        <v>3</v>
      </c>
      <c r="T37" t="n">
        <v>19</v>
      </c>
      <c r="V37" t="inlineStr">
        <is>
          <t>1992-04-17</t>
        </is>
      </c>
      <c r="W37" t="inlineStr">
        <is>
          <t>1988-05-12</t>
        </is>
      </c>
      <c r="X37" t="inlineStr">
        <is>
          <t>1988-05-12</t>
        </is>
      </c>
      <c r="Y37" t="n">
        <v>184</v>
      </c>
      <c r="Z37" t="n">
        <v>113</v>
      </c>
      <c r="AA37" t="n">
        <v>116</v>
      </c>
      <c r="AB37" t="n">
        <v>1</v>
      </c>
      <c r="AC37" t="n">
        <v>1</v>
      </c>
      <c r="AD37" t="n">
        <v>0</v>
      </c>
      <c r="AE37" t="n">
        <v>0</v>
      </c>
      <c r="AF37" t="n">
        <v>0</v>
      </c>
      <c r="AG37" t="n">
        <v>0</v>
      </c>
      <c r="AH37" t="n">
        <v>0</v>
      </c>
      <c r="AI37" t="n">
        <v>0</v>
      </c>
      <c r="AJ37" t="n">
        <v>0</v>
      </c>
      <c r="AK37" t="n">
        <v>0</v>
      </c>
      <c r="AL37" t="n">
        <v>0</v>
      </c>
      <c r="AM37" t="n">
        <v>0</v>
      </c>
      <c r="AN37" t="n">
        <v>0</v>
      </c>
      <c r="AO37" t="n">
        <v>0</v>
      </c>
      <c r="AP37" t="inlineStr">
        <is>
          <t>No</t>
        </is>
      </c>
      <c r="AQ37" t="inlineStr">
        <is>
          <t>Yes</t>
        </is>
      </c>
      <c r="AR37">
        <f>HYPERLINK("http://catalog.hathitrust.org/Record/000769379","HathiTrust Record")</f>
        <v/>
      </c>
      <c r="AS37">
        <f>HYPERLINK("https://creighton-primo.hosted.exlibrisgroup.com/primo-explore/search?tab=default_tab&amp;search_scope=EVERYTHING&amp;vid=01CRU&amp;lang=en_US&amp;offset=0&amp;query=any,contains,991001088229702656","Catalog Record")</f>
        <v/>
      </c>
      <c r="AT37">
        <f>HYPERLINK("http://www.worldcat.org/oclc/1858447","WorldCat Record")</f>
        <v/>
      </c>
      <c r="AU37" t="inlineStr">
        <is>
          <t>4413422746:eng</t>
        </is>
      </c>
      <c r="AV37" t="inlineStr">
        <is>
          <t>1858447</t>
        </is>
      </c>
      <c r="AW37" t="inlineStr">
        <is>
          <t>991001088229702656</t>
        </is>
      </c>
      <c r="AX37" t="inlineStr">
        <is>
          <t>991001088229702656</t>
        </is>
      </c>
      <c r="AY37" t="inlineStr">
        <is>
          <t>2266922600002656</t>
        </is>
      </c>
      <c r="AZ37" t="inlineStr">
        <is>
          <t>BOOK</t>
        </is>
      </c>
      <c r="BB37" t="inlineStr">
        <is>
          <t>9780443013300</t>
        </is>
      </c>
      <c r="BC37" t="inlineStr">
        <is>
          <t>30001000260812</t>
        </is>
      </c>
      <c r="BD37" t="inlineStr">
        <is>
          <t>893134237</t>
        </is>
      </c>
    </row>
    <row r="38">
      <c r="A38" t="inlineStr">
        <is>
          <t>No</t>
        </is>
      </c>
      <c r="B38" t="inlineStr">
        <is>
          <t>QZ 4 S995 1976-80 v.1-6</t>
        </is>
      </c>
      <c r="C38" t="inlineStr">
        <is>
          <t>0                      QZ 0004000S  995         1976                                        -80 v.1-6</t>
        </is>
      </c>
      <c r="D38" t="inlineStr">
        <is>
          <t>Systemic pathology / by thirty-eight authors, C.W.M. Adams ... [et al.] ; editor, W. St. C. Symmers.</t>
        </is>
      </c>
      <c r="E38" t="inlineStr">
        <is>
          <t>V. 5</t>
        </is>
      </c>
      <c r="F38" t="inlineStr">
        <is>
          <t>Yes</t>
        </is>
      </c>
      <c r="G38" t="inlineStr">
        <is>
          <t>1</t>
        </is>
      </c>
      <c r="H38" t="inlineStr">
        <is>
          <t>No</t>
        </is>
      </c>
      <c r="I38" t="inlineStr">
        <is>
          <t>No</t>
        </is>
      </c>
      <c r="J38" t="inlineStr">
        <is>
          <t>0</t>
        </is>
      </c>
      <c r="L38" t="inlineStr">
        <is>
          <t>Edinburgh ; New York : Churchill Livingstone, c1976-1980.</t>
        </is>
      </c>
      <c r="M38" t="inlineStr">
        <is>
          <t>1976</t>
        </is>
      </c>
      <c r="N38" t="inlineStr">
        <is>
          <t>2nd ed.</t>
        </is>
      </c>
      <c r="O38" t="inlineStr">
        <is>
          <t>eng</t>
        </is>
      </c>
      <c r="P38" t="inlineStr">
        <is>
          <t>stk</t>
        </is>
      </c>
      <c r="R38" t="inlineStr">
        <is>
          <t xml:space="preserve">QZ </t>
        </is>
      </c>
      <c r="S38" t="n">
        <v>4</v>
      </c>
      <c r="T38" t="n">
        <v>19</v>
      </c>
      <c r="V38" t="inlineStr">
        <is>
          <t>1992-04-17</t>
        </is>
      </c>
      <c r="W38" t="inlineStr">
        <is>
          <t>1988-05-12</t>
        </is>
      </c>
      <c r="X38" t="inlineStr">
        <is>
          <t>1988-05-12</t>
        </is>
      </c>
      <c r="Y38" t="n">
        <v>184</v>
      </c>
      <c r="Z38" t="n">
        <v>113</v>
      </c>
      <c r="AA38" t="n">
        <v>116</v>
      </c>
      <c r="AB38" t="n">
        <v>1</v>
      </c>
      <c r="AC38" t="n">
        <v>1</v>
      </c>
      <c r="AD38" t="n">
        <v>0</v>
      </c>
      <c r="AE38" t="n">
        <v>0</v>
      </c>
      <c r="AF38" t="n">
        <v>0</v>
      </c>
      <c r="AG38" t="n">
        <v>0</v>
      </c>
      <c r="AH38" t="n">
        <v>0</v>
      </c>
      <c r="AI38" t="n">
        <v>0</v>
      </c>
      <c r="AJ38" t="n">
        <v>0</v>
      </c>
      <c r="AK38" t="n">
        <v>0</v>
      </c>
      <c r="AL38" t="n">
        <v>0</v>
      </c>
      <c r="AM38" t="n">
        <v>0</v>
      </c>
      <c r="AN38" t="n">
        <v>0</v>
      </c>
      <c r="AO38" t="n">
        <v>0</v>
      </c>
      <c r="AP38" t="inlineStr">
        <is>
          <t>No</t>
        </is>
      </c>
      <c r="AQ38" t="inlineStr">
        <is>
          <t>Yes</t>
        </is>
      </c>
      <c r="AR38">
        <f>HYPERLINK("http://catalog.hathitrust.org/Record/000769379","HathiTrust Record")</f>
        <v/>
      </c>
      <c r="AS38">
        <f>HYPERLINK("https://creighton-primo.hosted.exlibrisgroup.com/primo-explore/search?tab=default_tab&amp;search_scope=EVERYTHING&amp;vid=01CRU&amp;lang=en_US&amp;offset=0&amp;query=any,contains,991001088229702656","Catalog Record")</f>
        <v/>
      </c>
      <c r="AT38">
        <f>HYPERLINK("http://www.worldcat.org/oclc/1858447","WorldCat Record")</f>
        <v/>
      </c>
      <c r="AU38" t="inlineStr">
        <is>
          <t>4413422746:eng</t>
        </is>
      </c>
      <c r="AV38" t="inlineStr">
        <is>
          <t>1858447</t>
        </is>
      </c>
      <c r="AW38" t="inlineStr">
        <is>
          <t>991001088229702656</t>
        </is>
      </c>
      <c r="AX38" t="inlineStr">
        <is>
          <t>991001088229702656</t>
        </is>
      </c>
      <c r="AY38" t="inlineStr">
        <is>
          <t>2266922600002656</t>
        </is>
      </c>
      <c r="AZ38" t="inlineStr">
        <is>
          <t>BOOK</t>
        </is>
      </c>
      <c r="BB38" t="inlineStr">
        <is>
          <t>9780443013300</t>
        </is>
      </c>
      <c r="BC38" t="inlineStr">
        <is>
          <t>30001000260804</t>
        </is>
      </c>
      <c r="BD38" t="inlineStr">
        <is>
          <t>893148855</t>
        </is>
      </c>
    </row>
    <row r="39">
      <c r="A39" t="inlineStr">
        <is>
          <t>No</t>
        </is>
      </c>
      <c r="B39" t="inlineStr">
        <is>
          <t>QZ 4 S995 1976-80 v.1-6</t>
        </is>
      </c>
      <c r="C39" t="inlineStr">
        <is>
          <t>0                      QZ 0004000S  995         1976                                        -80 v.1-6</t>
        </is>
      </c>
      <c r="D39" t="inlineStr">
        <is>
          <t>Systemic pathology / by thirty-eight authors, C.W.M. Adams ... [et al.] ; editor, W. St. C. Symmers.</t>
        </is>
      </c>
      <c r="E39" t="inlineStr">
        <is>
          <t>V. 2</t>
        </is>
      </c>
      <c r="F39" t="inlineStr">
        <is>
          <t>Yes</t>
        </is>
      </c>
      <c r="G39" t="inlineStr">
        <is>
          <t>1</t>
        </is>
      </c>
      <c r="H39" t="inlineStr">
        <is>
          <t>No</t>
        </is>
      </c>
      <c r="I39" t="inlineStr">
        <is>
          <t>No</t>
        </is>
      </c>
      <c r="J39" t="inlineStr">
        <is>
          <t>0</t>
        </is>
      </c>
      <c r="L39" t="inlineStr">
        <is>
          <t>Edinburgh ; New York : Churchill Livingstone, c1976-1980.</t>
        </is>
      </c>
      <c r="M39" t="inlineStr">
        <is>
          <t>1976</t>
        </is>
      </c>
      <c r="N39" t="inlineStr">
        <is>
          <t>2nd ed.</t>
        </is>
      </c>
      <c r="O39" t="inlineStr">
        <is>
          <t>eng</t>
        </is>
      </c>
      <c r="P39" t="inlineStr">
        <is>
          <t>stk</t>
        </is>
      </c>
      <c r="R39" t="inlineStr">
        <is>
          <t xml:space="preserve">QZ </t>
        </is>
      </c>
      <c r="S39" t="n">
        <v>3</v>
      </c>
      <c r="T39" t="n">
        <v>19</v>
      </c>
      <c r="V39" t="inlineStr">
        <is>
          <t>1992-04-17</t>
        </is>
      </c>
      <c r="W39" t="inlineStr">
        <is>
          <t>1988-02-12</t>
        </is>
      </c>
      <c r="X39" t="inlineStr">
        <is>
          <t>1988-05-12</t>
        </is>
      </c>
      <c r="Y39" t="n">
        <v>184</v>
      </c>
      <c r="Z39" t="n">
        <v>113</v>
      </c>
      <c r="AA39" t="n">
        <v>116</v>
      </c>
      <c r="AB39" t="n">
        <v>1</v>
      </c>
      <c r="AC39" t="n">
        <v>1</v>
      </c>
      <c r="AD39" t="n">
        <v>0</v>
      </c>
      <c r="AE39" t="n">
        <v>0</v>
      </c>
      <c r="AF39" t="n">
        <v>0</v>
      </c>
      <c r="AG39" t="n">
        <v>0</v>
      </c>
      <c r="AH39" t="n">
        <v>0</v>
      </c>
      <c r="AI39" t="n">
        <v>0</v>
      </c>
      <c r="AJ39" t="n">
        <v>0</v>
      </c>
      <c r="AK39" t="n">
        <v>0</v>
      </c>
      <c r="AL39" t="n">
        <v>0</v>
      </c>
      <c r="AM39" t="n">
        <v>0</v>
      </c>
      <c r="AN39" t="n">
        <v>0</v>
      </c>
      <c r="AO39" t="n">
        <v>0</v>
      </c>
      <c r="AP39" t="inlineStr">
        <is>
          <t>No</t>
        </is>
      </c>
      <c r="AQ39" t="inlineStr">
        <is>
          <t>Yes</t>
        </is>
      </c>
      <c r="AR39">
        <f>HYPERLINK("http://catalog.hathitrust.org/Record/000769379","HathiTrust Record")</f>
        <v/>
      </c>
      <c r="AS39">
        <f>HYPERLINK("https://creighton-primo.hosted.exlibrisgroup.com/primo-explore/search?tab=default_tab&amp;search_scope=EVERYTHING&amp;vid=01CRU&amp;lang=en_US&amp;offset=0&amp;query=any,contains,991001088229702656","Catalog Record")</f>
        <v/>
      </c>
      <c r="AT39">
        <f>HYPERLINK("http://www.worldcat.org/oclc/1858447","WorldCat Record")</f>
        <v/>
      </c>
      <c r="AU39" t="inlineStr">
        <is>
          <t>4413422746:eng</t>
        </is>
      </c>
      <c r="AV39" t="inlineStr">
        <is>
          <t>1858447</t>
        </is>
      </c>
      <c r="AW39" t="inlineStr">
        <is>
          <t>991001088229702656</t>
        </is>
      </c>
      <c r="AX39" t="inlineStr">
        <is>
          <t>991001088229702656</t>
        </is>
      </c>
      <c r="AY39" t="inlineStr">
        <is>
          <t>2266922600002656</t>
        </is>
      </c>
      <c r="AZ39" t="inlineStr">
        <is>
          <t>BOOK</t>
        </is>
      </c>
      <c r="BB39" t="inlineStr">
        <is>
          <t>9780443013300</t>
        </is>
      </c>
      <c r="BC39" t="inlineStr">
        <is>
          <t>30001000260770</t>
        </is>
      </c>
      <c r="BD39" t="inlineStr">
        <is>
          <t>893121155</t>
        </is>
      </c>
    </row>
    <row r="40">
      <c r="A40" t="inlineStr">
        <is>
          <t>No</t>
        </is>
      </c>
      <c r="B40" t="inlineStr">
        <is>
          <t>QZ 4 S995 1976-80 v.1-6</t>
        </is>
      </c>
      <c r="C40" t="inlineStr">
        <is>
          <t>0                      QZ 0004000S  995         1976                                        -80 v.1-6</t>
        </is>
      </c>
      <c r="D40" t="inlineStr">
        <is>
          <t>Systemic pathology / by thirty-eight authors, C.W.M. Adams ... [et al.] ; editor, W. St. C. Symmers.</t>
        </is>
      </c>
      <c r="E40" t="inlineStr">
        <is>
          <t>V. 4</t>
        </is>
      </c>
      <c r="F40" t="inlineStr">
        <is>
          <t>Yes</t>
        </is>
      </c>
      <c r="G40" t="inlineStr">
        <is>
          <t>1</t>
        </is>
      </c>
      <c r="H40" t="inlineStr">
        <is>
          <t>No</t>
        </is>
      </c>
      <c r="I40" t="inlineStr">
        <is>
          <t>No</t>
        </is>
      </c>
      <c r="J40" t="inlineStr">
        <is>
          <t>0</t>
        </is>
      </c>
      <c r="L40" t="inlineStr">
        <is>
          <t>Edinburgh ; New York : Churchill Livingstone, c1976-1980.</t>
        </is>
      </c>
      <c r="M40" t="inlineStr">
        <is>
          <t>1976</t>
        </is>
      </c>
      <c r="N40" t="inlineStr">
        <is>
          <t>2nd ed.</t>
        </is>
      </c>
      <c r="O40" t="inlineStr">
        <is>
          <t>eng</t>
        </is>
      </c>
      <c r="P40" t="inlineStr">
        <is>
          <t>stk</t>
        </is>
      </c>
      <c r="R40" t="inlineStr">
        <is>
          <t xml:space="preserve">QZ </t>
        </is>
      </c>
      <c r="S40" t="n">
        <v>0</v>
      </c>
      <c r="T40" t="n">
        <v>19</v>
      </c>
      <c r="V40" t="inlineStr">
        <is>
          <t>1992-04-17</t>
        </is>
      </c>
      <c r="W40" t="inlineStr">
        <is>
          <t>1988-05-12</t>
        </is>
      </c>
      <c r="X40" t="inlineStr">
        <is>
          <t>1988-05-12</t>
        </is>
      </c>
      <c r="Y40" t="n">
        <v>184</v>
      </c>
      <c r="Z40" t="n">
        <v>113</v>
      </c>
      <c r="AA40" t="n">
        <v>116</v>
      </c>
      <c r="AB40" t="n">
        <v>1</v>
      </c>
      <c r="AC40" t="n">
        <v>1</v>
      </c>
      <c r="AD40" t="n">
        <v>0</v>
      </c>
      <c r="AE40" t="n">
        <v>0</v>
      </c>
      <c r="AF40" t="n">
        <v>0</v>
      </c>
      <c r="AG40" t="n">
        <v>0</v>
      </c>
      <c r="AH40" t="n">
        <v>0</v>
      </c>
      <c r="AI40" t="n">
        <v>0</v>
      </c>
      <c r="AJ40" t="n">
        <v>0</v>
      </c>
      <c r="AK40" t="n">
        <v>0</v>
      </c>
      <c r="AL40" t="n">
        <v>0</v>
      </c>
      <c r="AM40" t="n">
        <v>0</v>
      </c>
      <c r="AN40" t="n">
        <v>0</v>
      </c>
      <c r="AO40" t="n">
        <v>0</v>
      </c>
      <c r="AP40" t="inlineStr">
        <is>
          <t>No</t>
        </is>
      </c>
      <c r="AQ40" t="inlineStr">
        <is>
          <t>Yes</t>
        </is>
      </c>
      <c r="AR40">
        <f>HYPERLINK("http://catalog.hathitrust.org/Record/000769379","HathiTrust Record")</f>
        <v/>
      </c>
      <c r="AS40">
        <f>HYPERLINK("https://creighton-primo.hosted.exlibrisgroup.com/primo-explore/search?tab=default_tab&amp;search_scope=EVERYTHING&amp;vid=01CRU&amp;lang=en_US&amp;offset=0&amp;query=any,contains,991001088229702656","Catalog Record")</f>
        <v/>
      </c>
      <c r="AT40">
        <f>HYPERLINK("http://www.worldcat.org/oclc/1858447","WorldCat Record")</f>
        <v/>
      </c>
      <c r="AU40" t="inlineStr">
        <is>
          <t>4413422746:eng</t>
        </is>
      </c>
      <c r="AV40" t="inlineStr">
        <is>
          <t>1858447</t>
        </is>
      </c>
      <c r="AW40" t="inlineStr">
        <is>
          <t>991001088229702656</t>
        </is>
      </c>
      <c r="AX40" t="inlineStr">
        <is>
          <t>991001088229702656</t>
        </is>
      </c>
      <c r="AY40" t="inlineStr">
        <is>
          <t>2266922600002656</t>
        </is>
      </c>
      <c r="AZ40" t="inlineStr">
        <is>
          <t>BOOK</t>
        </is>
      </c>
      <c r="BB40" t="inlineStr">
        <is>
          <t>9780443013300</t>
        </is>
      </c>
      <c r="BC40" t="inlineStr">
        <is>
          <t>30001000260796</t>
        </is>
      </c>
      <c r="BD40" t="inlineStr">
        <is>
          <t>893121154</t>
        </is>
      </c>
    </row>
    <row r="41">
      <c r="A41" t="inlineStr">
        <is>
          <t>No</t>
        </is>
      </c>
      <c r="B41" t="inlineStr">
        <is>
          <t>QZ 4 S995 1976-80 v.1-6</t>
        </is>
      </c>
      <c r="C41" t="inlineStr">
        <is>
          <t>0                      QZ 0004000S  995         1976                                        -80 v.1-6</t>
        </is>
      </c>
      <c r="D41" t="inlineStr">
        <is>
          <t>Systemic pathology / by thirty-eight authors, C.W.M. Adams ... [et al.] ; editor, W. St. C. Symmers.</t>
        </is>
      </c>
      <c r="E41" t="inlineStr">
        <is>
          <t>V. 1</t>
        </is>
      </c>
      <c r="F41" t="inlineStr">
        <is>
          <t>Yes</t>
        </is>
      </c>
      <c r="G41" t="inlineStr">
        <is>
          <t>1</t>
        </is>
      </c>
      <c r="H41" t="inlineStr">
        <is>
          <t>No</t>
        </is>
      </c>
      <c r="I41" t="inlineStr">
        <is>
          <t>No</t>
        </is>
      </c>
      <c r="J41" t="inlineStr">
        <is>
          <t>0</t>
        </is>
      </c>
      <c r="L41" t="inlineStr">
        <is>
          <t>Edinburgh ; New York : Churchill Livingstone, c1976-1980.</t>
        </is>
      </c>
      <c r="M41" t="inlineStr">
        <is>
          <t>1976</t>
        </is>
      </c>
      <c r="N41" t="inlineStr">
        <is>
          <t>2nd ed.</t>
        </is>
      </c>
      <c r="O41" t="inlineStr">
        <is>
          <t>eng</t>
        </is>
      </c>
      <c r="P41" t="inlineStr">
        <is>
          <t>stk</t>
        </is>
      </c>
      <c r="R41" t="inlineStr">
        <is>
          <t xml:space="preserve">QZ </t>
        </is>
      </c>
      <c r="S41" t="n">
        <v>2</v>
      </c>
      <c r="T41" t="n">
        <v>19</v>
      </c>
      <c r="U41" t="inlineStr">
        <is>
          <t>1992-04-17</t>
        </is>
      </c>
      <c r="V41" t="inlineStr">
        <is>
          <t>1992-04-17</t>
        </is>
      </c>
      <c r="W41" t="inlineStr">
        <is>
          <t>1988-05-12</t>
        </is>
      </c>
      <c r="X41" t="inlineStr">
        <is>
          <t>1988-05-12</t>
        </is>
      </c>
      <c r="Y41" t="n">
        <v>184</v>
      </c>
      <c r="Z41" t="n">
        <v>113</v>
      </c>
      <c r="AA41" t="n">
        <v>116</v>
      </c>
      <c r="AB41" t="n">
        <v>1</v>
      </c>
      <c r="AC41" t="n">
        <v>1</v>
      </c>
      <c r="AD41" t="n">
        <v>0</v>
      </c>
      <c r="AE41" t="n">
        <v>0</v>
      </c>
      <c r="AF41" t="n">
        <v>0</v>
      </c>
      <c r="AG41" t="n">
        <v>0</v>
      </c>
      <c r="AH41" t="n">
        <v>0</v>
      </c>
      <c r="AI41" t="n">
        <v>0</v>
      </c>
      <c r="AJ41" t="n">
        <v>0</v>
      </c>
      <c r="AK41" t="n">
        <v>0</v>
      </c>
      <c r="AL41" t="n">
        <v>0</v>
      </c>
      <c r="AM41" t="n">
        <v>0</v>
      </c>
      <c r="AN41" t="n">
        <v>0</v>
      </c>
      <c r="AO41" t="n">
        <v>0</v>
      </c>
      <c r="AP41" t="inlineStr">
        <is>
          <t>No</t>
        </is>
      </c>
      <c r="AQ41" t="inlineStr">
        <is>
          <t>Yes</t>
        </is>
      </c>
      <c r="AR41">
        <f>HYPERLINK("http://catalog.hathitrust.org/Record/000769379","HathiTrust Record")</f>
        <v/>
      </c>
      <c r="AS41">
        <f>HYPERLINK("https://creighton-primo.hosted.exlibrisgroup.com/primo-explore/search?tab=default_tab&amp;search_scope=EVERYTHING&amp;vid=01CRU&amp;lang=en_US&amp;offset=0&amp;query=any,contains,991001088229702656","Catalog Record")</f>
        <v/>
      </c>
      <c r="AT41">
        <f>HYPERLINK("http://www.worldcat.org/oclc/1858447","WorldCat Record")</f>
        <v/>
      </c>
      <c r="AU41" t="inlineStr">
        <is>
          <t>4413422746:eng</t>
        </is>
      </c>
      <c r="AV41" t="inlineStr">
        <is>
          <t>1858447</t>
        </is>
      </c>
      <c r="AW41" t="inlineStr">
        <is>
          <t>991001088229702656</t>
        </is>
      </c>
      <c r="AX41" t="inlineStr">
        <is>
          <t>991001088229702656</t>
        </is>
      </c>
      <c r="AY41" t="inlineStr">
        <is>
          <t>2266922600002656</t>
        </is>
      </c>
      <c r="AZ41" t="inlineStr">
        <is>
          <t>BOOK</t>
        </is>
      </c>
      <c r="BB41" t="inlineStr">
        <is>
          <t>9780443013300</t>
        </is>
      </c>
      <c r="BC41" t="inlineStr">
        <is>
          <t>30001000260762</t>
        </is>
      </c>
      <c r="BD41" t="inlineStr">
        <is>
          <t>893148856</t>
        </is>
      </c>
    </row>
    <row r="42">
      <c r="A42" t="inlineStr">
        <is>
          <t>No</t>
        </is>
      </c>
      <c r="B42" t="inlineStr">
        <is>
          <t>QZ 4 S995 1976-80 v.1-6</t>
        </is>
      </c>
      <c r="C42" t="inlineStr">
        <is>
          <t>0                      QZ 0004000S  995         1976                                        -80 v.1-6</t>
        </is>
      </c>
      <c r="D42" t="inlineStr">
        <is>
          <t>Systemic pathology / by thirty-eight authors, C.W.M. Adams ... [et al.] ; editor, W. St. C. Symmers.</t>
        </is>
      </c>
      <c r="E42" t="inlineStr">
        <is>
          <t>V. 3</t>
        </is>
      </c>
      <c r="F42" t="inlineStr">
        <is>
          <t>Yes</t>
        </is>
      </c>
      <c r="G42" t="inlineStr">
        <is>
          <t>1</t>
        </is>
      </c>
      <c r="H42" t="inlineStr">
        <is>
          <t>No</t>
        </is>
      </c>
      <c r="I42" t="inlineStr">
        <is>
          <t>No</t>
        </is>
      </c>
      <c r="J42" t="inlineStr">
        <is>
          <t>0</t>
        </is>
      </c>
      <c r="L42" t="inlineStr">
        <is>
          <t>Edinburgh ; New York : Churchill Livingstone, c1976-1980.</t>
        </is>
      </c>
      <c r="M42" t="inlineStr">
        <is>
          <t>1976</t>
        </is>
      </c>
      <c r="N42" t="inlineStr">
        <is>
          <t>2nd ed.</t>
        </is>
      </c>
      <c r="O42" t="inlineStr">
        <is>
          <t>eng</t>
        </is>
      </c>
      <c r="P42" t="inlineStr">
        <is>
          <t>stk</t>
        </is>
      </c>
      <c r="R42" t="inlineStr">
        <is>
          <t xml:space="preserve">QZ </t>
        </is>
      </c>
      <c r="S42" t="n">
        <v>7</v>
      </c>
      <c r="T42" t="n">
        <v>19</v>
      </c>
      <c r="U42" t="inlineStr">
        <is>
          <t>1990-04-26</t>
        </is>
      </c>
      <c r="V42" t="inlineStr">
        <is>
          <t>1992-04-17</t>
        </is>
      </c>
      <c r="W42" t="inlineStr">
        <is>
          <t>1988-05-12</t>
        </is>
      </c>
      <c r="X42" t="inlineStr">
        <is>
          <t>1988-05-12</t>
        </is>
      </c>
      <c r="Y42" t="n">
        <v>184</v>
      </c>
      <c r="Z42" t="n">
        <v>113</v>
      </c>
      <c r="AA42" t="n">
        <v>116</v>
      </c>
      <c r="AB42" t="n">
        <v>1</v>
      </c>
      <c r="AC42" t="n">
        <v>1</v>
      </c>
      <c r="AD42" t="n">
        <v>0</v>
      </c>
      <c r="AE42" t="n">
        <v>0</v>
      </c>
      <c r="AF42" t="n">
        <v>0</v>
      </c>
      <c r="AG42" t="n">
        <v>0</v>
      </c>
      <c r="AH42" t="n">
        <v>0</v>
      </c>
      <c r="AI42" t="n">
        <v>0</v>
      </c>
      <c r="AJ42" t="n">
        <v>0</v>
      </c>
      <c r="AK42" t="n">
        <v>0</v>
      </c>
      <c r="AL42" t="n">
        <v>0</v>
      </c>
      <c r="AM42" t="n">
        <v>0</v>
      </c>
      <c r="AN42" t="n">
        <v>0</v>
      </c>
      <c r="AO42" t="n">
        <v>0</v>
      </c>
      <c r="AP42" t="inlineStr">
        <is>
          <t>No</t>
        </is>
      </c>
      <c r="AQ42" t="inlineStr">
        <is>
          <t>Yes</t>
        </is>
      </c>
      <c r="AR42">
        <f>HYPERLINK("http://catalog.hathitrust.org/Record/000769379","HathiTrust Record")</f>
        <v/>
      </c>
      <c r="AS42">
        <f>HYPERLINK("https://creighton-primo.hosted.exlibrisgroup.com/primo-explore/search?tab=default_tab&amp;search_scope=EVERYTHING&amp;vid=01CRU&amp;lang=en_US&amp;offset=0&amp;query=any,contains,991001088229702656","Catalog Record")</f>
        <v/>
      </c>
      <c r="AT42">
        <f>HYPERLINK("http://www.worldcat.org/oclc/1858447","WorldCat Record")</f>
        <v/>
      </c>
      <c r="AU42" t="inlineStr">
        <is>
          <t>4413422746:eng</t>
        </is>
      </c>
      <c r="AV42" t="inlineStr">
        <is>
          <t>1858447</t>
        </is>
      </c>
      <c r="AW42" t="inlineStr">
        <is>
          <t>991001088229702656</t>
        </is>
      </c>
      <c r="AX42" t="inlineStr">
        <is>
          <t>991001088229702656</t>
        </is>
      </c>
      <c r="AY42" t="inlineStr">
        <is>
          <t>2266922600002656</t>
        </is>
      </c>
      <c r="AZ42" t="inlineStr">
        <is>
          <t>BOOK</t>
        </is>
      </c>
      <c r="BB42" t="inlineStr">
        <is>
          <t>9780443013300</t>
        </is>
      </c>
      <c r="BC42" t="inlineStr">
        <is>
          <t>30001000260788</t>
        </is>
      </c>
      <c r="BD42" t="inlineStr">
        <is>
          <t>893148857</t>
        </is>
      </c>
    </row>
    <row r="43">
      <c r="A43" t="inlineStr">
        <is>
          <t>No</t>
        </is>
      </c>
      <c r="B43" t="inlineStr">
        <is>
          <t>QZ 4 S995 1990 v.5</t>
        </is>
      </c>
      <c r="C43" t="inlineStr">
        <is>
          <t>0                      QZ 0004000S  995         1990                                        v.5</t>
        </is>
      </c>
      <c r="D43" t="inlineStr">
        <is>
          <t>The Lungs / edited by B. Corrin.</t>
        </is>
      </c>
      <c r="E43" t="inlineStr">
        <is>
          <t>V. 5</t>
        </is>
      </c>
      <c r="F43" t="inlineStr">
        <is>
          <t>No</t>
        </is>
      </c>
      <c r="G43" t="inlineStr">
        <is>
          <t>1</t>
        </is>
      </c>
      <c r="H43" t="inlineStr">
        <is>
          <t>No</t>
        </is>
      </c>
      <c r="I43" t="inlineStr">
        <is>
          <t>No</t>
        </is>
      </c>
      <c r="J43" t="inlineStr">
        <is>
          <t>0</t>
        </is>
      </c>
      <c r="L43" t="inlineStr">
        <is>
          <t>Edinburgh ; New York : Churchill Livingstone, c1990.</t>
        </is>
      </c>
      <c r="M43" t="inlineStr">
        <is>
          <t>1990</t>
        </is>
      </c>
      <c r="N43" t="inlineStr">
        <is>
          <t>3rd ed.</t>
        </is>
      </c>
      <c r="O43" t="inlineStr">
        <is>
          <t>eng</t>
        </is>
      </c>
      <c r="P43" t="inlineStr">
        <is>
          <t>stk</t>
        </is>
      </c>
      <c r="Q43" t="inlineStr">
        <is>
          <t>Systemic pathology ; v. 5</t>
        </is>
      </c>
      <c r="R43" t="inlineStr">
        <is>
          <t xml:space="preserve">QZ </t>
        </is>
      </c>
      <c r="S43" t="n">
        <v>3</v>
      </c>
      <c r="T43" t="n">
        <v>3</v>
      </c>
      <c r="U43" t="inlineStr">
        <is>
          <t>2000-10-10</t>
        </is>
      </c>
      <c r="V43" t="inlineStr">
        <is>
          <t>2000-10-10</t>
        </is>
      </c>
      <c r="W43" t="inlineStr">
        <is>
          <t>1992-05-29</t>
        </is>
      </c>
      <c r="X43" t="inlineStr">
        <is>
          <t>1992-05-29</t>
        </is>
      </c>
      <c r="Y43" t="n">
        <v>90</v>
      </c>
      <c r="Z43" t="n">
        <v>47</v>
      </c>
      <c r="AA43" t="n">
        <v>54</v>
      </c>
      <c r="AB43" t="n">
        <v>1</v>
      </c>
      <c r="AC43" t="n">
        <v>1</v>
      </c>
      <c r="AD43" t="n">
        <v>0</v>
      </c>
      <c r="AE43" t="n">
        <v>0</v>
      </c>
      <c r="AF43" t="n">
        <v>0</v>
      </c>
      <c r="AG43" t="n">
        <v>0</v>
      </c>
      <c r="AH43" t="n">
        <v>0</v>
      </c>
      <c r="AI43" t="n">
        <v>0</v>
      </c>
      <c r="AJ43" t="n">
        <v>0</v>
      </c>
      <c r="AK43" t="n">
        <v>0</v>
      </c>
      <c r="AL43" t="n">
        <v>0</v>
      </c>
      <c r="AM43" t="n">
        <v>0</v>
      </c>
      <c r="AN43" t="n">
        <v>0</v>
      </c>
      <c r="AO43" t="n">
        <v>0</v>
      </c>
      <c r="AP43" t="inlineStr">
        <is>
          <t>No</t>
        </is>
      </c>
      <c r="AQ43" t="inlineStr">
        <is>
          <t>Yes</t>
        </is>
      </c>
      <c r="AR43">
        <f>HYPERLINK("http://catalog.hathitrust.org/Record/002448111","HathiTrust Record")</f>
        <v/>
      </c>
      <c r="AS43">
        <f>HYPERLINK("https://creighton-primo.hosted.exlibrisgroup.com/primo-explore/search?tab=default_tab&amp;search_scope=EVERYTHING&amp;vid=01CRU&amp;lang=en_US&amp;offset=0&amp;query=any,contains,991001305209702656","Catalog Record")</f>
        <v/>
      </c>
      <c r="AT43">
        <f>HYPERLINK("http://www.worldcat.org/oclc/22005259","WorldCat Record")</f>
        <v/>
      </c>
      <c r="AU43" t="inlineStr">
        <is>
          <t>55359156:eng</t>
        </is>
      </c>
      <c r="AV43" t="inlineStr">
        <is>
          <t>22005259</t>
        </is>
      </c>
      <c r="AW43" t="inlineStr">
        <is>
          <t>991001305209702656</t>
        </is>
      </c>
      <c r="AX43" t="inlineStr">
        <is>
          <t>991001305209702656</t>
        </is>
      </c>
      <c r="AY43" t="inlineStr">
        <is>
          <t>2260380320002656</t>
        </is>
      </c>
      <c r="AZ43" t="inlineStr">
        <is>
          <t>BOOK</t>
        </is>
      </c>
      <c r="BB43" t="inlineStr">
        <is>
          <t>9780443030949</t>
        </is>
      </c>
      <c r="BC43" t="inlineStr">
        <is>
          <t>30001002413567</t>
        </is>
      </c>
      <c r="BD43" t="inlineStr">
        <is>
          <t>893557813</t>
        </is>
      </c>
    </row>
    <row r="44">
      <c r="A44" t="inlineStr">
        <is>
          <t>No</t>
        </is>
      </c>
      <c r="B44" t="inlineStr">
        <is>
          <t>QZ 4 S995 1991 v.6</t>
        </is>
      </c>
      <c r="C44" t="inlineStr">
        <is>
          <t>0                      QZ 0004000S  995         1991                                        v.6</t>
        </is>
      </c>
      <c r="D44" t="inlineStr">
        <is>
          <t>Female reproductive system / edited by M.C. Anderson.</t>
        </is>
      </c>
      <c r="E44" t="inlineStr">
        <is>
          <t>V. 6</t>
        </is>
      </c>
      <c r="F44" t="inlineStr">
        <is>
          <t>No</t>
        </is>
      </c>
      <c r="G44" t="inlineStr">
        <is>
          <t>1</t>
        </is>
      </c>
      <c r="H44" t="inlineStr">
        <is>
          <t>No</t>
        </is>
      </c>
      <c r="I44" t="inlineStr">
        <is>
          <t>No</t>
        </is>
      </c>
      <c r="J44" t="inlineStr">
        <is>
          <t>0</t>
        </is>
      </c>
      <c r="L44" t="inlineStr">
        <is>
          <t>Edinburgh ; New York : Churchill Livingstone, c1991.</t>
        </is>
      </c>
      <c r="M44" t="inlineStr">
        <is>
          <t>1991</t>
        </is>
      </c>
      <c r="N44" t="inlineStr">
        <is>
          <t>3rd ed.</t>
        </is>
      </c>
      <c r="O44" t="inlineStr">
        <is>
          <t>eng</t>
        </is>
      </c>
      <c r="P44" t="inlineStr">
        <is>
          <t>stk</t>
        </is>
      </c>
      <c r="Q44" t="inlineStr">
        <is>
          <t>Systemic pathology ; v. 6</t>
        </is>
      </c>
      <c r="R44" t="inlineStr">
        <is>
          <t xml:space="preserve">QZ </t>
        </is>
      </c>
      <c r="S44" t="n">
        <v>6</v>
      </c>
      <c r="T44" t="n">
        <v>6</v>
      </c>
      <c r="U44" t="inlineStr">
        <is>
          <t>1994-07-11</t>
        </is>
      </c>
      <c r="V44" t="inlineStr">
        <is>
          <t>1994-07-11</t>
        </is>
      </c>
      <c r="W44" t="inlineStr">
        <is>
          <t>1991-11-27</t>
        </is>
      </c>
      <c r="X44" t="inlineStr">
        <is>
          <t>1991-11-27</t>
        </is>
      </c>
      <c r="Y44" t="n">
        <v>85</v>
      </c>
      <c r="Z44" t="n">
        <v>46</v>
      </c>
      <c r="AA44" t="n">
        <v>50</v>
      </c>
      <c r="AB44" t="n">
        <v>1</v>
      </c>
      <c r="AC44" t="n">
        <v>1</v>
      </c>
      <c r="AD44" t="n">
        <v>0</v>
      </c>
      <c r="AE44" t="n">
        <v>0</v>
      </c>
      <c r="AF44" t="n">
        <v>0</v>
      </c>
      <c r="AG44" t="n">
        <v>0</v>
      </c>
      <c r="AH44" t="n">
        <v>0</v>
      </c>
      <c r="AI44" t="n">
        <v>0</v>
      </c>
      <c r="AJ44" t="n">
        <v>0</v>
      </c>
      <c r="AK44" t="n">
        <v>0</v>
      </c>
      <c r="AL44" t="n">
        <v>0</v>
      </c>
      <c r="AM44" t="n">
        <v>0</v>
      </c>
      <c r="AN44" t="n">
        <v>0</v>
      </c>
      <c r="AO44" t="n">
        <v>0</v>
      </c>
      <c r="AP44" t="inlineStr">
        <is>
          <t>No</t>
        </is>
      </c>
      <c r="AQ44" t="inlineStr">
        <is>
          <t>Yes</t>
        </is>
      </c>
      <c r="AR44">
        <f>HYPERLINK("http://catalog.hathitrust.org/Record/002443237","HathiTrust Record")</f>
        <v/>
      </c>
      <c r="AS44">
        <f>HYPERLINK("https://creighton-primo.hosted.exlibrisgroup.com/primo-explore/search?tab=default_tab&amp;search_scope=EVERYTHING&amp;vid=01CRU&amp;lang=en_US&amp;offset=0&amp;query=any,contains,991001024019702656","Catalog Record")</f>
        <v/>
      </c>
      <c r="AT44">
        <f>HYPERLINK("http://www.worldcat.org/oclc/21972305","WorldCat Record")</f>
        <v/>
      </c>
      <c r="AU44" t="inlineStr">
        <is>
          <t>55358628:eng</t>
        </is>
      </c>
      <c r="AV44" t="inlineStr">
        <is>
          <t>21972305</t>
        </is>
      </c>
      <c r="AW44" t="inlineStr">
        <is>
          <t>991001024019702656</t>
        </is>
      </c>
      <c r="AX44" t="inlineStr">
        <is>
          <t>991001024019702656</t>
        </is>
      </c>
      <c r="AY44" t="inlineStr">
        <is>
          <t>2268393530002656</t>
        </is>
      </c>
      <c r="AZ44" t="inlineStr">
        <is>
          <t>BOOK</t>
        </is>
      </c>
      <c r="BB44" t="inlineStr">
        <is>
          <t>9780443037221</t>
        </is>
      </c>
      <c r="BC44" t="inlineStr">
        <is>
          <t>30001002242354</t>
        </is>
      </c>
      <c r="BD44" t="inlineStr">
        <is>
          <t>893632669</t>
        </is>
      </c>
    </row>
    <row r="45">
      <c r="A45" t="inlineStr">
        <is>
          <t>No</t>
        </is>
      </c>
      <c r="B45" t="inlineStr">
        <is>
          <t>QZ 4 U58c</t>
        </is>
      </c>
      <c r="C45" t="inlineStr">
        <is>
          <t>0                      QZ 0004000U  58c</t>
        </is>
      </c>
      <c r="D45" t="inlineStr">
        <is>
          <t>Color atlas of pathology / [comp. by Charles F. Geschickter et al.]</t>
        </is>
      </c>
      <c r="E45" t="inlineStr">
        <is>
          <t>V. 2</t>
        </is>
      </c>
      <c r="F45" t="inlineStr">
        <is>
          <t>Yes</t>
        </is>
      </c>
      <c r="G45" t="inlineStr">
        <is>
          <t>1</t>
        </is>
      </c>
      <c r="H45" t="inlineStr">
        <is>
          <t>No</t>
        </is>
      </c>
      <c r="I45" t="inlineStr">
        <is>
          <t>No</t>
        </is>
      </c>
      <c r="J45" t="inlineStr">
        <is>
          <t>0</t>
        </is>
      </c>
      <c r="L45" t="inlineStr">
        <is>
          <t>Philadelphia : Lippincott, [1950-63]</t>
        </is>
      </c>
      <c r="M45" t="inlineStr">
        <is>
          <t>1950</t>
        </is>
      </c>
      <c r="O45" t="inlineStr">
        <is>
          <t>eng</t>
        </is>
      </c>
      <c r="P45" t="inlineStr">
        <is>
          <t xml:space="preserve">xx </t>
        </is>
      </c>
      <c r="R45" t="inlineStr">
        <is>
          <t xml:space="preserve">QZ </t>
        </is>
      </c>
      <c r="S45" t="n">
        <v>7</v>
      </c>
      <c r="T45" t="n">
        <v>22</v>
      </c>
      <c r="U45" t="inlineStr">
        <is>
          <t>1994-03-23</t>
        </is>
      </c>
      <c r="V45" t="inlineStr">
        <is>
          <t>1994-03-23</t>
        </is>
      </c>
      <c r="W45" t="inlineStr">
        <is>
          <t>1989-05-10</t>
        </is>
      </c>
      <c r="X45" t="inlineStr">
        <is>
          <t>1989-05-10</t>
        </is>
      </c>
      <c r="Y45" t="n">
        <v>261</v>
      </c>
      <c r="Z45" t="n">
        <v>228</v>
      </c>
      <c r="AA45" t="n">
        <v>247</v>
      </c>
      <c r="AB45" t="n">
        <v>2</v>
      </c>
      <c r="AC45" t="n">
        <v>2</v>
      </c>
      <c r="AD45" t="n">
        <v>7</v>
      </c>
      <c r="AE45" t="n">
        <v>7</v>
      </c>
      <c r="AF45" t="n">
        <v>3</v>
      </c>
      <c r="AG45" t="n">
        <v>3</v>
      </c>
      <c r="AH45" t="n">
        <v>2</v>
      </c>
      <c r="AI45" t="n">
        <v>2</v>
      </c>
      <c r="AJ45" t="n">
        <v>3</v>
      </c>
      <c r="AK45" t="n">
        <v>3</v>
      </c>
      <c r="AL45" t="n">
        <v>1</v>
      </c>
      <c r="AM45" t="n">
        <v>1</v>
      </c>
      <c r="AN45" t="n">
        <v>0</v>
      </c>
      <c r="AO45" t="n">
        <v>0</v>
      </c>
      <c r="AP45" t="inlineStr">
        <is>
          <t>Yes</t>
        </is>
      </c>
      <c r="AQ45" t="inlineStr">
        <is>
          <t>Yes</t>
        </is>
      </c>
      <c r="AR45">
        <f>HYPERLINK("http://catalog.hathitrust.org/Record/009422567","HathiTrust Record")</f>
        <v/>
      </c>
      <c r="AS45">
        <f>HYPERLINK("https://creighton-primo.hosted.exlibrisgroup.com/primo-explore/search?tab=default_tab&amp;search_scope=EVERYTHING&amp;vid=01CRU&amp;lang=en_US&amp;offset=0&amp;query=any,contains,991001088309702656","Catalog Record")</f>
        <v/>
      </c>
      <c r="AT45">
        <f>HYPERLINK("http://www.worldcat.org/oclc/14662372","WorldCat Record")</f>
        <v/>
      </c>
      <c r="AU45" t="inlineStr">
        <is>
          <t>356182306:eng</t>
        </is>
      </c>
      <c r="AV45" t="inlineStr">
        <is>
          <t>14662372</t>
        </is>
      </c>
      <c r="AW45" t="inlineStr">
        <is>
          <t>991001088309702656</t>
        </is>
      </c>
      <c r="AX45" t="inlineStr">
        <is>
          <t>991001088309702656</t>
        </is>
      </c>
      <c r="AY45" t="inlineStr">
        <is>
          <t>2257866910002656</t>
        </is>
      </c>
      <c r="AZ45" t="inlineStr">
        <is>
          <t>BOOK</t>
        </is>
      </c>
      <c r="BC45" t="inlineStr">
        <is>
          <t>30001001725029</t>
        </is>
      </c>
      <c r="BD45" t="inlineStr">
        <is>
          <t>893831898</t>
        </is>
      </c>
    </row>
    <row r="46">
      <c r="A46" t="inlineStr">
        <is>
          <t>No</t>
        </is>
      </c>
      <c r="B46" t="inlineStr">
        <is>
          <t>QZ 4 U58c</t>
        </is>
      </c>
      <c r="C46" t="inlineStr">
        <is>
          <t>0                      QZ 0004000U  58c</t>
        </is>
      </c>
      <c r="D46" t="inlineStr">
        <is>
          <t>Color atlas of pathology / [comp. by Charles F. Geschickter et al.]</t>
        </is>
      </c>
      <c r="E46" t="inlineStr">
        <is>
          <t>V. 3</t>
        </is>
      </c>
      <c r="F46" t="inlineStr">
        <is>
          <t>Yes</t>
        </is>
      </c>
      <c r="G46" t="inlineStr">
        <is>
          <t>1</t>
        </is>
      </c>
      <c r="H46" t="inlineStr">
        <is>
          <t>No</t>
        </is>
      </c>
      <c r="I46" t="inlineStr">
        <is>
          <t>No</t>
        </is>
      </c>
      <c r="J46" t="inlineStr">
        <is>
          <t>0</t>
        </is>
      </c>
      <c r="L46" t="inlineStr">
        <is>
          <t>Philadelphia : Lippincott, [1950-63]</t>
        </is>
      </c>
      <c r="M46" t="inlineStr">
        <is>
          <t>1950</t>
        </is>
      </c>
      <c r="O46" t="inlineStr">
        <is>
          <t>eng</t>
        </is>
      </c>
      <c r="P46" t="inlineStr">
        <is>
          <t xml:space="preserve">xx </t>
        </is>
      </c>
      <c r="R46" t="inlineStr">
        <is>
          <t xml:space="preserve">QZ </t>
        </is>
      </c>
      <c r="S46" t="n">
        <v>6</v>
      </c>
      <c r="T46" t="n">
        <v>22</v>
      </c>
      <c r="U46" t="inlineStr">
        <is>
          <t>1994-01-25</t>
        </is>
      </c>
      <c r="V46" t="inlineStr">
        <is>
          <t>1994-03-23</t>
        </is>
      </c>
      <c r="W46" t="inlineStr">
        <is>
          <t>1989-05-10</t>
        </is>
      </c>
      <c r="X46" t="inlineStr">
        <is>
          <t>1989-05-10</t>
        </is>
      </c>
      <c r="Y46" t="n">
        <v>261</v>
      </c>
      <c r="Z46" t="n">
        <v>228</v>
      </c>
      <c r="AA46" t="n">
        <v>247</v>
      </c>
      <c r="AB46" t="n">
        <v>2</v>
      </c>
      <c r="AC46" t="n">
        <v>2</v>
      </c>
      <c r="AD46" t="n">
        <v>7</v>
      </c>
      <c r="AE46" t="n">
        <v>7</v>
      </c>
      <c r="AF46" t="n">
        <v>3</v>
      </c>
      <c r="AG46" t="n">
        <v>3</v>
      </c>
      <c r="AH46" t="n">
        <v>2</v>
      </c>
      <c r="AI46" t="n">
        <v>2</v>
      </c>
      <c r="AJ46" t="n">
        <v>3</v>
      </c>
      <c r="AK46" t="n">
        <v>3</v>
      </c>
      <c r="AL46" t="n">
        <v>1</v>
      </c>
      <c r="AM46" t="n">
        <v>1</v>
      </c>
      <c r="AN46" t="n">
        <v>0</v>
      </c>
      <c r="AO46" t="n">
        <v>0</v>
      </c>
      <c r="AP46" t="inlineStr">
        <is>
          <t>Yes</t>
        </is>
      </c>
      <c r="AQ46" t="inlineStr">
        <is>
          <t>Yes</t>
        </is>
      </c>
      <c r="AR46">
        <f>HYPERLINK("http://catalog.hathitrust.org/Record/009422567","HathiTrust Record")</f>
        <v/>
      </c>
      <c r="AS46">
        <f>HYPERLINK("https://creighton-primo.hosted.exlibrisgroup.com/primo-explore/search?tab=default_tab&amp;search_scope=EVERYTHING&amp;vid=01CRU&amp;lang=en_US&amp;offset=0&amp;query=any,contains,991001088309702656","Catalog Record")</f>
        <v/>
      </c>
      <c r="AT46">
        <f>HYPERLINK("http://www.worldcat.org/oclc/14662372","WorldCat Record")</f>
        <v/>
      </c>
      <c r="AU46" t="inlineStr">
        <is>
          <t>356182306:eng</t>
        </is>
      </c>
      <c r="AV46" t="inlineStr">
        <is>
          <t>14662372</t>
        </is>
      </c>
      <c r="AW46" t="inlineStr">
        <is>
          <t>991001088309702656</t>
        </is>
      </c>
      <c r="AX46" t="inlineStr">
        <is>
          <t>991001088309702656</t>
        </is>
      </c>
      <c r="AY46" t="inlineStr">
        <is>
          <t>2257866910002656</t>
        </is>
      </c>
      <c r="AZ46" t="inlineStr">
        <is>
          <t>BOOK</t>
        </is>
      </c>
      <c r="BC46" t="inlineStr">
        <is>
          <t>30001001725045</t>
        </is>
      </c>
      <c r="BD46" t="inlineStr">
        <is>
          <t>893826435</t>
        </is>
      </c>
    </row>
    <row r="47">
      <c r="A47" t="inlineStr">
        <is>
          <t>No</t>
        </is>
      </c>
      <c r="B47" t="inlineStr">
        <is>
          <t>QZ 4 U58c</t>
        </is>
      </c>
      <c r="C47" t="inlineStr">
        <is>
          <t>0                      QZ 0004000U  58c</t>
        </is>
      </c>
      <c r="D47" t="inlineStr">
        <is>
          <t>Color atlas of pathology / [comp. by Charles F. Geschickter et al.]</t>
        </is>
      </c>
      <c r="E47" t="inlineStr">
        <is>
          <t>V. 1</t>
        </is>
      </c>
      <c r="F47" t="inlineStr">
        <is>
          <t>Yes</t>
        </is>
      </c>
      <c r="G47" t="inlineStr">
        <is>
          <t>1</t>
        </is>
      </c>
      <c r="H47" t="inlineStr">
        <is>
          <t>No</t>
        </is>
      </c>
      <c r="I47" t="inlineStr">
        <is>
          <t>No</t>
        </is>
      </c>
      <c r="J47" t="inlineStr">
        <is>
          <t>0</t>
        </is>
      </c>
      <c r="L47" t="inlineStr">
        <is>
          <t>Philadelphia : Lippincott, [1950-63]</t>
        </is>
      </c>
      <c r="M47" t="inlineStr">
        <is>
          <t>1950</t>
        </is>
      </c>
      <c r="O47" t="inlineStr">
        <is>
          <t>eng</t>
        </is>
      </c>
      <c r="P47" t="inlineStr">
        <is>
          <t xml:space="preserve">xx </t>
        </is>
      </c>
      <c r="R47" t="inlineStr">
        <is>
          <t xml:space="preserve">QZ </t>
        </is>
      </c>
      <c r="S47" t="n">
        <v>9</v>
      </c>
      <c r="T47" t="n">
        <v>22</v>
      </c>
      <c r="U47" t="inlineStr">
        <is>
          <t>1992-10-29</t>
        </is>
      </c>
      <c r="V47" t="inlineStr">
        <is>
          <t>1994-03-23</t>
        </is>
      </c>
      <c r="W47" t="inlineStr">
        <is>
          <t>1988-03-29</t>
        </is>
      </c>
      <c r="X47" t="inlineStr">
        <is>
          <t>1989-05-10</t>
        </is>
      </c>
      <c r="Y47" t="n">
        <v>261</v>
      </c>
      <c r="Z47" t="n">
        <v>228</v>
      </c>
      <c r="AA47" t="n">
        <v>247</v>
      </c>
      <c r="AB47" t="n">
        <v>2</v>
      </c>
      <c r="AC47" t="n">
        <v>2</v>
      </c>
      <c r="AD47" t="n">
        <v>7</v>
      </c>
      <c r="AE47" t="n">
        <v>7</v>
      </c>
      <c r="AF47" t="n">
        <v>3</v>
      </c>
      <c r="AG47" t="n">
        <v>3</v>
      </c>
      <c r="AH47" t="n">
        <v>2</v>
      </c>
      <c r="AI47" t="n">
        <v>2</v>
      </c>
      <c r="AJ47" t="n">
        <v>3</v>
      </c>
      <c r="AK47" t="n">
        <v>3</v>
      </c>
      <c r="AL47" t="n">
        <v>1</v>
      </c>
      <c r="AM47" t="n">
        <v>1</v>
      </c>
      <c r="AN47" t="n">
        <v>0</v>
      </c>
      <c r="AO47" t="n">
        <v>0</v>
      </c>
      <c r="AP47" t="inlineStr">
        <is>
          <t>Yes</t>
        </is>
      </c>
      <c r="AQ47" t="inlineStr">
        <is>
          <t>Yes</t>
        </is>
      </c>
      <c r="AR47">
        <f>HYPERLINK("http://catalog.hathitrust.org/Record/009422567","HathiTrust Record")</f>
        <v/>
      </c>
      <c r="AS47">
        <f>HYPERLINK("https://creighton-primo.hosted.exlibrisgroup.com/primo-explore/search?tab=default_tab&amp;search_scope=EVERYTHING&amp;vid=01CRU&amp;lang=en_US&amp;offset=0&amp;query=any,contains,991001088309702656","Catalog Record")</f>
        <v/>
      </c>
      <c r="AT47">
        <f>HYPERLINK("http://www.worldcat.org/oclc/14662372","WorldCat Record")</f>
        <v/>
      </c>
      <c r="AU47" t="inlineStr">
        <is>
          <t>356182306:eng</t>
        </is>
      </c>
      <c r="AV47" t="inlineStr">
        <is>
          <t>14662372</t>
        </is>
      </c>
      <c r="AW47" t="inlineStr">
        <is>
          <t>991001088309702656</t>
        </is>
      </c>
      <c r="AX47" t="inlineStr">
        <is>
          <t>991001088309702656</t>
        </is>
      </c>
      <c r="AY47" t="inlineStr">
        <is>
          <t>2257866910002656</t>
        </is>
      </c>
      <c r="AZ47" t="inlineStr">
        <is>
          <t>BOOK</t>
        </is>
      </c>
      <c r="BC47" t="inlineStr">
        <is>
          <t>30001000260861</t>
        </is>
      </c>
      <c r="BD47" t="inlineStr">
        <is>
          <t>893816082</t>
        </is>
      </c>
    </row>
    <row r="48">
      <c r="A48" t="inlineStr">
        <is>
          <t>No</t>
        </is>
      </c>
      <c r="B48" t="inlineStr">
        <is>
          <t>QZ 4 W232i 1992</t>
        </is>
      </c>
      <c r="C48" t="inlineStr">
        <is>
          <t>0                      QZ 0004000W  232i        1992</t>
        </is>
      </c>
      <c r="D48" t="inlineStr">
        <is>
          <t>An introduction to the principles of disease / John B. Walter.</t>
        </is>
      </c>
      <c r="F48" t="inlineStr">
        <is>
          <t>No</t>
        </is>
      </c>
      <c r="G48" t="inlineStr">
        <is>
          <t>1</t>
        </is>
      </c>
      <c r="H48" t="inlineStr">
        <is>
          <t>No</t>
        </is>
      </c>
      <c r="I48" t="inlineStr">
        <is>
          <t>No</t>
        </is>
      </c>
      <c r="J48" t="inlineStr">
        <is>
          <t>0</t>
        </is>
      </c>
      <c r="K48" t="inlineStr">
        <is>
          <t>Walter, J. B. (John Brian)</t>
        </is>
      </c>
      <c r="L48" t="inlineStr">
        <is>
          <t>Philadelphia : Saunders, c1992.</t>
        </is>
      </c>
      <c r="M48" t="inlineStr">
        <is>
          <t>1992</t>
        </is>
      </c>
      <c r="N48" t="inlineStr">
        <is>
          <t>3rd ed.</t>
        </is>
      </c>
      <c r="O48" t="inlineStr">
        <is>
          <t>eng</t>
        </is>
      </c>
      <c r="P48" t="inlineStr">
        <is>
          <t>pau</t>
        </is>
      </c>
      <c r="R48" t="inlineStr">
        <is>
          <t xml:space="preserve">QZ </t>
        </is>
      </c>
      <c r="S48" t="n">
        <v>4</v>
      </c>
      <c r="T48" t="n">
        <v>4</v>
      </c>
      <c r="U48" t="inlineStr">
        <is>
          <t>2003-04-25</t>
        </is>
      </c>
      <c r="V48" t="inlineStr">
        <is>
          <t>2003-04-25</t>
        </is>
      </c>
      <c r="W48" t="inlineStr">
        <is>
          <t>1999-04-27</t>
        </is>
      </c>
      <c r="X48" t="inlineStr">
        <is>
          <t>1999-04-27</t>
        </is>
      </c>
      <c r="Y48" t="n">
        <v>205</v>
      </c>
      <c r="Z48" t="n">
        <v>147</v>
      </c>
      <c r="AA48" t="n">
        <v>388</v>
      </c>
      <c r="AB48" t="n">
        <v>2</v>
      </c>
      <c r="AC48" t="n">
        <v>2</v>
      </c>
      <c r="AD48" t="n">
        <v>2</v>
      </c>
      <c r="AE48" t="n">
        <v>13</v>
      </c>
      <c r="AF48" t="n">
        <v>1</v>
      </c>
      <c r="AG48" t="n">
        <v>5</v>
      </c>
      <c r="AH48" t="n">
        <v>0</v>
      </c>
      <c r="AI48" t="n">
        <v>5</v>
      </c>
      <c r="AJ48" t="n">
        <v>1</v>
      </c>
      <c r="AK48" t="n">
        <v>6</v>
      </c>
      <c r="AL48" t="n">
        <v>0</v>
      </c>
      <c r="AM48" t="n">
        <v>0</v>
      </c>
      <c r="AN48" t="n">
        <v>0</v>
      </c>
      <c r="AO48" t="n">
        <v>0</v>
      </c>
      <c r="AP48" t="inlineStr">
        <is>
          <t>No</t>
        </is>
      </c>
      <c r="AQ48" t="inlineStr">
        <is>
          <t>Yes</t>
        </is>
      </c>
      <c r="AR48">
        <f>HYPERLINK("http://catalog.hathitrust.org/Record/002600254","HathiTrust Record")</f>
        <v/>
      </c>
      <c r="AS48">
        <f>HYPERLINK("https://creighton-primo.hosted.exlibrisgroup.com/primo-explore/search?tab=default_tab&amp;search_scope=EVERYTHING&amp;vid=01CRU&amp;lang=en_US&amp;offset=0&amp;query=any,contains,991001561989702656","Catalog Record")</f>
        <v/>
      </c>
      <c r="AT48">
        <f>HYPERLINK("http://www.worldcat.org/oclc/23868172","WorldCat Record")</f>
        <v/>
      </c>
      <c r="AU48" t="inlineStr">
        <is>
          <t>6166871:eng</t>
        </is>
      </c>
      <c r="AV48" t="inlineStr">
        <is>
          <t>23868172</t>
        </is>
      </c>
      <c r="AW48" t="inlineStr">
        <is>
          <t>991001561989702656</t>
        </is>
      </c>
      <c r="AX48" t="inlineStr">
        <is>
          <t>991001561989702656</t>
        </is>
      </c>
      <c r="AY48" t="inlineStr">
        <is>
          <t>2269194760002656</t>
        </is>
      </c>
      <c r="AZ48" t="inlineStr">
        <is>
          <t>BOOK</t>
        </is>
      </c>
      <c r="BB48" t="inlineStr">
        <is>
          <t>9780721690827</t>
        </is>
      </c>
      <c r="BC48" t="inlineStr">
        <is>
          <t>30001004071843</t>
        </is>
      </c>
      <c r="BD48" t="inlineStr">
        <is>
          <t>893736712</t>
        </is>
      </c>
    </row>
    <row r="49">
      <c r="A49" t="inlineStr">
        <is>
          <t>No</t>
        </is>
      </c>
      <c r="B49" t="inlineStr">
        <is>
          <t>QZ 4 W454c 1918</t>
        </is>
      </c>
      <c r="C49" t="inlineStr">
        <is>
          <t>0                      QZ 0004000W  454c        1918</t>
        </is>
      </c>
      <c r="D49" t="inlineStr">
        <is>
          <t>Chemical pathology : being a discussion of general pathology from the standpoint of the chemical processes involved / Harry Gideon Wells.</t>
        </is>
      </c>
      <c r="F49" t="inlineStr">
        <is>
          <t>No</t>
        </is>
      </c>
      <c r="G49" t="inlineStr">
        <is>
          <t>1</t>
        </is>
      </c>
      <c r="H49" t="inlineStr">
        <is>
          <t>No</t>
        </is>
      </c>
      <c r="I49" t="inlineStr">
        <is>
          <t>No</t>
        </is>
      </c>
      <c r="J49" t="inlineStr">
        <is>
          <t>0</t>
        </is>
      </c>
      <c r="K49" t="inlineStr">
        <is>
          <t>Wells, H. Gideon (Harry Gideon), 1875-1943.</t>
        </is>
      </c>
      <c r="L49" t="inlineStr">
        <is>
          <t>Philadelphia : Saunders, c1918.</t>
        </is>
      </c>
      <c r="M49" t="inlineStr">
        <is>
          <t>1918</t>
        </is>
      </c>
      <c r="N49" t="inlineStr">
        <is>
          <t>3rd ed., rev. and reset.</t>
        </is>
      </c>
      <c r="O49" t="inlineStr">
        <is>
          <t>eng</t>
        </is>
      </c>
      <c r="P49" t="inlineStr">
        <is>
          <t xml:space="preserve">xx </t>
        </is>
      </c>
      <c r="R49" t="inlineStr">
        <is>
          <t xml:space="preserve">QZ </t>
        </is>
      </c>
      <c r="S49" t="n">
        <v>1</v>
      </c>
      <c r="T49" t="n">
        <v>1</v>
      </c>
      <c r="U49" t="inlineStr">
        <is>
          <t>1991-11-21</t>
        </is>
      </c>
      <c r="V49" t="inlineStr">
        <is>
          <t>1991-11-21</t>
        </is>
      </c>
      <c r="W49" t="inlineStr">
        <is>
          <t>1991-11-21</t>
        </is>
      </c>
      <c r="X49" t="inlineStr">
        <is>
          <t>1991-11-21</t>
        </is>
      </c>
      <c r="Y49" t="n">
        <v>36</v>
      </c>
      <c r="Z49" t="n">
        <v>29</v>
      </c>
      <c r="AA49" t="n">
        <v>141</v>
      </c>
      <c r="AB49" t="n">
        <v>1</v>
      </c>
      <c r="AC49" t="n">
        <v>3</v>
      </c>
      <c r="AD49" t="n">
        <v>0</v>
      </c>
      <c r="AE49" t="n">
        <v>7</v>
      </c>
      <c r="AF49" t="n">
        <v>0</v>
      </c>
      <c r="AG49" t="n">
        <v>0</v>
      </c>
      <c r="AH49" t="n">
        <v>0</v>
      </c>
      <c r="AI49" t="n">
        <v>2</v>
      </c>
      <c r="AJ49" t="n">
        <v>0</v>
      </c>
      <c r="AK49" t="n">
        <v>3</v>
      </c>
      <c r="AL49" t="n">
        <v>0</v>
      </c>
      <c r="AM49" t="n">
        <v>2</v>
      </c>
      <c r="AN49" t="n">
        <v>0</v>
      </c>
      <c r="AO49" t="n">
        <v>0</v>
      </c>
      <c r="AP49" t="inlineStr">
        <is>
          <t>Yes</t>
        </is>
      </c>
      <c r="AQ49" t="inlineStr">
        <is>
          <t>No</t>
        </is>
      </c>
      <c r="AR49">
        <f>HYPERLINK("http://catalog.hathitrust.org/Record/011716253","HathiTrust Record")</f>
        <v/>
      </c>
      <c r="AS49">
        <f>HYPERLINK("https://creighton-primo.hosted.exlibrisgroup.com/primo-explore/search?tab=default_tab&amp;search_scope=EVERYTHING&amp;vid=01CRU&amp;lang=en_US&amp;offset=0&amp;query=any,contains,991001153549702656","Catalog Record")</f>
        <v/>
      </c>
      <c r="AT49">
        <f>HYPERLINK("http://www.worldcat.org/oclc/14811021","WorldCat Record")</f>
        <v/>
      </c>
      <c r="AU49" t="inlineStr">
        <is>
          <t>316654634:eng</t>
        </is>
      </c>
      <c r="AV49" t="inlineStr">
        <is>
          <t>14811021</t>
        </is>
      </c>
      <c r="AW49" t="inlineStr">
        <is>
          <t>991001153549702656</t>
        </is>
      </c>
      <c r="AX49" t="inlineStr">
        <is>
          <t>991001153549702656</t>
        </is>
      </c>
      <c r="AY49" t="inlineStr">
        <is>
          <t>2255743490002656</t>
        </is>
      </c>
      <c r="AZ49" t="inlineStr">
        <is>
          <t>BOOK</t>
        </is>
      </c>
      <c r="BC49" t="inlineStr">
        <is>
          <t>30001002301606</t>
        </is>
      </c>
      <c r="BD49" t="inlineStr">
        <is>
          <t>893834577</t>
        </is>
      </c>
    </row>
    <row r="50">
      <c r="A50" t="inlineStr">
        <is>
          <t>No</t>
        </is>
      </c>
      <c r="B50" t="inlineStr">
        <is>
          <t>QZ 9 R295 1953</t>
        </is>
      </c>
      <c r="C50" t="inlineStr">
        <is>
          <t>0                      QZ 0009000R  295         1953</t>
        </is>
      </c>
      <c r="D50" t="inlineStr">
        <is>
          <t>Recent advances in pathology / by various authors. Ed. by Geoffrey Hadfield ; with 86 illustrations.</t>
        </is>
      </c>
      <c r="F50" t="inlineStr">
        <is>
          <t>No</t>
        </is>
      </c>
      <c r="G50" t="inlineStr">
        <is>
          <t>1</t>
        </is>
      </c>
      <c r="H50" t="inlineStr">
        <is>
          <t>No</t>
        </is>
      </c>
      <c r="I50" t="inlineStr">
        <is>
          <t>No</t>
        </is>
      </c>
      <c r="J50" t="inlineStr">
        <is>
          <t>0</t>
        </is>
      </c>
      <c r="K50" t="inlineStr">
        <is>
          <t>Hadfield, G. J. (Geoffrey John), editor.</t>
        </is>
      </c>
      <c r="L50" t="inlineStr">
        <is>
          <t>New York : Blakiston, 1953.</t>
        </is>
      </c>
      <c r="M50" t="inlineStr">
        <is>
          <t>1953</t>
        </is>
      </c>
      <c r="N50" t="inlineStr">
        <is>
          <t>-- 6th ed. --</t>
        </is>
      </c>
      <c r="O50" t="inlineStr">
        <is>
          <t>eng</t>
        </is>
      </c>
      <c r="P50" t="inlineStr">
        <is>
          <t xml:space="preserve">xx </t>
        </is>
      </c>
      <c r="R50" t="inlineStr">
        <is>
          <t xml:space="preserve">QZ </t>
        </is>
      </c>
      <c r="S50" t="n">
        <v>2</v>
      </c>
      <c r="T50" t="n">
        <v>2</v>
      </c>
      <c r="U50" t="inlineStr">
        <is>
          <t>2007-02-21</t>
        </is>
      </c>
      <c r="V50" t="inlineStr">
        <is>
          <t>2007-02-21</t>
        </is>
      </c>
      <c r="W50" t="inlineStr">
        <is>
          <t>1988-02-12</t>
        </is>
      </c>
      <c r="X50" t="inlineStr">
        <is>
          <t>1988-02-12</t>
        </is>
      </c>
      <c r="Y50" t="n">
        <v>24</v>
      </c>
      <c r="Z50" t="n">
        <v>19</v>
      </c>
      <c r="AA50" t="n">
        <v>87</v>
      </c>
      <c r="AB50" t="n">
        <v>1</v>
      </c>
      <c r="AC50" t="n">
        <v>1</v>
      </c>
      <c r="AD50" t="n">
        <v>0</v>
      </c>
      <c r="AE50" t="n">
        <v>2</v>
      </c>
      <c r="AF50" t="n">
        <v>0</v>
      </c>
      <c r="AG50" t="n">
        <v>1</v>
      </c>
      <c r="AH50" t="n">
        <v>0</v>
      </c>
      <c r="AI50" t="n">
        <v>1</v>
      </c>
      <c r="AJ50" t="n">
        <v>0</v>
      </c>
      <c r="AK50" t="n">
        <v>1</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HYPERLINK("https://creighton-primo.hosted.exlibrisgroup.com/primo-explore/search?tab=default_tab&amp;search_scope=EVERYTHING&amp;vid=01CRU&amp;lang=en_US&amp;offset=0&amp;query=any,contains,991001088459702656","Catalog Record")</f>
        <v/>
      </c>
      <c r="AT50">
        <f>HYPERLINK("http://www.worldcat.org/oclc/2686692","WorldCat Record")</f>
        <v/>
      </c>
      <c r="AU50" t="inlineStr">
        <is>
          <t>4918683686:eng</t>
        </is>
      </c>
      <c r="AV50" t="inlineStr">
        <is>
          <t>2686692</t>
        </is>
      </c>
      <c r="AW50" t="inlineStr">
        <is>
          <t>991001088459702656</t>
        </is>
      </c>
      <c r="AX50" t="inlineStr">
        <is>
          <t>991001088459702656</t>
        </is>
      </c>
      <c r="AY50" t="inlineStr">
        <is>
          <t>2261615920002656</t>
        </is>
      </c>
      <c r="AZ50" t="inlineStr">
        <is>
          <t>BOOK</t>
        </is>
      </c>
      <c r="BC50" t="inlineStr">
        <is>
          <t>30001000260952</t>
        </is>
      </c>
      <c r="BD50" t="inlineStr">
        <is>
          <t>893455469</t>
        </is>
      </c>
    </row>
    <row r="51">
      <c r="A51" t="inlineStr">
        <is>
          <t>No</t>
        </is>
      </c>
      <c r="B51" t="inlineStr">
        <is>
          <t>QZ 11 AA1 P3d 1987</t>
        </is>
      </c>
      <c r="C51" t="inlineStr">
        <is>
          <t>0                      QZ 0011000AA 1                  P  3d          1987</t>
        </is>
      </c>
      <c r="D51" t="inlineStr">
        <is>
          <t>The dread disease : cancer and modern American culture / James T. Patterson.</t>
        </is>
      </c>
      <c r="F51" t="inlineStr">
        <is>
          <t>No</t>
        </is>
      </c>
      <c r="G51" t="inlineStr">
        <is>
          <t>1</t>
        </is>
      </c>
      <c r="H51" t="inlineStr">
        <is>
          <t>No</t>
        </is>
      </c>
      <c r="I51" t="inlineStr">
        <is>
          <t>No</t>
        </is>
      </c>
      <c r="J51" t="inlineStr">
        <is>
          <t>1</t>
        </is>
      </c>
      <c r="K51" t="inlineStr">
        <is>
          <t>Patterson, James T.</t>
        </is>
      </c>
      <c r="L51" t="inlineStr">
        <is>
          <t>Cambridge, Mass. : Harvard University Press, c1987.</t>
        </is>
      </c>
      <c r="M51" t="inlineStr">
        <is>
          <t>1987</t>
        </is>
      </c>
      <c r="O51" t="inlineStr">
        <is>
          <t>eng</t>
        </is>
      </c>
      <c r="P51" t="inlineStr">
        <is>
          <t>xxu</t>
        </is>
      </c>
      <c r="R51" t="inlineStr">
        <is>
          <t xml:space="preserve">QZ </t>
        </is>
      </c>
      <c r="S51" t="n">
        <v>2</v>
      </c>
      <c r="T51" t="n">
        <v>2</v>
      </c>
      <c r="U51" t="inlineStr">
        <is>
          <t>2005-08-19</t>
        </is>
      </c>
      <c r="V51" t="inlineStr">
        <is>
          <t>2005-08-19</t>
        </is>
      </c>
      <c r="W51" t="inlineStr">
        <is>
          <t>1988-04-15</t>
        </is>
      </c>
      <c r="X51" t="inlineStr">
        <is>
          <t>1988-04-15</t>
        </is>
      </c>
      <c r="Y51" t="n">
        <v>966</v>
      </c>
      <c r="Z51" t="n">
        <v>853</v>
      </c>
      <c r="AA51" t="n">
        <v>1630</v>
      </c>
      <c r="AB51" t="n">
        <v>2</v>
      </c>
      <c r="AC51" t="n">
        <v>15</v>
      </c>
      <c r="AD51" t="n">
        <v>34</v>
      </c>
      <c r="AE51" t="n">
        <v>60</v>
      </c>
      <c r="AF51" t="n">
        <v>15</v>
      </c>
      <c r="AG51" t="n">
        <v>22</v>
      </c>
      <c r="AH51" t="n">
        <v>8</v>
      </c>
      <c r="AI51" t="n">
        <v>12</v>
      </c>
      <c r="AJ51" t="n">
        <v>20</v>
      </c>
      <c r="AK51" t="n">
        <v>24</v>
      </c>
      <c r="AL51" t="n">
        <v>1</v>
      </c>
      <c r="AM51" t="n">
        <v>13</v>
      </c>
      <c r="AN51" t="n">
        <v>1</v>
      </c>
      <c r="AO51" t="n">
        <v>2</v>
      </c>
      <c r="AP51" t="inlineStr">
        <is>
          <t>No</t>
        </is>
      </c>
      <c r="AQ51" t="inlineStr">
        <is>
          <t>Yes</t>
        </is>
      </c>
      <c r="AR51">
        <f>HYPERLINK("http://catalog.hathitrust.org/Record/000833901","HathiTrust Record")</f>
        <v/>
      </c>
      <c r="AS51">
        <f>HYPERLINK("https://creighton-primo.hosted.exlibrisgroup.com/primo-explore/search?tab=default_tab&amp;search_scope=EVERYTHING&amp;vid=01CRU&amp;lang=en_US&amp;offset=0&amp;query=any,contains,991001182839702656","Catalog Record")</f>
        <v/>
      </c>
      <c r="AT51">
        <f>HYPERLINK("http://www.worldcat.org/oclc/15223948","WorldCat Record")</f>
        <v/>
      </c>
      <c r="AU51" t="inlineStr">
        <is>
          <t>802138745:eng</t>
        </is>
      </c>
      <c r="AV51" t="inlineStr">
        <is>
          <t>15223948</t>
        </is>
      </c>
      <c r="AW51" t="inlineStr">
        <is>
          <t>991001182839702656</t>
        </is>
      </c>
      <c r="AX51" t="inlineStr">
        <is>
          <t>991001182839702656</t>
        </is>
      </c>
      <c r="AY51" t="inlineStr">
        <is>
          <t>2268597430002656</t>
        </is>
      </c>
      <c r="AZ51" t="inlineStr">
        <is>
          <t>BOOK</t>
        </is>
      </c>
      <c r="BB51" t="inlineStr">
        <is>
          <t>9780674216259</t>
        </is>
      </c>
      <c r="BC51" t="inlineStr">
        <is>
          <t>30001000977282</t>
        </is>
      </c>
      <c r="BD51" t="inlineStr">
        <is>
          <t>893455534</t>
        </is>
      </c>
    </row>
    <row r="52">
      <c r="A52" t="inlineStr">
        <is>
          <t>No</t>
        </is>
      </c>
      <c r="B52" t="inlineStr">
        <is>
          <t>QZ 11 L848h 1965</t>
        </is>
      </c>
      <c r="C52" t="inlineStr">
        <is>
          <t>0                      QZ 0011000L  848h        1965</t>
        </is>
      </c>
      <c r="D52" t="inlineStr">
        <is>
          <t>A history of pathology / by Esmond R. Long.</t>
        </is>
      </c>
      <c r="F52" t="inlineStr">
        <is>
          <t>No</t>
        </is>
      </c>
      <c r="G52" t="inlineStr">
        <is>
          <t>1</t>
        </is>
      </c>
      <c r="H52" t="inlineStr">
        <is>
          <t>No</t>
        </is>
      </c>
      <c r="I52" t="inlineStr">
        <is>
          <t>No</t>
        </is>
      </c>
      <c r="J52" t="inlineStr">
        <is>
          <t>0</t>
        </is>
      </c>
      <c r="K52" t="inlineStr">
        <is>
          <t>Long, Esmond R. (Esmond Ray), 1890-1979.</t>
        </is>
      </c>
      <c r="L52" t="inlineStr">
        <is>
          <t>New York : Dover Publications, [1965]</t>
        </is>
      </c>
      <c r="M52" t="inlineStr">
        <is>
          <t>1965</t>
        </is>
      </c>
      <c r="N52" t="inlineStr">
        <is>
          <t>[Enl. &amp; corr. ed.].</t>
        </is>
      </c>
      <c r="O52" t="inlineStr">
        <is>
          <t>eng</t>
        </is>
      </c>
      <c r="P52" t="inlineStr">
        <is>
          <t>nyu</t>
        </is>
      </c>
      <c r="R52" t="inlineStr">
        <is>
          <t xml:space="preserve">QZ </t>
        </is>
      </c>
      <c r="S52" t="n">
        <v>8</v>
      </c>
      <c r="T52" t="n">
        <v>8</v>
      </c>
      <c r="U52" t="inlineStr">
        <is>
          <t>1989-03-03</t>
        </is>
      </c>
      <c r="V52" t="inlineStr">
        <is>
          <t>1989-03-03</t>
        </is>
      </c>
      <c r="W52" t="inlineStr">
        <is>
          <t>1988-03-24</t>
        </is>
      </c>
      <c r="X52" t="inlineStr">
        <is>
          <t>1988-03-24</t>
        </is>
      </c>
      <c r="Y52" t="n">
        <v>326</v>
      </c>
      <c r="Z52" t="n">
        <v>274</v>
      </c>
      <c r="AA52" t="n">
        <v>352</v>
      </c>
      <c r="AB52" t="n">
        <v>2</v>
      </c>
      <c r="AC52" t="n">
        <v>3</v>
      </c>
      <c r="AD52" t="n">
        <v>8</v>
      </c>
      <c r="AE52" t="n">
        <v>10</v>
      </c>
      <c r="AF52" t="n">
        <v>2</v>
      </c>
      <c r="AG52" t="n">
        <v>3</v>
      </c>
      <c r="AH52" t="n">
        <v>2</v>
      </c>
      <c r="AI52" t="n">
        <v>2</v>
      </c>
      <c r="AJ52" t="n">
        <v>5</v>
      </c>
      <c r="AK52" t="n">
        <v>6</v>
      </c>
      <c r="AL52" t="n">
        <v>1</v>
      </c>
      <c r="AM52" t="n">
        <v>2</v>
      </c>
      <c r="AN52" t="n">
        <v>0</v>
      </c>
      <c r="AO52" t="n">
        <v>0</v>
      </c>
      <c r="AP52" t="inlineStr">
        <is>
          <t>No</t>
        </is>
      </c>
      <c r="AQ52" t="inlineStr">
        <is>
          <t>Yes</t>
        </is>
      </c>
      <c r="AR52">
        <f>HYPERLINK("http://catalog.hathitrust.org/Record/000033314","HathiTrust Record")</f>
        <v/>
      </c>
      <c r="AS52">
        <f>HYPERLINK("https://creighton-primo.hosted.exlibrisgroup.com/primo-explore/search?tab=default_tab&amp;search_scope=EVERYTHING&amp;vid=01CRU&amp;lang=en_US&amp;offset=0&amp;query=any,contains,991001088539702656","Catalog Record")</f>
        <v/>
      </c>
      <c r="AT52">
        <f>HYPERLINK("http://www.worldcat.org/oclc/1117354","WorldCat Record")</f>
        <v/>
      </c>
      <c r="AU52" t="inlineStr">
        <is>
          <t>2012195:eng</t>
        </is>
      </c>
      <c r="AV52" t="inlineStr">
        <is>
          <t>1117354</t>
        </is>
      </c>
      <c r="AW52" t="inlineStr">
        <is>
          <t>991001088539702656</t>
        </is>
      </c>
      <c r="AX52" t="inlineStr">
        <is>
          <t>991001088539702656</t>
        </is>
      </c>
      <c r="AY52" t="inlineStr">
        <is>
          <t>2270852590002656</t>
        </is>
      </c>
      <c r="AZ52" t="inlineStr">
        <is>
          <t>BOOK</t>
        </is>
      </c>
      <c r="BC52" t="inlineStr">
        <is>
          <t>30001000260978</t>
        </is>
      </c>
      <c r="BD52" t="inlineStr">
        <is>
          <t>893651853</t>
        </is>
      </c>
    </row>
    <row r="53">
      <c r="A53" t="inlineStr">
        <is>
          <t>No</t>
        </is>
      </c>
      <c r="B53" t="inlineStr">
        <is>
          <t>QZ 11.1 C323r 2003</t>
        </is>
      </c>
      <c r="C53" t="inlineStr">
        <is>
          <t>0                      QZ 0011100C  323r        2003</t>
        </is>
      </c>
      <c r="D53" t="inlineStr">
        <is>
          <t>The rise of causal concepts of disease : case histories / K. Codell Carter.</t>
        </is>
      </c>
      <c r="F53" t="inlineStr">
        <is>
          <t>No</t>
        </is>
      </c>
      <c r="G53" t="inlineStr">
        <is>
          <t>1</t>
        </is>
      </c>
      <c r="H53" t="inlineStr">
        <is>
          <t>No</t>
        </is>
      </c>
      <c r="I53" t="inlineStr">
        <is>
          <t>No</t>
        </is>
      </c>
      <c r="J53" t="inlineStr">
        <is>
          <t>1</t>
        </is>
      </c>
      <c r="K53" t="inlineStr">
        <is>
          <t>Carter, K. Codell (Kay Codell), 1939-</t>
        </is>
      </c>
      <c r="L53" t="inlineStr">
        <is>
          <t>Burlington, VT : Ashgate, c2003.</t>
        </is>
      </c>
      <c r="M53" t="inlineStr">
        <is>
          <t>2003</t>
        </is>
      </c>
      <c r="O53" t="inlineStr">
        <is>
          <t>eng</t>
        </is>
      </c>
      <c r="P53" t="inlineStr">
        <is>
          <t>vtu</t>
        </is>
      </c>
      <c r="Q53" t="inlineStr">
        <is>
          <t>The history of medicine in context</t>
        </is>
      </c>
      <c r="R53" t="inlineStr">
        <is>
          <t xml:space="preserve">QZ </t>
        </is>
      </c>
      <c r="S53" t="n">
        <v>0</v>
      </c>
      <c r="T53" t="n">
        <v>0</v>
      </c>
      <c r="U53" t="inlineStr">
        <is>
          <t>2004-04-22</t>
        </is>
      </c>
      <c r="V53" t="inlineStr">
        <is>
          <t>2004-04-22</t>
        </is>
      </c>
      <c r="W53" t="inlineStr">
        <is>
          <t>2004-03-31</t>
        </is>
      </c>
      <c r="X53" t="inlineStr">
        <is>
          <t>2004-03-31</t>
        </is>
      </c>
      <c r="Y53" t="n">
        <v>130</v>
      </c>
      <c r="Z53" t="n">
        <v>76</v>
      </c>
      <c r="AA53" t="n">
        <v>781</v>
      </c>
      <c r="AB53" t="n">
        <v>1</v>
      </c>
      <c r="AC53" t="n">
        <v>12</v>
      </c>
      <c r="AD53" t="n">
        <v>4</v>
      </c>
      <c r="AE53" t="n">
        <v>39</v>
      </c>
      <c r="AF53" t="n">
        <v>0</v>
      </c>
      <c r="AG53" t="n">
        <v>10</v>
      </c>
      <c r="AH53" t="n">
        <v>3</v>
      </c>
      <c r="AI53" t="n">
        <v>11</v>
      </c>
      <c r="AJ53" t="n">
        <v>2</v>
      </c>
      <c r="AK53" t="n">
        <v>12</v>
      </c>
      <c r="AL53" t="n">
        <v>0</v>
      </c>
      <c r="AM53" t="n">
        <v>10</v>
      </c>
      <c r="AN53" t="n">
        <v>0</v>
      </c>
      <c r="AO53" t="n">
        <v>2</v>
      </c>
      <c r="AP53" t="inlineStr">
        <is>
          <t>No</t>
        </is>
      </c>
      <c r="AQ53" t="inlineStr">
        <is>
          <t>Yes</t>
        </is>
      </c>
      <c r="AR53">
        <f>HYPERLINK("http://catalog.hathitrust.org/Record/004762181","HathiTrust Record")</f>
        <v/>
      </c>
      <c r="AS53">
        <f>HYPERLINK("https://creighton-primo.hosted.exlibrisgroup.com/primo-explore/search?tab=default_tab&amp;search_scope=EVERYTHING&amp;vid=01CRU&amp;lang=en_US&amp;offset=0&amp;query=any,contains,991000368839702656","Catalog Record")</f>
        <v/>
      </c>
      <c r="AT53">
        <f>HYPERLINK("http://www.worldcat.org/oclc/49312525","WorldCat Record")</f>
        <v/>
      </c>
      <c r="AU53" t="inlineStr">
        <is>
          <t>839022604:eng</t>
        </is>
      </c>
      <c r="AV53" t="inlineStr">
        <is>
          <t>49312525</t>
        </is>
      </c>
      <c r="AW53" t="inlineStr">
        <is>
          <t>991000368839702656</t>
        </is>
      </c>
      <c r="AX53" t="inlineStr">
        <is>
          <t>991000368839702656</t>
        </is>
      </c>
      <c r="AY53" t="inlineStr">
        <is>
          <t>2267686240002656</t>
        </is>
      </c>
      <c r="AZ53" t="inlineStr">
        <is>
          <t>BOOK</t>
        </is>
      </c>
      <c r="BB53" t="inlineStr">
        <is>
          <t>9780754606789</t>
        </is>
      </c>
      <c r="BC53" t="inlineStr">
        <is>
          <t>30001004920346</t>
        </is>
      </c>
      <c r="BD53" t="inlineStr">
        <is>
          <t>893537119</t>
        </is>
      </c>
    </row>
    <row r="54">
      <c r="A54" t="inlineStr">
        <is>
          <t>No</t>
        </is>
      </c>
      <c r="B54" t="inlineStr">
        <is>
          <t>QZ 11.1 M251o 1993</t>
        </is>
      </c>
      <c r="C54" t="inlineStr">
        <is>
          <t>0                      QZ 0011100M  251o        1993</t>
        </is>
      </c>
      <c r="D54" t="inlineStr">
        <is>
          <t>Out of the mist : the foundation of modern pathology and medicine during the nineteenth century / by Harold M. Malkin.</t>
        </is>
      </c>
      <c r="F54" t="inlineStr">
        <is>
          <t>No</t>
        </is>
      </c>
      <c r="G54" t="inlineStr">
        <is>
          <t>1</t>
        </is>
      </c>
      <c r="H54" t="inlineStr">
        <is>
          <t>No</t>
        </is>
      </c>
      <c r="I54" t="inlineStr">
        <is>
          <t>No</t>
        </is>
      </c>
      <c r="J54" t="inlineStr">
        <is>
          <t>0</t>
        </is>
      </c>
      <c r="K54" t="inlineStr">
        <is>
          <t>Malkin, Harold M.</t>
        </is>
      </c>
      <c r="L54" t="inlineStr">
        <is>
          <t>Berkeley, CA : Vesalius Books, c1993.</t>
        </is>
      </c>
      <c r="M54" t="inlineStr">
        <is>
          <t>1993</t>
        </is>
      </c>
      <c r="O54" t="inlineStr">
        <is>
          <t>eng</t>
        </is>
      </c>
      <c r="P54" t="inlineStr">
        <is>
          <t>cau</t>
        </is>
      </c>
      <c r="R54" t="inlineStr">
        <is>
          <t xml:space="preserve">QZ </t>
        </is>
      </c>
      <c r="S54" t="n">
        <v>23</v>
      </c>
      <c r="T54" t="n">
        <v>23</v>
      </c>
      <c r="U54" t="inlineStr">
        <is>
          <t>2005-05-09</t>
        </is>
      </c>
      <c r="V54" t="inlineStr">
        <is>
          <t>2005-05-09</t>
        </is>
      </c>
      <c r="W54" t="inlineStr">
        <is>
          <t>1994-04-22</t>
        </is>
      </c>
      <c r="X54" t="inlineStr">
        <is>
          <t>1994-04-22</t>
        </is>
      </c>
      <c r="Y54" t="n">
        <v>69</v>
      </c>
      <c r="Z54" t="n">
        <v>61</v>
      </c>
      <c r="AA54" t="n">
        <v>78</v>
      </c>
      <c r="AB54" t="n">
        <v>1</v>
      </c>
      <c r="AC54" t="n">
        <v>1</v>
      </c>
      <c r="AD54" t="n">
        <v>2</v>
      </c>
      <c r="AE54" t="n">
        <v>4</v>
      </c>
      <c r="AF54" t="n">
        <v>1</v>
      </c>
      <c r="AG54" t="n">
        <v>2</v>
      </c>
      <c r="AH54" t="n">
        <v>0</v>
      </c>
      <c r="AI54" t="n">
        <v>1</v>
      </c>
      <c r="AJ54" t="n">
        <v>1</v>
      </c>
      <c r="AK54" t="n">
        <v>1</v>
      </c>
      <c r="AL54" t="n">
        <v>0</v>
      </c>
      <c r="AM54" t="n">
        <v>0</v>
      </c>
      <c r="AN54" t="n">
        <v>0</v>
      </c>
      <c r="AO54" t="n">
        <v>0</v>
      </c>
      <c r="AP54" t="inlineStr">
        <is>
          <t>No</t>
        </is>
      </c>
      <c r="AQ54" t="inlineStr">
        <is>
          <t>Yes</t>
        </is>
      </c>
      <c r="AR54">
        <f>HYPERLINK("http://catalog.hathitrust.org/Record/002896264","HathiTrust Record")</f>
        <v/>
      </c>
      <c r="AS54">
        <f>HYPERLINK("https://creighton-primo.hosted.exlibrisgroup.com/primo-explore/search?tab=default_tab&amp;search_scope=EVERYTHING&amp;vid=01CRU&amp;lang=en_US&amp;offset=0&amp;query=any,contains,991000493119702656","Catalog Record")</f>
        <v/>
      </c>
      <c r="AT54">
        <f>HYPERLINK("http://www.worldcat.org/oclc/30325520","WorldCat Record")</f>
        <v/>
      </c>
      <c r="AU54" t="inlineStr">
        <is>
          <t>476650870:eng</t>
        </is>
      </c>
      <c r="AV54" t="inlineStr">
        <is>
          <t>30325520</t>
        </is>
      </c>
      <c r="AW54" t="inlineStr">
        <is>
          <t>991000493119702656</t>
        </is>
      </c>
      <c r="AX54" t="inlineStr">
        <is>
          <t>991000493119702656</t>
        </is>
      </c>
      <c r="AY54" t="inlineStr">
        <is>
          <t>2271070140002656</t>
        </is>
      </c>
      <c r="AZ54" t="inlineStr">
        <is>
          <t>BOOK</t>
        </is>
      </c>
      <c r="BB54" t="inlineStr">
        <is>
          <t>9780963768902</t>
        </is>
      </c>
      <c r="BC54" t="inlineStr">
        <is>
          <t>30001002974113</t>
        </is>
      </c>
      <c r="BD54" t="inlineStr">
        <is>
          <t>893629512</t>
        </is>
      </c>
    </row>
    <row r="55">
      <c r="A55" t="inlineStr">
        <is>
          <t>No</t>
        </is>
      </c>
      <c r="B55" t="inlineStr">
        <is>
          <t>QZ 13 A468c 1992</t>
        </is>
      </c>
      <c r="C55" t="inlineStr">
        <is>
          <t>0                      QZ 0013000A  468c        1992</t>
        </is>
      </c>
      <c r="D55" t="inlineStr">
        <is>
          <t>The cancer dictionary / Roberta Altman, Michael Sarg.</t>
        </is>
      </c>
      <c r="F55" t="inlineStr">
        <is>
          <t>No</t>
        </is>
      </c>
      <c r="G55" t="inlineStr">
        <is>
          <t>1</t>
        </is>
      </c>
      <c r="H55" t="inlineStr">
        <is>
          <t>No</t>
        </is>
      </c>
      <c r="I55" t="inlineStr">
        <is>
          <t>No</t>
        </is>
      </c>
      <c r="J55" t="inlineStr">
        <is>
          <t>0</t>
        </is>
      </c>
      <c r="K55" t="inlineStr">
        <is>
          <t>Altman, Roberta.</t>
        </is>
      </c>
      <c r="L55" t="inlineStr">
        <is>
          <t>New York : Facts on File, c1992.</t>
        </is>
      </c>
      <c r="M55" t="inlineStr">
        <is>
          <t>1992</t>
        </is>
      </c>
      <c r="O55" t="inlineStr">
        <is>
          <t>eng</t>
        </is>
      </c>
      <c r="P55" t="inlineStr">
        <is>
          <t>nyu</t>
        </is>
      </c>
      <c r="R55" t="inlineStr">
        <is>
          <t xml:space="preserve">QZ </t>
        </is>
      </c>
      <c r="S55" t="n">
        <v>16</v>
      </c>
      <c r="T55" t="n">
        <v>16</v>
      </c>
      <c r="U55" t="inlineStr">
        <is>
          <t>1992-11-19</t>
        </is>
      </c>
      <c r="V55" t="inlineStr">
        <is>
          <t>1992-11-19</t>
        </is>
      </c>
      <c r="W55" t="inlineStr">
        <is>
          <t>1992-10-16</t>
        </is>
      </c>
      <c r="X55" t="inlineStr">
        <is>
          <t>1992-10-16</t>
        </is>
      </c>
      <c r="Y55" t="n">
        <v>786</v>
      </c>
      <c r="Z55" t="n">
        <v>684</v>
      </c>
      <c r="AA55" t="n">
        <v>1048</v>
      </c>
      <c r="AB55" t="n">
        <v>4</v>
      </c>
      <c r="AC55" t="n">
        <v>5</v>
      </c>
      <c r="AD55" t="n">
        <v>11</v>
      </c>
      <c r="AE55" t="n">
        <v>17</v>
      </c>
      <c r="AF55" t="n">
        <v>3</v>
      </c>
      <c r="AG55" t="n">
        <v>7</v>
      </c>
      <c r="AH55" t="n">
        <v>3</v>
      </c>
      <c r="AI55" t="n">
        <v>3</v>
      </c>
      <c r="AJ55" t="n">
        <v>7</v>
      </c>
      <c r="AK55" t="n">
        <v>10</v>
      </c>
      <c r="AL55" t="n">
        <v>1</v>
      </c>
      <c r="AM55" t="n">
        <v>2</v>
      </c>
      <c r="AN55" t="n">
        <v>0</v>
      </c>
      <c r="AO55" t="n">
        <v>0</v>
      </c>
      <c r="AP55" t="inlineStr">
        <is>
          <t>No</t>
        </is>
      </c>
      <c r="AQ55" t="inlineStr">
        <is>
          <t>No</t>
        </is>
      </c>
      <c r="AS55">
        <f>HYPERLINK("https://creighton-primo.hosted.exlibrisgroup.com/primo-explore/search?tab=default_tab&amp;search_scope=EVERYTHING&amp;vid=01CRU&amp;lang=en_US&amp;offset=0&amp;query=any,contains,991001342259702656","Catalog Record")</f>
        <v/>
      </c>
      <c r="AT55">
        <f>HYPERLINK("http://www.worldcat.org/oclc/25049471","WorldCat Record")</f>
        <v/>
      </c>
      <c r="AU55" t="inlineStr">
        <is>
          <t>20431783:eng</t>
        </is>
      </c>
      <c r="AV55" t="inlineStr">
        <is>
          <t>25049471</t>
        </is>
      </c>
      <c r="AW55" t="inlineStr">
        <is>
          <t>991001342259702656</t>
        </is>
      </c>
      <c r="AX55" t="inlineStr">
        <is>
          <t>991001342259702656</t>
        </is>
      </c>
      <c r="AY55" t="inlineStr">
        <is>
          <t>2264226870002656</t>
        </is>
      </c>
      <c r="AZ55" t="inlineStr">
        <is>
          <t>BOOK</t>
        </is>
      </c>
      <c r="BB55" t="inlineStr">
        <is>
          <t>9780816026081</t>
        </is>
      </c>
      <c r="BC55" t="inlineStr">
        <is>
          <t>30001002456186</t>
        </is>
      </c>
      <c r="BD55" t="inlineStr">
        <is>
          <t>893465414</t>
        </is>
      </c>
    </row>
    <row r="56">
      <c r="A56" t="inlineStr">
        <is>
          <t>No</t>
        </is>
      </c>
      <c r="B56" t="inlineStr">
        <is>
          <t>QZ13 E56 2002 V.1</t>
        </is>
      </c>
      <c r="C56" t="inlineStr">
        <is>
          <t>0                      QZ 0013000E  56          2002                                        V.1</t>
        </is>
      </c>
      <c r="D56" t="inlineStr">
        <is>
          <t>Encyclopedia of cancer / editor-in-chief, Joseph R. Bertino.</t>
        </is>
      </c>
      <c r="E56" t="inlineStr">
        <is>
          <t>V. 2</t>
        </is>
      </c>
      <c r="F56" t="inlineStr">
        <is>
          <t>Yes</t>
        </is>
      </c>
      <c r="G56" t="inlineStr">
        <is>
          <t>1</t>
        </is>
      </c>
      <c r="H56" t="inlineStr">
        <is>
          <t>No</t>
        </is>
      </c>
      <c r="I56" t="inlineStr">
        <is>
          <t>No</t>
        </is>
      </c>
      <c r="J56" t="inlineStr">
        <is>
          <t>1</t>
        </is>
      </c>
      <c r="L56" t="inlineStr">
        <is>
          <t>San Diego, Calif. : Academic Press, c2002.</t>
        </is>
      </c>
      <c r="M56" t="inlineStr">
        <is>
          <t>2002</t>
        </is>
      </c>
      <c r="N56" t="inlineStr">
        <is>
          <t>2nd ed.</t>
        </is>
      </c>
      <c r="O56" t="inlineStr">
        <is>
          <t>eng</t>
        </is>
      </c>
      <c r="P56" t="inlineStr">
        <is>
          <t>cau</t>
        </is>
      </c>
      <c r="R56" t="inlineStr">
        <is>
          <t xml:space="preserve">QZ </t>
        </is>
      </c>
      <c r="S56" t="n">
        <v>0</v>
      </c>
      <c r="T56" t="n">
        <v>1</v>
      </c>
      <c r="U56" t="inlineStr">
        <is>
          <t>2003-03-07</t>
        </is>
      </c>
      <c r="V56" t="inlineStr">
        <is>
          <t>2009-09-30</t>
        </is>
      </c>
      <c r="W56" t="inlineStr">
        <is>
          <t>2003-02-26</t>
        </is>
      </c>
      <c r="X56" t="inlineStr">
        <is>
          <t>2003-02-26</t>
        </is>
      </c>
      <c r="Y56" t="n">
        <v>226</v>
      </c>
      <c r="Z56" t="n">
        <v>172</v>
      </c>
      <c r="AA56" t="n">
        <v>262</v>
      </c>
      <c r="AB56" t="n">
        <v>2</v>
      </c>
      <c r="AC56" t="n">
        <v>3</v>
      </c>
      <c r="AD56" t="n">
        <v>2</v>
      </c>
      <c r="AE56" t="n">
        <v>6</v>
      </c>
      <c r="AF56" t="n">
        <v>0</v>
      </c>
      <c r="AG56" t="n">
        <v>1</v>
      </c>
      <c r="AH56" t="n">
        <v>0</v>
      </c>
      <c r="AI56" t="n">
        <v>1</v>
      </c>
      <c r="AJ56" t="n">
        <v>1</v>
      </c>
      <c r="AK56" t="n">
        <v>3</v>
      </c>
      <c r="AL56" t="n">
        <v>1</v>
      </c>
      <c r="AM56" t="n">
        <v>2</v>
      </c>
      <c r="AN56" t="n">
        <v>0</v>
      </c>
      <c r="AO56" t="n">
        <v>0</v>
      </c>
      <c r="AP56" t="inlineStr">
        <is>
          <t>No</t>
        </is>
      </c>
      <c r="AQ56" t="inlineStr">
        <is>
          <t>Yes</t>
        </is>
      </c>
      <c r="AR56">
        <f>HYPERLINK("http://catalog.hathitrust.org/Record/004313665","HathiTrust Record")</f>
        <v/>
      </c>
      <c r="AS56">
        <f>HYPERLINK("https://creighton-primo.hosted.exlibrisgroup.com/primo-explore/search?tab=default_tab&amp;search_scope=EVERYTHING&amp;vid=01CRU&amp;lang=en_US&amp;offset=0&amp;query=any,contains,991000339929702656","Catalog Record")</f>
        <v/>
      </c>
      <c r="AT56">
        <f>HYPERLINK("http://www.worldcat.org/oclc/50339667","WorldCat Record")</f>
        <v/>
      </c>
      <c r="AU56" t="inlineStr">
        <is>
          <t>3373131507:eng</t>
        </is>
      </c>
      <c r="AV56" t="inlineStr">
        <is>
          <t>50339667</t>
        </is>
      </c>
      <c r="AW56" t="inlineStr">
        <is>
          <t>991000339929702656</t>
        </is>
      </c>
      <c r="AX56" t="inlineStr">
        <is>
          <t>991000339929702656</t>
        </is>
      </c>
      <c r="AY56" t="inlineStr">
        <is>
          <t>2255774460002656</t>
        </is>
      </c>
      <c r="AZ56" t="inlineStr">
        <is>
          <t>BOOK</t>
        </is>
      </c>
      <c r="BB56" t="inlineStr">
        <is>
          <t>9780122275555</t>
        </is>
      </c>
      <c r="BC56" t="inlineStr">
        <is>
          <t>30001004500171</t>
        </is>
      </c>
      <c r="BD56" t="inlineStr">
        <is>
          <t>893741690</t>
        </is>
      </c>
    </row>
    <row r="57">
      <c r="A57" t="inlineStr">
        <is>
          <t>No</t>
        </is>
      </c>
      <c r="B57" t="inlineStr">
        <is>
          <t>QZ13 E56 2002 V.1</t>
        </is>
      </c>
      <c r="C57" t="inlineStr">
        <is>
          <t>0                      QZ 0013000E  56          2002                                        V.1</t>
        </is>
      </c>
      <c r="D57" t="inlineStr">
        <is>
          <t>Encyclopedia of cancer / editor-in-chief, Joseph R. Bertino.</t>
        </is>
      </c>
      <c r="E57" t="inlineStr">
        <is>
          <t>V. 4</t>
        </is>
      </c>
      <c r="F57" t="inlineStr">
        <is>
          <t>Yes</t>
        </is>
      </c>
      <c r="G57" t="inlineStr">
        <is>
          <t>1</t>
        </is>
      </c>
      <c r="H57" t="inlineStr">
        <is>
          <t>No</t>
        </is>
      </c>
      <c r="I57" t="inlineStr">
        <is>
          <t>No</t>
        </is>
      </c>
      <c r="J57" t="inlineStr">
        <is>
          <t>1</t>
        </is>
      </c>
      <c r="L57" t="inlineStr">
        <is>
          <t>San Diego, Calif. : Academic Press, c2002.</t>
        </is>
      </c>
      <c r="M57" t="inlineStr">
        <is>
          <t>2002</t>
        </is>
      </c>
      <c r="N57" t="inlineStr">
        <is>
          <t>2nd ed.</t>
        </is>
      </c>
      <c r="O57" t="inlineStr">
        <is>
          <t>eng</t>
        </is>
      </c>
      <c r="P57" t="inlineStr">
        <is>
          <t>cau</t>
        </is>
      </c>
      <c r="R57" t="inlineStr">
        <is>
          <t xml:space="preserve">QZ </t>
        </is>
      </c>
      <c r="S57" t="n">
        <v>0</v>
      </c>
      <c r="T57" t="n">
        <v>1</v>
      </c>
      <c r="U57" t="inlineStr">
        <is>
          <t>2003-03-07</t>
        </is>
      </c>
      <c r="V57" t="inlineStr">
        <is>
          <t>2009-09-30</t>
        </is>
      </c>
      <c r="W57" t="inlineStr">
        <is>
          <t>2003-02-26</t>
        </is>
      </c>
      <c r="X57" t="inlineStr">
        <is>
          <t>2003-02-26</t>
        </is>
      </c>
      <c r="Y57" t="n">
        <v>226</v>
      </c>
      <c r="Z57" t="n">
        <v>172</v>
      </c>
      <c r="AA57" t="n">
        <v>262</v>
      </c>
      <c r="AB57" t="n">
        <v>2</v>
      </c>
      <c r="AC57" t="n">
        <v>3</v>
      </c>
      <c r="AD57" t="n">
        <v>2</v>
      </c>
      <c r="AE57" t="n">
        <v>6</v>
      </c>
      <c r="AF57" t="n">
        <v>0</v>
      </c>
      <c r="AG57" t="n">
        <v>1</v>
      </c>
      <c r="AH57" t="n">
        <v>0</v>
      </c>
      <c r="AI57" t="n">
        <v>1</v>
      </c>
      <c r="AJ57" t="n">
        <v>1</v>
      </c>
      <c r="AK57" t="n">
        <v>3</v>
      </c>
      <c r="AL57" t="n">
        <v>1</v>
      </c>
      <c r="AM57" t="n">
        <v>2</v>
      </c>
      <c r="AN57" t="n">
        <v>0</v>
      </c>
      <c r="AO57" t="n">
        <v>0</v>
      </c>
      <c r="AP57" t="inlineStr">
        <is>
          <t>No</t>
        </is>
      </c>
      <c r="AQ57" t="inlineStr">
        <is>
          <t>Yes</t>
        </is>
      </c>
      <c r="AR57">
        <f>HYPERLINK("http://catalog.hathitrust.org/Record/004313665","HathiTrust Record")</f>
        <v/>
      </c>
      <c r="AS57">
        <f>HYPERLINK("https://creighton-primo.hosted.exlibrisgroup.com/primo-explore/search?tab=default_tab&amp;search_scope=EVERYTHING&amp;vid=01CRU&amp;lang=en_US&amp;offset=0&amp;query=any,contains,991000339929702656","Catalog Record")</f>
        <v/>
      </c>
      <c r="AT57">
        <f>HYPERLINK("http://www.worldcat.org/oclc/50339667","WorldCat Record")</f>
        <v/>
      </c>
      <c r="AU57" t="inlineStr">
        <is>
          <t>3373131507:eng</t>
        </is>
      </c>
      <c r="AV57" t="inlineStr">
        <is>
          <t>50339667</t>
        </is>
      </c>
      <c r="AW57" t="inlineStr">
        <is>
          <t>991000339929702656</t>
        </is>
      </c>
      <c r="AX57" t="inlineStr">
        <is>
          <t>991000339929702656</t>
        </is>
      </c>
      <c r="AY57" t="inlineStr">
        <is>
          <t>2255774460002656</t>
        </is>
      </c>
      <c r="AZ57" t="inlineStr">
        <is>
          <t>BOOK</t>
        </is>
      </c>
      <c r="BB57" t="inlineStr">
        <is>
          <t>9780122275555</t>
        </is>
      </c>
      <c r="BC57" t="inlineStr">
        <is>
          <t>30001004500197</t>
        </is>
      </c>
      <c r="BD57" t="inlineStr">
        <is>
          <t>893732789</t>
        </is>
      </c>
    </row>
    <row r="58">
      <c r="A58" t="inlineStr">
        <is>
          <t>No</t>
        </is>
      </c>
      <c r="B58" t="inlineStr">
        <is>
          <t>QZ13 E56 2002 V.1</t>
        </is>
      </c>
      <c r="C58" t="inlineStr">
        <is>
          <t>0                      QZ 0013000E  56          2002                                        V.1</t>
        </is>
      </c>
      <c r="D58" t="inlineStr">
        <is>
          <t>Encyclopedia of cancer / editor-in-chief, Joseph R. Bertino.</t>
        </is>
      </c>
      <c r="E58" t="inlineStr">
        <is>
          <t>V. 3</t>
        </is>
      </c>
      <c r="F58" t="inlineStr">
        <is>
          <t>Yes</t>
        </is>
      </c>
      <c r="G58" t="inlineStr">
        <is>
          <t>1</t>
        </is>
      </c>
      <c r="H58" t="inlineStr">
        <is>
          <t>No</t>
        </is>
      </c>
      <c r="I58" t="inlineStr">
        <is>
          <t>No</t>
        </is>
      </c>
      <c r="J58" t="inlineStr">
        <is>
          <t>1</t>
        </is>
      </c>
      <c r="L58" t="inlineStr">
        <is>
          <t>San Diego, Calif. : Academic Press, c2002.</t>
        </is>
      </c>
      <c r="M58" t="inlineStr">
        <is>
          <t>2002</t>
        </is>
      </c>
      <c r="N58" t="inlineStr">
        <is>
          <t>2nd ed.</t>
        </is>
      </c>
      <c r="O58" t="inlineStr">
        <is>
          <t>eng</t>
        </is>
      </c>
      <c r="P58" t="inlineStr">
        <is>
          <t>cau</t>
        </is>
      </c>
      <c r="R58" t="inlineStr">
        <is>
          <t xml:space="preserve">QZ </t>
        </is>
      </c>
      <c r="S58" t="n">
        <v>0</v>
      </c>
      <c r="T58" t="n">
        <v>1</v>
      </c>
      <c r="U58" t="inlineStr">
        <is>
          <t>2003-03-07</t>
        </is>
      </c>
      <c r="V58" t="inlineStr">
        <is>
          <t>2009-09-30</t>
        </is>
      </c>
      <c r="W58" t="inlineStr">
        <is>
          <t>2003-02-26</t>
        </is>
      </c>
      <c r="X58" t="inlineStr">
        <is>
          <t>2003-02-26</t>
        </is>
      </c>
      <c r="Y58" t="n">
        <v>226</v>
      </c>
      <c r="Z58" t="n">
        <v>172</v>
      </c>
      <c r="AA58" t="n">
        <v>262</v>
      </c>
      <c r="AB58" t="n">
        <v>2</v>
      </c>
      <c r="AC58" t="n">
        <v>3</v>
      </c>
      <c r="AD58" t="n">
        <v>2</v>
      </c>
      <c r="AE58" t="n">
        <v>6</v>
      </c>
      <c r="AF58" t="n">
        <v>0</v>
      </c>
      <c r="AG58" t="n">
        <v>1</v>
      </c>
      <c r="AH58" t="n">
        <v>0</v>
      </c>
      <c r="AI58" t="n">
        <v>1</v>
      </c>
      <c r="AJ58" t="n">
        <v>1</v>
      </c>
      <c r="AK58" t="n">
        <v>3</v>
      </c>
      <c r="AL58" t="n">
        <v>1</v>
      </c>
      <c r="AM58" t="n">
        <v>2</v>
      </c>
      <c r="AN58" t="n">
        <v>0</v>
      </c>
      <c r="AO58" t="n">
        <v>0</v>
      </c>
      <c r="AP58" t="inlineStr">
        <is>
          <t>No</t>
        </is>
      </c>
      <c r="AQ58" t="inlineStr">
        <is>
          <t>Yes</t>
        </is>
      </c>
      <c r="AR58">
        <f>HYPERLINK("http://catalog.hathitrust.org/Record/004313665","HathiTrust Record")</f>
        <v/>
      </c>
      <c r="AS58">
        <f>HYPERLINK("https://creighton-primo.hosted.exlibrisgroup.com/primo-explore/search?tab=default_tab&amp;search_scope=EVERYTHING&amp;vid=01CRU&amp;lang=en_US&amp;offset=0&amp;query=any,contains,991000339929702656","Catalog Record")</f>
        <v/>
      </c>
      <c r="AT58">
        <f>HYPERLINK("http://www.worldcat.org/oclc/50339667","WorldCat Record")</f>
        <v/>
      </c>
      <c r="AU58" t="inlineStr">
        <is>
          <t>3373131507:eng</t>
        </is>
      </c>
      <c r="AV58" t="inlineStr">
        <is>
          <t>50339667</t>
        </is>
      </c>
      <c r="AW58" t="inlineStr">
        <is>
          <t>991000339929702656</t>
        </is>
      </c>
      <c r="AX58" t="inlineStr">
        <is>
          <t>991000339929702656</t>
        </is>
      </c>
      <c r="AY58" t="inlineStr">
        <is>
          <t>2255774460002656</t>
        </is>
      </c>
      <c r="AZ58" t="inlineStr">
        <is>
          <t>BOOK</t>
        </is>
      </c>
      <c r="BB58" t="inlineStr">
        <is>
          <t>9780122275555</t>
        </is>
      </c>
      <c r="BC58" t="inlineStr">
        <is>
          <t>30001004500189</t>
        </is>
      </c>
      <c r="BD58" t="inlineStr">
        <is>
          <t>893723383</t>
        </is>
      </c>
    </row>
    <row r="59">
      <c r="A59" t="inlineStr">
        <is>
          <t>No</t>
        </is>
      </c>
      <c r="B59" t="inlineStr">
        <is>
          <t>QZ13 E56 2002 V.1</t>
        </is>
      </c>
      <c r="C59" t="inlineStr">
        <is>
          <t>0                      QZ 0013000E  56          2002                                        V.1</t>
        </is>
      </c>
      <c r="D59" t="inlineStr">
        <is>
          <t>Encyclopedia of cancer / editor-in-chief, Joseph R. Bertino.</t>
        </is>
      </c>
      <c r="E59" t="inlineStr">
        <is>
          <t>V. 1</t>
        </is>
      </c>
      <c r="F59" t="inlineStr">
        <is>
          <t>Yes</t>
        </is>
      </c>
      <c r="G59" t="inlineStr">
        <is>
          <t>1</t>
        </is>
      </c>
      <c r="H59" t="inlineStr">
        <is>
          <t>No</t>
        </is>
      </c>
      <c r="I59" t="inlineStr">
        <is>
          <t>No</t>
        </is>
      </c>
      <c r="J59" t="inlineStr">
        <is>
          <t>1</t>
        </is>
      </c>
      <c r="L59" t="inlineStr">
        <is>
          <t>San Diego, Calif. : Academic Press, c2002.</t>
        </is>
      </c>
      <c r="M59" t="inlineStr">
        <is>
          <t>2002</t>
        </is>
      </c>
      <c r="N59" t="inlineStr">
        <is>
          <t>2nd ed.</t>
        </is>
      </c>
      <c r="O59" t="inlineStr">
        <is>
          <t>eng</t>
        </is>
      </c>
      <c r="P59" t="inlineStr">
        <is>
          <t>cau</t>
        </is>
      </c>
      <c r="R59" t="inlineStr">
        <is>
          <t xml:space="preserve">QZ </t>
        </is>
      </c>
      <c r="S59" t="n">
        <v>1</v>
      </c>
      <c r="T59" t="n">
        <v>1</v>
      </c>
      <c r="U59" t="inlineStr">
        <is>
          <t>2009-09-30</t>
        </is>
      </c>
      <c r="V59" t="inlineStr">
        <is>
          <t>2009-09-30</t>
        </is>
      </c>
      <c r="W59" t="inlineStr">
        <is>
          <t>2003-02-26</t>
        </is>
      </c>
      <c r="X59" t="inlineStr">
        <is>
          <t>2003-02-26</t>
        </is>
      </c>
      <c r="Y59" t="n">
        <v>226</v>
      </c>
      <c r="Z59" t="n">
        <v>172</v>
      </c>
      <c r="AA59" t="n">
        <v>262</v>
      </c>
      <c r="AB59" t="n">
        <v>2</v>
      </c>
      <c r="AC59" t="n">
        <v>3</v>
      </c>
      <c r="AD59" t="n">
        <v>2</v>
      </c>
      <c r="AE59" t="n">
        <v>6</v>
      </c>
      <c r="AF59" t="n">
        <v>0</v>
      </c>
      <c r="AG59" t="n">
        <v>1</v>
      </c>
      <c r="AH59" t="n">
        <v>0</v>
      </c>
      <c r="AI59" t="n">
        <v>1</v>
      </c>
      <c r="AJ59" t="n">
        <v>1</v>
      </c>
      <c r="AK59" t="n">
        <v>3</v>
      </c>
      <c r="AL59" t="n">
        <v>1</v>
      </c>
      <c r="AM59" t="n">
        <v>2</v>
      </c>
      <c r="AN59" t="n">
        <v>0</v>
      </c>
      <c r="AO59" t="n">
        <v>0</v>
      </c>
      <c r="AP59" t="inlineStr">
        <is>
          <t>No</t>
        </is>
      </c>
      <c r="AQ59" t="inlineStr">
        <is>
          <t>Yes</t>
        </is>
      </c>
      <c r="AR59">
        <f>HYPERLINK("http://catalog.hathitrust.org/Record/004313665","HathiTrust Record")</f>
        <v/>
      </c>
      <c r="AS59">
        <f>HYPERLINK("https://creighton-primo.hosted.exlibrisgroup.com/primo-explore/search?tab=default_tab&amp;search_scope=EVERYTHING&amp;vid=01CRU&amp;lang=en_US&amp;offset=0&amp;query=any,contains,991000339929702656","Catalog Record")</f>
        <v/>
      </c>
      <c r="AT59">
        <f>HYPERLINK("http://www.worldcat.org/oclc/50339667","WorldCat Record")</f>
        <v/>
      </c>
      <c r="AU59" t="inlineStr">
        <is>
          <t>3373131507:eng</t>
        </is>
      </c>
      <c r="AV59" t="inlineStr">
        <is>
          <t>50339667</t>
        </is>
      </c>
      <c r="AW59" t="inlineStr">
        <is>
          <t>991000339929702656</t>
        </is>
      </c>
      <c r="AX59" t="inlineStr">
        <is>
          <t>991000339929702656</t>
        </is>
      </c>
      <c r="AY59" t="inlineStr">
        <is>
          <t>2255774460002656</t>
        </is>
      </c>
      <c r="AZ59" t="inlineStr">
        <is>
          <t>BOOK</t>
        </is>
      </c>
      <c r="BB59" t="inlineStr">
        <is>
          <t>9780122275555</t>
        </is>
      </c>
      <c r="BC59" t="inlineStr">
        <is>
          <t>30001004500163</t>
        </is>
      </c>
      <c r="BD59" t="inlineStr">
        <is>
          <t>893732788</t>
        </is>
      </c>
    </row>
    <row r="60">
      <c r="A60" t="inlineStr">
        <is>
          <t>No</t>
        </is>
      </c>
      <c r="B60" t="inlineStr">
        <is>
          <t>QZ13 E562 2007</t>
        </is>
      </c>
      <c r="C60" t="inlineStr">
        <is>
          <t>0                      QZ 0013000E  562         2007</t>
        </is>
      </c>
      <c r="D60" t="inlineStr">
        <is>
          <t>Encyclopedia of cancer and society / Graham A. Colditz, general editor.</t>
        </is>
      </c>
      <c r="E60" t="inlineStr">
        <is>
          <t>V.3</t>
        </is>
      </c>
      <c r="F60" t="inlineStr">
        <is>
          <t>Yes</t>
        </is>
      </c>
      <c r="G60" t="inlineStr">
        <is>
          <t>1</t>
        </is>
      </c>
      <c r="H60" t="inlineStr">
        <is>
          <t>No</t>
        </is>
      </c>
      <c r="I60" t="inlineStr">
        <is>
          <t>No</t>
        </is>
      </c>
      <c r="J60" t="inlineStr">
        <is>
          <t>1</t>
        </is>
      </c>
      <c r="L60" t="inlineStr">
        <is>
          <t>Los Angeles : Sage Publications, c2007.</t>
        </is>
      </c>
      <c r="M60" t="inlineStr">
        <is>
          <t>2007</t>
        </is>
      </c>
      <c r="O60" t="inlineStr">
        <is>
          <t>eng</t>
        </is>
      </c>
      <c r="P60" t="inlineStr">
        <is>
          <t>cau</t>
        </is>
      </c>
      <c r="R60" t="inlineStr">
        <is>
          <t xml:space="preserve">QZ </t>
        </is>
      </c>
      <c r="S60" t="n">
        <v>1</v>
      </c>
      <c r="T60" t="n">
        <v>3</v>
      </c>
      <c r="U60" t="inlineStr">
        <is>
          <t>2008-05-15</t>
        </is>
      </c>
      <c r="V60" t="inlineStr">
        <is>
          <t>2008-05-15</t>
        </is>
      </c>
      <c r="W60" t="inlineStr">
        <is>
          <t>2008-04-23</t>
        </is>
      </c>
      <c r="X60" t="inlineStr">
        <is>
          <t>2008-04-23</t>
        </is>
      </c>
      <c r="Y60" t="n">
        <v>311</v>
      </c>
      <c r="Z60" t="n">
        <v>250</v>
      </c>
      <c r="AA60" t="n">
        <v>395</v>
      </c>
      <c r="AB60" t="n">
        <v>3</v>
      </c>
      <c r="AC60" t="n">
        <v>4</v>
      </c>
      <c r="AD60" t="n">
        <v>6</v>
      </c>
      <c r="AE60" t="n">
        <v>16</v>
      </c>
      <c r="AF60" t="n">
        <v>3</v>
      </c>
      <c r="AG60" t="n">
        <v>8</v>
      </c>
      <c r="AH60" t="n">
        <v>1</v>
      </c>
      <c r="AI60" t="n">
        <v>3</v>
      </c>
      <c r="AJ60" t="n">
        <v>2</v>
      </c>
      <c r="AK60" t="n">
        <v>7</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HYPERLINK("https://creighton-primo.hosted.exlibrisgroup.com/primo-explore/search?tab=default_tab&amp;search_scope=EVERYTHING&amp;vid=01CRU&amp;lang=en_US&amp;offset=0&amp;query=any,contains,991000694749702656","Catalog Record")</f>
        <v/>
      </c>
      <c r="AT60">
        <f>HYPERLINK("http://www.worldcat.org/oclc/141385660","WorldCat Record")</f>
        <v/>
      </c>
      <c r="AU60" t="inlineStr">
        <is>
          <t>8907162644:eng</t>
        </is>
      </c>
      <c r="AV60" t="inlineStr">
        <is>
          <t>141385660</t>
        </is>
      </c>
      <c r="AW60" t="inlineStr">
        <is>
          <t>991000694749702656</t>
        </is>
      </c>
      <c r="AX60" t="inlineStr">
        <is>
          <t>991000694749702656</t>
        </is>
      </c>
      <c r="AY60" t="inlineStr">
        <is>
          <t>2261469030002656</t>
        </is>
      </c>
      <c r="AZ60" t="inlineStr">
        <is>
          <t>BOOK</t>
        </is>
      </c>
      <c r="BB60" t="inlineStr">
        <is>
          <t>9781412949897</t>
        </is>
      </c>
      <c r="BC60" t="inlineStr">
        <is>
          <t>30001005292224</t>
        </is>
      </c>
      <c r="BD60" t="inlineStr">
        <is>
          <t>893820120</t>
        </is>
      </c>
    </row>
    <row r="61">
      <c r="A61" t="inlineStr">
        <is>
          <t>No</t>
        </is>
      </c>
      <c r="B61" t="inlineStr">
        <is>
          <t>QZ13 E562 2007</t>
        </is>
      </c>
      <c r="C61" t="inlineStr">
        <is>
          <t>0                      QZ 0013000E  562         2007</t>
        </is>
      </c>
      <c r="D61" t="inlineStr">
        <is>
          <t>Encyclopedia of cancer and society / Graham A. Colditz, general editor.</t>
        </is>
      </c>
      <c r="E61" t="inlineStr">
        <is>
          <t>V.1</t>
        </is>
      </c>
      <c r="F61" t="inlineStr">
        <is>
          <t>Yes</t>
        </is>
      </c>
      <c r="G61" t="inlineStr">
        <is>
          <t>1</t>
        </is>
      </c>
      <c r="H61" t="inlineStr">
        <is>
          <t>No</t>
        </is>
      </c>
      <c r="I61" t="inlineStr">
        <is>
          <t>No</t>
        </is>
      </c>
      <c r="J61" t="inlineStr">
        <is>
          <t>1</t>
        </is>
      </c>
      <c r="L61" t="inlineStr">
        <is>
          <t>Los Angeles : Sage Publications, c2007.</t>
        </is>
      </c>
      <c r="M61" t="inlineStr">
        <is>
          <t>2007</t>
        </is>
      </c>
      <c r="O61" t="inlineStr">
        <is>
          <t>eng</t>
        </is>
      </c>
      <c r="P61" t="inlineStr">
        <is>
          <t>cau</t>
        </is>
      </c>
      <c r="R61" t="inlineStr">
        <is>
          <t xml:space="preserve">QZ </t>
        </is>
      </c>
      <c r="S61" t="n">
        <v>1</v>
      </c>
      <c r="T61" t="n">
        <v>3</v>
      </c>
      <c r="U61" t="inlineStr">
        <is>
          <t>2008-05-15</t>
        </is>
      </c>
      <c r="V61" t="inlineStr">
        <is>
          <t>2008-05-15</t>
        </is>
      </c>
      <c r="W61" t="inlineStr">
        <is>
          <t>2008-04-23</t>
        </is>
      </c>
      <c r="X61" t="inlineStr">
        <is>
          <t>2008-04-23</t>
        </is>
      </c>
      <c r="Y61" t="n">
        <v>311</v>
      </c>
      <c r="Z61" t="n">
        <v>250</v>
      </c>
      <c r="AA61" t="n">
        <v>395</v>
      </c>
      <c r="AB61" t="n">
        <v>3</v>
      </c>
      <c r="AC61" t="n">
        <v>4</v>
      </c>
      <c r="AD61" t="n">
        <v>6</v>
      </c>
      <c r="AE61" t="n">
        <v>16</v>
      </c>
      <c r="AF61" t="n">
        <v>3</v>
      </c>
      <c r="AG61" t="n">
        <v>8</v>
      </c>
      <c r="AH61" t="n">
        <v>1</v>
      </c>
      <c r="AI61" t="n">
        <v>3</v>
      </c>
      <c r="AJ61" t="n">
        <v>2</v>
      </c>
      <c r="AK61" t="n">
        <v>7</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HYPERLINK("https://creighton-primo.hosted.exlibrisgroup.com/primo-explore/search?tab=default_tab&amp;search_scope=EVERYTHING&amp;vid=01CRU&amp;lang=en_US&amp;offset=0&amp;query=any,contains,991000694749702656","Catalog Record")</f>
        <v/>
      </c>
      <c r="AT61">
        <f>HYPERLINK("http://www.worldcat.org/oclc/141385660","WorldCat Record")</f>
        <v/>
      </c>
      <c r="AU61" t="inlineStr">
        <is>
          <t>8907162644:eng</t>
        </is>
      </c>
      <c r="AV61" t="inlineStr">
        <is>
          <t>141385660</t>
        </is>
      </c>
      <c r="AW61" t="inlineStr">
        <is>
          <t>991000694749702656</t>
        </is>
      </c>
      <c r="AX61" t="inlineStr">
        <is>
          <t>991000694749702656</t>
        </is>
      </c>
      <c r="AY61" t="inlineStr">
        <is>
          <t>2261469030002656</t>
        </is>
      </c>
      <c r="AZ61" t="inlineStr">
        <is>
          <t>BOOK</t>
        </is>
      </c>
      <c r="BB61" t="inlineStr">
        <is>
          <t>9781412949897</t>
        </is>
      </c>
      <c r="BC61" t="inlineStr">
        <is>
          <t>30001005292349</t>
        </is>
      </c>
      <c r="BD61" t="inlineStr">
        <is>
          <t>893820119</t>
        </is>
      </c>
    </row>
    <row r="62">
      <c r="A62" t="inlineStr">
        <is>
          <t>No</t>
        </is>
      </c>
      <c r="B62" t="inlineStr">
        <is>
          <t>QZ13 E562 2007</t>
        </is>
      </c>
      <c r="C62" t="inlineStr">
        <is>
          <t>0                      QZ 0013000E  562         2007</t>
        </is>
      </c>
      <c r="D62" t="inlineStr">
        <is>
          <t>Encyclopedia of cancer and society / Graham A. Colditz, general editor.</t>
        </is>
      </c>
      <c r="E62" t="inlineStr">
        <is>
          <t>V.2</t>
        </is>
      </c>
      <c r="F62" t="inlineStr">
        <is>
          <t>Yes</t>
        </is>
      </c>
      <c r="G62" t="inlineStr">
        <is>
          <t>1</t>
        </is>
      </c>
      <c r="H62" t="inlineStr">
        <is>
          <t>No</t>
        </is>
      </c>
      <c r="I62" t="inlineStr">
        <is>
          <t>No</t>
        </is>
      </c>
      <c r="J62" t="inlineStr">
        <is>
          <t>1</t>
        </is>
      </c>
      <c r="L62" t="inlineStr">
        <is>
          <t>Los Angeles : Sage Publications, c2007.</t>
        </is>
      </c>
      <c r="M62" t="inlineStr">
        <is>
          <t>2007</t>
        </is>
      </c>
      <c r="O62" t="inlineStr">
        <is>
          <t>eng</t>
        </is>
      </c>
      <c r="P62" t="inlineStr">
        <is>
          <t>cau</t>
        </is>
      </c>
      <c r="R62" t="inlineStr">
        <is>
          <t xml:space="preserve">QZ </t>
        </is>
      </c>
      <c r="S62" t="n">
        <v>1</v>
      </c>
      <c r="T62" t="n">
        <v>3</v>
      </c>
      <c r="U62" t="inlineStr">
        <is>
          <t>2008-05-15</t>
        </is>
      </c>
      <c r="V62" t="inlineStr">
        <is>
          <t>2008-05-15</t>
        </is>
      </c>
      <c r="W62" t="inlineStr">
        <is>
          <t>2008-04-23</t>
        </is>
      </c>
      <c r="X62" t="inlineStr">
        <is>
          <t>2008-04-23</t>
        </is>
      </c>
      <c r="Y62" t="n">
        <v>311</v>
      </c>
      <c r="Z62" t="n">
        <v>250</v>
      </c>
      <c r="AA62" t="n">
        <v>395</v>
      </c>
      <c r="AB62" t="n">
        <v>3</v>
      </c>
      <c r="AC62" t="n">
        <v>4</v>
      </c>
      <c r="AD62" t="n">
        <v>6</v>
      </c>
      <c r="AE62" t="n">
        <v>16</v>
      </c>
      <c r="AF62" t="n">
        <v>3</v>
      </c>
      <c r="AG62" t="n">
        <v>8</v>
      </c>
      <c r="AH62" t="n">
        <v>1</v>
      </c>
      <c r="AI62" t="n">
        <v>3</v>
      </c>
      <c r="AJ62" t="n">
        <v>2</v>
      </c>
      <c r="AK62" t="n">
        <v>7</v>
      </c>
      <c r="AL62" t="n">
        <v>2</v>
      </c>
      <c r="AM62" t="n">
        <v>2</v>
      </c>
      <c r="AN62" t="n">
        <v>0</v>
      </c>
      <c r="AO62" t="n">
        <v>0</v>
      </c>
      <c r="AP62" t="inlineStr">
        <is>
          <t>No</t>
        </is>
      </c>
      <c r="AQ62" t="inlineStr">
        <is>
          <t>No</t>
        </is>
      </c>
      <c r="AS62">
        <f>HYPERLINK("https://creighton-primo.hosted.exlibrisgroup.com/primo-explore/search?tab=default_tab&amp;search_scope=EVERYTHING&amp;vid=01CRU&amp;lang=en_US&amp;offset=0&amp;query=any,contains,991000694749702656","Catalog Record")</f>
        <v/>
      </c>
      <c r="AT62">
        <f>HYPERLINK("http://www.worldcat.org/oclc/141385660","WorldCat Record")</f>
        <v/>
      </c>
      <c r="AU62" t="inlineStr">
        <is>
          <t>8907162644:eng</t>
        </is>
      </c>
      <c r="AV62" t="inlineStr">
        <is>
          <t>141385660</t>
        </is>
      </c>
      <c r="AW62" t="inlineStr">
        <is>
          <t>991000694749702656</t>
        </is>
      </c>
      <c r="AX62" t="inlineStr">
        <is>
          <t>991000694749702656</t>
        </is>
      </c>
      <c r="AY62" t="inlineStr">
        <is>
          <t>2261469030002656</t>
        </is>
      </c>
      <c r="AZ62" t="inlineStr">
        <is>
          <t>BOOK</t>
        </is>
      </c>
      <c r="BB62" t="inlineStr">
        <is>
          <t>9781412949897</t>
        </is>
      </c>
      <c r="BC62" t="inlineStr">
        <is>
          <t>30001005292281</t>
        </is>
      </c>
      <c r="BD62" t="inlineStr">
        <is>
          <t>893831119</t>
        </is>
      </c>
    </row>
    <row r="63">
      <c r="A63" t="inlineStr">
        <is>
          <t>No</t>
        </is>
      </c>
      <c r="B63" t="inlineStr">
        <is>
          <t>QZ 15 S557m 1984</t>
        </is>
      </c>
      <c r="C63" t="inlineStr">
        <is>
          <t>0                      QZ 0015000S  557m        1984</t>
        </is>
      </c>
      <c r="D63" t="inlineStr">
        <is>
          <t>Mnemonics and tactics in surgery and medicine / by John J. Shipman.</t>
        </is>
      </c>
      <c r="F63" t="inlineStr">
        <is>
          <t>No</t>
        </is>
      </c>
      <c r="G63" t="inlineStr">
        <is>
          <t>1</t>
        </is>
      </c>
      <c r="H63" t="inlineStr">
        <is>
          <t>No</t>
        </is>
      </c>
      <c r="I63" t="inlineStr">
        <is>
          <t>No</t>
        </is>
      </c>
      <c r="J63" t="inlineStr">
        <is>
          <t>0</t>
        </is>
      </c>
      <c r="K63" t="inlineStr">
        <is>
          <t>Shipman, John J.</t>
        </is>
      </c>
      <c r="L63" t="inlineStr">
        <is>
          <t>Chicago : Year Book Medical Publishers, c1984.</t>
        </is>
      </c>
      <c r="M63" t="inlineStr">
        <is>
          <t>1984</t>
        </is>
      </c>
      <c r="O63" t="inlineStr">
        <is>
          <t>eng</t>
        </is>
      </c>
      <c r="P63" t="inlineStr">
        <is>
          <t>xxu</t>
        </is>
      </c>
      <c r="R63" t="inlineStr">
        <is>
          <t xml:space="preserve">QZ </t>
        </is>
      </c>
      <c r="S63" t="n">
        <v>10</v>
      </c>
      <c r="T63" t="n">
        <v>10</v>
      </c>
      <c r="U63" t="inlineStr">
        <is>
          <t>1997-07-09</t>
        </is>
      </c>
      <c r="V63" t="inlineStr">
        <is>
          <t>1997-07-09</t>
        </is>
      </c>
      <c r="W63" t="inlineStr">
        <is>
          <t>1988-02-12</t>
        </is>
      </c>
      <c r="X63" t="inlineStr">
        <is>
          <t>1988-02-12</t>
        </is>
      </c>
      <c r="Y63" t="n">
        <v>47</v>
      </c>
      <c r="Z63" t="n">
        <v>45</v>
      </c>
      <c r="AA63" t="n">
        <v>55</v>
      </c>
      <c r="AB63" t="n">
        <v>1</v>
      </c>
      <c r="AC63" t="n">
        <v>1</v>
      </c>
      <c r="AD63" t="n">
        <v>0</v>
      </c>
      <c r="AE63" t="n">
        <v>0</v>
      </c>
      <c r="AF63" t="n">
        <v>0</v>
      </c>
      <c r="AG63" t="n">
        <v>0</v>
      </c>
      <c r="AH63" t="n">
        <v>0</v>
      </c>
      <c r="AI63" t="n">
        <v>0</v>
      </c>
      <c r="AJ63" t="n">
        <v>0</v>
      </c>
      <c r="AK63" t="n">
        <v>0</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HYPERLINK("https://creighton-primo.hosted.exlibrisgroup.com/primo-explore/search?tab=default_tab&amp;search_scope=EVERYTHING&amp;vid=01CRU&amp;lang=en_US&amp;offset=0&amp;query=any,contains,991001088729702656","Catalog Record")</f>
        <v/>
      </c>
      <c r="AT63">
        <f>HYPERLINK("http://www.worldcat.org/oclc/11068981","WorldCat Record")</f>
        <v/>
      </c>
      <c r="AU63" t="inlineStr">
        <is>
          <t>3864288:eng</t>
        </is>
      </c>
      <c r="AV63" t="inlineStr">
        <is>
          <t>11068981</t>
        </is>
      </c>
      <c r="AW63" t="inlineStr">
        <is>
          <t>991001088729702656</t>
        </is>
      </c>
      <c r="AX63" t="inlineStr">
        <is>
          <t>991001088729702656</t>
        </is>
      </c>
      <c r="AY63" t="inlineStr">
        <is>
          <t>2260415840002656</t>
        </is>
      </c>
      <c r="AZ63" t="inlineStr">
        <is>
          <t>BOOK</t>
        </is>
      </c>
      <c r="BC63" t="inlineStr">
        <is>
          <t>30001000261034</t>
        </is>
      </c>
      <c r="BD63" t="inlineStr">
        <is>
          <t>893161672</t>
        </is>
      </c>
    </row>
    <row r="64">
      <c r="A64" t="inlineStr">
        <is>
          <t>No</t>
        </is>
      </c>
      <c r="B64" t="inlineStr">
        <is>
          <t>QZ 16 I27m 1993</t>
        </is>
      </c>
      <c r="C64" t="inlineStr">
        <is>
          <t>0                      QZ 0016000I  27m         1993</t>
        </is>
      </c>
      <c r="D64" t="inlineStr">
        <is>
          <t>Mesotheliomas of animals : a comprehensive, tabular compendium of the world's literature / E.B. Ilgren.</t>
        </is>
      </c>
      <c r="F64" t="inlineStr">
        <is>
          <t>No</t>
        </is>
      </c>
      <c r="G64" t="inlineStr">
        <is>
          <t>1</t>
        </is>
      </c>
      <c r="H64" t="inlineStr">
        <is>
          <t>No</t>
        </is>
      </c>
      <c r="I64" t="inlineStr">
        <is>
          <t>No</t>
        </is>
      </c>
      <c r="J64" t="inlineStr">
        <is>
          <t>0</t>
        </is>
      </c>
      <c r="K64" t="inlineStr">
        <is>
          <t>Ilgren, E. B.</t>
        </is>
      </c>
      <c r="L64" t="inlineStr">
        <is>
          <t>Boca Raton, Fla. : CRC Press, c1993.</t>
        </is>
      </c>
      <c r="M64" t="inlineStr">
        <is>
          <t>1993</t>
        </is>
      </c>
      <c r="O64" t="inlineStr">
        <is>
          <t>eng</t>
        </is>
      </c>
      <c r="P64" t="inlineStr">
        <is>
          <t>flu</t>
        </is>
      </c>
      <c r="R64" t="inlineStr">
        <is>
          <t xml:space="preserve">QZ </t>
        </is>
      </c>
      <c r="S64" t="n">
        <v>3</v>
      </c>
      <c r="T64" t="n">
        <v>3</v>
      </c>
      <c r="U64" t="inlineStr">
        <is>
          <t>1994-09-07</t>
        </is>
      </c>
      <c r="V64" t="inlineStr">
        <is>
          <t>1994-09-07</t>
        </is>
      </c>
      <c r="W64" t="inlineStr">
        <is>
          <t>1994-09-06</t>
        </is>
      </c>
      <c r="X64" t="inlineStr">
        <is>
          <t>1994-09-06</t>
        </is>
      </c>
      <c r="Y64" t="n">
        <v>39</v>
      </c>
      <c r="Z64" t="n">
        <v>32</v>
      </c>
      <c r="AA64" t="n">
        <v>47</v>
      </c>
      <c r="AB64" t="n">
        <v>1</v>
      </c>
      <c r="AC64" t="n">
        <v>1</v>
      </c>
      <c r="AD64" t="n">
        <v>0</v>
      </c>
      <c r="AE64" t="n">
        <v>0</v>
      </c>
      <c r="AF64" t="n">
        <v>0</v>
      </c>
      <c r="AG64" t="n">
        <v>0</v>
      </c>
      <c r="AH64" t="n">
        <v>0</v>
      </c>
      <c r="AI64" t="n">
        <v>0</v>
      </c>
      <c r="AJ64" t="n">
        <v>0</v>
      </c>
      <c r="AK64" t="n">
        <v>0</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HYPERLINK("https://creighton-primo.hosted.exlibrisgroup.com/primo-explore/search?tab=default_tab&amp;search_scope=EVERYTHING&amp;vid=01CRU&amp;lang=en_US&amp;offset=0&amp;query=any,contains,991000673989702656","Catalog Record")</f>
        <v/>
      </c>
      <c r="AT64">
        <f>HYPERLINK("http://www.worldcat.org/oclc/28338526","WorldCat Record")</f>
        <v/>
      </c>
      <c r="AU64" t="inlineStr">
        <is>
          <t>309018745:eng</t>
        </is>
      </c>
      <c r="AV64" t="inlineStr">
        <is>
          <t>28338526</t>
        </is>
      </c>
      <c r="AW64" t="inlineStr">
        <is>
          <t>991000673989702656</t>
        </is>
      </c>
      <c r="AX64" t="inlineStr">
        <is>
          <t>991000673989702656</t>
        </is>
      </c>
      <c r="AY64" t="inlineStr">
        <is>
          <t>2261420620002656</t>
        </is>
      </c>
      <c r="AZ64" t="inlineStr">
        <is>
          <t>BOOK</t>
        </is>
      </c>
      <c r="BB64" t="inlineStr">
        <is>
          <t>9780849343087</t>
        </is>
      </c>
      <c r="BC64" t="inlineStr">
        <is>
          <t>30001002696468</t>
        </is>
      </c>
      <c r="BD64" t="inlineStr">
        <is>
          <t>893545489</t>
        </is>
      </c>
    </row>
    <row r="65">
      <c r="A65" t="inlineStr">
        <is>
          <t>No</t>
        </is>
      </c>
      <c r="B65" t="inlineStr">
        <is>
          <t>QZ17 A880375 2003</t>
        </is>
      </c>
      <c r="C65" t="inlineStr">
        <is>
          <t>0                      QZ 0017000A  880375      2003</t>
        </is>
      </c>
      <c r="D65" t="inlineStr">
        <is>
          <t>Atlas of diagnostic oncology / edited by Arthur T. Skarin ; associate editors, Kitt Shaffer, Tad Wieczorek ; foreword by George P. Canellos.</t>
        </is>
      </c>
      <c r="F65" t="inlineStr">
        <is>
          <t>No</t>
        </is>
      </c>
      <c r="G65" t="inlineStr">
        <is>
          <t>1</t>
        </is>
      </c>
      <c r="H65" t="inlineStr">
        <is>
          <t>No</t>
        </is>
      </c>
      <c r="I65" t="inlineStr">
        <is>
          <t>No</t>
        </is>
      </c>
      <c r="J65" t="inlineStr">
        <is>
          <t>1</t>
        </is>
      </c>
      <c r="L65" t="inlineStr">
        <is>
          <t>[London] : Mosby, 2003.</t>
        </is>
      </c>
      <c r="M65" t="inlineStr">
        <is>
          <t>2003</t>
        </is>
      </c>
      <c r="N65" t="inlineStr">
        <is>
          <t>3rd ed.</t>
        </is>
      </c>
      <c r="O65" t="inlineStr">
        <is>
          <t>eng</t>
        </is>
      </c>
      <c r="P65" t="inlineStr">
        <is>
          <t>enk</t>
        </is>
      </c>
      <c r="R65" t="inlineStr">
        <is>
          <t xml:space="preserve">QZ </t>
        </is>
      </c>
      <c r="S65" t="n">
        <v>8</v>
      </c>
      <c r="T65" t="n">
        <v>8</v>
      </c>
      <c r="U65" t="inlineStr">
        <is>
          <t>2005-10-27</t>
        </is>
      </c>
      <c r="V65" t="inlineStr">
        <is>
          <t>2005-10-27</t>
        </is>
      </c>
      <c r="W65" t="inlineStr">
        <is>
          <t>2004-01-29</t>
        </is>
      </c>
      <c r="X65" t="inlineStr">
        <is>
          <t>2004-01-29</t>
        </is>
      </c>
      <c r="Y65" t="n">
        <v>123</v>
      </c>
      <c r="Z65" t="n">
        <v>90</v>
      </c>
      <c r="AA65" t="n">
        <v>305</v>
      </c>
      <c r="AB65" t="n">
        <v>1</v>
      </c>
      <c r="AC65" t="n">
        <v>2</v>
      </c>
      <c r="AD65" t="n">
        <v>2</v>
      </c>
      <c r="AE65" t="n">
        <v>6</v>
      </c>
      <c r="AF65" t="n">
        <v>1</v>
      </c>
      <c r="AG65" t="n">
        <v>1</v>
      </c>
      <c r="AH65" t="n">
        <v>0</v>
      </c>
      <c r="AI65" t="n">
        <v>2</v>
      </c>
      <c r="AJ65" t="n">
        <v>1</v>
      </c>
      <c r="AK65" t="n">
        <v>3</v>
      </c>
      <c r="AL65" t="n">
        <v>0</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HYPERLINK("https://creighton-primo.hosted.exlibrisgroup.com/primo-explore/search?tab=default_tab&amp;search_scope=EVERYTHING&amp;vid=01CRU&amp;lang=en_US&amp;offset=0&amp;query=any,contains,991000364889702656","Catalog Record")</f>
        <v/>
      </c>
      <c r="AT65">
        <f>HYPERLINK("http://www.worldcat.org/oclc/51856544","WorldCat Record")</f>
        <v/>
      </c>
      <c r="AU65" t="inlineStr">
        <is>
          <t>364455157:eng</t>
        </is>
      </c>
      <c r="AV65" t="inlineStr">
        <is>
          <t>51856544</t>
        </is>
      </c>
      <c r="AW65" t="inlineStr">
        <is>
          <t>991000364889702656</t>
        </is>
      </c>
      <c r="AX65" t="inlineStr">
        <is>
          <t>991000364889702656</t>
        </is>
      </c>
      <c r="AY65" t="inlineStr">
        <is>
          <t>2272269420002656</t>
        </is>
      </c>
      <c r="AZ65" t="inlineStr">
        <is>
          <t>BOOK</t>
        </is>
      </c>
      <c r="BB65" t="inlineStr">
        <is>
          <t>9780723432067</t>
        </is>
      </c>
      <c r="BC65" t="inlineStr">
        <is>
          <t>30001004508893</t>
        </is>
      </c>
      <c r="BD65" t="inlineStr">
        <is>
          <t>893723403</t>
        </is>
      </c>
    </row>
    <row r="66">
      <c r="A66" t="inlineStr">
        <is>
          <t>No</t>
        </is>
      </c>
      <c r="B66" t="inlineStr">
        <is>
          <t>QZ 17 A881 v.6 1969</t>
        </is>
      </c>
      <c r="C66" t="inlineStr">
        <is>
          <t>0                      QZ 0017000A  881                                                     v.6 1969</t>
        </is>
      </c>
      <c r="D66" t="inlineStr">
        <is>
          <t>The breast, by David M. Witten.</t>
        </is>
      </c>
      <c r="E66" t="inlineStr">
        <is>
          <t>V. 6 1969</t>
        </is>
      </c>
      <c r="F66" t="inlineStr">
        <is>
          <t>No</t>
        </is>
      </c>
      <c r="G66" t="inlineStr">
        <is>
          <t>1</t>
        </is>
      </c>
      <c r="H66" t="inlineStr">
        <is>
          <t>No</t>
        </is>
      </c>
      <c r="I66" t="inlineStr">
        <is>
          <t>No</t>
        </is>
      </c>
      <c r="J66" t="inlineStr">
        <is>
          <t>0</t>
        </is>
      </c>
      <c r="K66" t="inlineStr">
        <is>
          <t>Witten, David M. (David Melvin), 1926-2007.</t>
        </is>
      </c>
      <c r="L66" t="inlineStr">
        <is>
          <t>Chicago : Year Book Medical Publishers, [1969]</t>
        </is>
      </c>
      <c r="M66" t="inlineStr">
        <is>
          <t>1969</t>
        </is>
      </c>
      <c r="O66" t="inlineStr">
        <is>
          <t>eng</t>
        </is>
      </c>
      <c r="P66" t="inlineStr">
        <is>
          <t>ilu</t>
        </is>
      </c>
      <c r="Q66" t="inlineStr">
        <is>
          <t>Atlas of tumor radiology</t>
        </is>
      </c>
      <c r="R66" t="inlineStr">
        <is>
          <t xml:space="preserve">QZ </t>
        </is>
      </c>
      <c r="S66" t="n">
        <v>3</v>
      </c>
      <c r="T66" t="n">
        <v>3</v>
      </c>
      <c r="U66" t="inlineStr">
        <is>
          <t>1997-04-09</t>
        </is>
      </c>
      <c r="V66" t="inlineStr">
        <is>
          <t>1997-04-09</t>
        </is>
      </c>
      <c r="W66" t="inlineStr">
        <is>
          <t>1988-03-24</t>
        </is>
      </c>
      <c r="X66" t="inlineStr">
        <is>
          <t>1988-03-24</t>
        </is>
      </c>
      <c r="Y66" t="n">
        <v>133</v>
      </c>
      <c r="Z66" t="n">
        <v>83</v>
      </c>
      <c r="AA66" t="n">
        <v>86</v>
      </c>
      <c r="AB66" t="n">
        <v>1</v>
      </c>
      <c r="AC66" t="n">
        <v>1</v>
      </c>
      <c r="AD66" t="n">
        <v>1</v>
      </c>
      <c r="AE66" t="n">
        <v>1</v>
      </c>
      <c r="AF66" t="n">
        <v>0</v>
      </c>
      <c r="AG66" t="n">
        <v>0</v>
      </c>
      <c r="AH66" t="n">
        <v>0</v>
      </c>
      <c r="AI66" t="n">
        <v>0</v>
      </c>
      <c r="AJ66" t="n">
        <v>1</v>
      </c>
      <c r="AK66" t="n">
        <v>1</v>
      </c>
      <c r="AL66" t="n">
        <v>0</v>
      </c>
      <c r="AM66" t="n">
        <v>0</v>
      </c>
      <c r="AN66" t="n">
        <v>0</v>
      </c>
      <c r="AO66" t="n">
        <v>0</v>
      </c>
      <c r="AP66" t="inlineStr">
        <is>
          <t>No</t>
        </is>
      </c>
      <c r="AQ66" t="inlineStr">
        <is>
          <t>Yes</t>
        </is>
      </c>
      <c r="AR66">
        <f>HYPERLINK("http://catalog.hathitrust.org/Record/001578843","HathiTrust Record")</f>
        <v/>
      </c>
      <c r="AS66">
        <f>HYPERLINK("https://creighton-primo.hosted.exlibrisgroup.com/primo-explore/search?tab=default_tab&amp;search_scope=EVERYTHING&amp;vid=01CRU&amp;lang=en_US&amp;offset=0&amp;query=any,contains,991001088839702656","Catalog Record")</f>
        <v/>
      </c>
      <c r="AT66">
        <f>HYPERLINK("http://www.worldcat.org/oclc/70498","WorldCat Record")</f>
        <v/>
      </c>
      <c r="AU66" t="inlineStr">
        <is>
          <t>283500785:eng</t>
        </is>
      </c>
      <c r="AV66" t="inlineStr">
        <is>
          <t>70498</t>
        </is>
      </c>
      <c r="AW66" t="inlineStr">
        <is>
          <t>991001088839702656</t>
        </is>
      </c>
      <c r="AX66" t="inlineStr">
        <is>
          <t>991001088839702656</t>
        </is>
      </c>
      <c r="AY66" t="inlineStr">
        <is>
          <t>2270341630002656</t>
        </is>
      </c>
      <c r="AZ66" t="inlineStr">
        <is>
          <t>BOOK</t>
        </is>
      </c>
      <c r="BB66" t="inlineStr">
        <is>
          <t>9780815193432</t>
        </is>
      </c>
      <c r="BC66" t="inlineStr">
        <is>
          <t>30001000261075</t>
        </is>
      </c>
      <c r="BD66" t="inlineStr">
        <is>
          <t>893557565</t>
        </is>
      </c>
    </row>
    <row r="67">
      <c r="A67" t="inlineStr">
        <is>
          <t>No</t>
        </is>
      </c>
      <c r="B67" t="inlineStr">
        <is>
          <t>QZ 17 A881 v.7 1968</t>
        </is>
      </c>
      <c r="C67" t="inlineStr">
        <is>
          <t>0                      QZ 0017000A  881                                                     v.7 1968</t>
        </is>
      </c>
      <c r="D67" t="inlineStr">
        <is>
          <t>The head &amp; neck : by Gilbert H. Fletcher and Bao-Sahn Jing in collaboration with Max L. M. Boone [et al.]</t>
        </is>
      </c>
      <c r="E67" t="inlineStr">
        <is>
          <t>V. 7 1968</t>
        </is>
      </c>
      <c r="F67" t="inlineStr">
        <is>
          <t>No</t>
        </is>
      </c>
      <c r="G67" t="inlineStr">
        <is>
          <t>1</t>
        </is>
      </c>
      <c r="H67" t="inlineStr">
        <is>
          <t>No</t>
        </is>
      </c>
      <c r="I67" t="inlineStr">
        <is>
          <t>No</t>
        </is>
      </c>
      <c r="J67" t="inlineStr">
        <is>
          <t>0</t>
        </is>
      </c>
      <c r="K67" t="inlineStr">
        <is>
          <t>Fletcher, Gilbert H. (Gilbert Hungerford), 1911-</t>
        </is>
      </c>
      <c r="L67" t="inlineStr">
        <is>
          <t>Chicago : Year Book Medical Publishers, [c1968]</t>
        </is>
      </c>
      <c r="M67" t="inlineStr">
        <is>
          <t>1968</t>
        </is>
      </c>
      <c r="O67" t="inlineStr">
        <is>
          <t>eng</t>
        </is>
      </c>
      <c r="P67" t="inlineStr">
        <is>
          <t xml:space="preserve">xx </t>
        </is>
      </c>
      <c r="Q67" t="inlineStr">
        <is>
          <t>Atlas of tumor radiology ; v. 7</t>
        </is>
      </c>
      <c r="R67" t="inlineStr">
        <is>
          <t xml:space="preserve">QZ </t>
        </is>
      </c>
      <c r="S67" t="n">
        <v>1</v>
      </c>
      <c r="T67" t="n">
        <v>1</v>
      </c>
      <c r="U67" t="inlineStr">
        <is>
          <t>1989-07-12</t>
        </is>
      </c>
      <c r="V67" t="inlineStr">
        <is>
          <t>1989-07-12</t>
        </is>
      </c>
      <c r="W67" t="inlineStr">
        <is>
          <t>1988-03-24</t>
        </is>
      </c>
      <c r="X67" t="inlineStr">
        <is>
          <t>1988-03-24</t>
        </is>
      </c>
      <c r="Y67" t="n">
        <v>130</v>
      </c>
      <c r="Z67" t="n">
        <v>91</v>
      </c>
      <c r="AA67" t="n">
        <v>94</v>
      </c>
      <c r="AB67" t="n">
        <v>1</v>
      </c>
      <c r="AC67" t="n">
        <v>1</v>
      </c>
      <c r="AD67" t="n">
        <v>3</v>
      </c>
      <c r="AE67" t="n">
        <v>3</v>
      </c>
      <c r="AF67" t="n">
        <v>0</v>
      </c>
      <c r="AG67" t="n">
        <v>0</v>
      </c>
      <c r="AH67" t="n">
        <v>0</v>
      </c>
      <c r="AI67" t="n">
        <v>0</v>
      </c>
      <c r="AJ67" t="n">
        <v>3</v>
      </c>
      <c r="AK67" t="n">
        <v>3</v>
      </c>
      <c r="AL67" t="n">
        <v>0</v>
      </c>
      <c r="AM67" t="n">
        <v>0</v>
      </c>
      <c r="AN67" t="n">
        <v>0</v>
      </c>
      <c r="AO67" t="n">
        <v>0</v>
      </c>
      <c r="AP67" t="inlineStr">
        <is>
          <t>No</t>
        </is>
      </c>
      <c r="AQ67" t="inlineStr">
        <is>
          <t>Yes</t>
        </is>
      </c>
      <c r="AR67">
        <f>HYPERLINK("http://catalog.hathitrust.org/Record/001562701","HathiTrust Record")</f>
        <v/>
      </c>
      <c r="AS67">
        <f>HYPERLINK("https://creighton-primo.hosted.exlibrisgroup.com/primo-explore/search?tab=default_tab&amp;search_scope=EVERYTHING&amp;vid=01CRU&amp;lang=en_US&amp;offset=0&amp;query=any,contains,991001088799702656","Catalog Record")</f>
        <v/>
      </c>
      <c r="AT67">
        <f>HYPERLINK("http://www.worldcat.org/oclc/448572","WorldCat Record")</f>
        <v/>
      </c>
      <c r="AU67" t="inlineStr">
        <is>
          <t>1588179:eng</t>
        </is>
      </c>
      <c r="AV67" t="inlineStr">
        <is>
          <t>448572</t>
        </is>
      </c>
      <c r="AW67" t="inlineStr">
        <is>
          <t>991001088799702656</t>
        </is>
      </c>
      <c r="AX67" t="inlineStr">
        <is>
          <t>991001088799702656</t>
        </is>
      </c>
      <c r="AY67" t="inlineStr">
        <is>
          <t>2267244520002656</t>
        </is>
      </c>
      <c r="AZ67" t="inlineStr">
        <is>
          <t>BOOK</t>
        </is>
      </c>
      <c r="BC67" t="inlineStr">
        <is>
          <t>30001000261067</t>
        </is>
      </c>
      <c r="BD67" t="inlineStr">
        <is>
          <t>893743622</t>
        </is>
      </c>
    </row>
    <row r="68">
      <c r="A68" t="inlineStr">
        <is>
          <t>No</t>
        </is>
      </c>
      <c r="B68" t="inlineStr">
        <is>
          <t>QZ 17 A881 1980</t>
        </is>
      </c>
      <c r="C68" t="inlineStr">
        <is>
          <t>0                      QZ 0017000A  881         1980</t>
        </is>
      </c>
      <c r="D68" t="inlineStr">
        <is>
          <t>Atlas of ultrastructure : ultrastructural features in pathology / edited by C. Howard Tseng.</t>
        </is>
      </c>
      <c r="F68" t="inlineStr">
        <is>
          <t>No</t>
        </is>
      </c>
      <c r="G68" t="inlineStr">
        <is>
          <t>1</t>
        </is>
      </c>
      <c r="H68" t="inlineStr">
        <is>
          <t>No</t>
        </is>
      </c>
      <c r="I68" t="inlineStr">
        <is>
          <t>No</t>
        </is>
      </c>
      <c r="J68" t="inlineStr">
        <is>
          <t>0</t>
        </is>
      </c>
      <c r="L68" t="inlineStr">
        <is>
          <t>New York : Appleton-Century-Crofts, 1980.</t>
        </is>
      </c>
      <c r="M68" t="inlineStr">
        <is>
          <t>1980</t>
        </is>
      </c>
      <c r="O68" t="inlineStr">
        <is>
          <t>eng</t>
        </is>
      </c>
      <c r="P68" t="inlineStr">
        <is>
          <t>nyu</t>
        </is>
      </c>
      <c r="R68" t="inlineStr">
        <is>
          <t xml:space="preserve">QZ </t>
        </is>
      </c>
      <c r="S68" t="n">
        <v>7</v>
      </c>
      <c r="T68" t="n">
        <v>7</v>
      </c>
      <c r="U68" t="inlineStr">
        <is>
          <t>1993-03-26</t>
        </is>
      </c>
      <c r="V68" t="inlineStr">
        <is>
          <t>1993-03-26</t>
        </is>
      </c>
      <c r="W68" t="inlineStr">
        <is>
          <t>1988-03-23</t>
        </is>
      </c>
      <c r="X68" t="inlineStr">
        <is>
          <t>1988-03-23</t>
        </is>
      </c>
      <c r="Y68" t="n">
        <v>155</v>
      </c>
      <c r="Z68" t="n">
        <v>113</v>
      </c>
      <c r="AA68" t="n">
        <v>116</v>
      </c>
      <c r="AB68" t="n">
        <v>1</v>
      </c>
      <c r="AC68" t="n">
        <v>1</v>
      </c>
      <c r="AD68" t="n">
        <v>1</v>
      </c>
      <c r="AE68" t="n">
        <v>1</v>
      </c>
      <c r="AF68" t="n">
        <v>0</v>
      </c>
      <c r="AG68" t="n">
        <v>0</v>
      </c>
      <c r="AH68" t="n">
        <v>1</v>
      </c>
      <c r="AI68" t="n">
        <v>1</v>
      </c>
      <c r="AJ68" t="n">
        <v>0</v>
      </c>
      <c r="AK68" t="n">
        <v>0</v>
      </c>
      <c r="AL68" t="n">
        <v>0</v>
      </c>
      <c r="AM68" t="n">
        <v>0</v>
      </c>
      <c r="AN68" t="n">
        <v>0</v>
      </c>
      <c r="AO68" t="n">
        <v>0</v>
      </c>
      <c r="AP68" t="inlineStr">
        <is>
          <t>No</t>
        </is>
      </c>
      <c r="AQ68" t="inlineStr">
        <is>
          <t>Yes</t>
        </is>
      </c>
      <c r="AR68">
        <f>HYPERLINK("http://catalog.hathitrust.org/Record/000140999","HathiTrust Record")</f>
        <v/>
      </c>
      <c r="AS68">
        <f>HYPERLINK("https://creighton-primo.hosted.exlibrisgroup.com/primo-explore/search?tab=default_tab&amp;search_scope=EVERYTHING&amp;vid=01CRU&amp;lang=en_US&amp;offset=0&amp;query=any,contains,991001088939702656","Catalog Record")</f>
        <v/>
      </c>
      <c r="AT68">
        <f>HYPERLINK("http://www.worldcat.org/oclc/5336909","WorldCat Record")</f>
        <v/>
      </c>
      <c r="AU68" t="inlineStr">
        <is>
          <t>17881539:eng</t>
        </is>
      </c>
      <c r="AV68" t="inlineStr">
        <is>
          <t>5336909</t>
        </is>
      </c>
      <c r="AW68" t="inlineStr">
        <is>
          <t>991001088939702656</t>
        </is>
      </c>
      <c r="AX68" t="inlineStr">
        <is>
          <t>991001088939702656</t>
        </is>
      </c>
      <c r="AY68" t="inlineStr">
        <is>
          <t>2265283270002656</t>
        </is>
      </c>
      <c r="AZ68" t="inlineStr">
        <is>
          <t>BOOK</t>
        </is>
      </c>
      <c r="BB68" t="inlineStr">
        <is>
          <t>9780838504628</t>
        </is>
      </c>
      <c r="BC68" t="inlineStr">
        <is>
          <t>30001000261109</t>
        </is>
      </c>
      <c r="BD68" t="inlineStr">
        <is>
          <t>893273654</t>
        </is>
      </c>
    </row>
    <row r="69">
      <c r="A69" t="inlineStr">
        <is>
          <t>No</t>
        </is>
      </c>
      <c r="B69" t="inlineStr">
        <is>
          <t>QZ 17 C773c 1987</t>
        </is>
      </c>
      <c r="C69" t="inlineStr">
        <is>
          <t>0                      QZ 0017000C  773c        1987</t>
        </is>
      </c>
      <c r="D69" t="inlineStr">
        <is>
          <t>Colour atlas of anatomical pathology / Robin A. Cooke, Brian Stewart.</t>
        </is>
      </c>
      <c r="F69" t="inlineStr">
        <is>
          <t>No</t>
        </is>
      </c>
      <c r="G69" t="inlineStr">
        <is>
          <t>1</t>
        </is>
      </c>
      <c r="H69" t="inlineStr">
        <is>
          <t>No</t>
        </is>
      </c>
      <c r="I69" t="inlineStr">
        <is>
          <t>No</t>
        </is>
      </c>
      <c r="J69" t="inlineStr">
        <is>
          <t>0</t>
        </is>
      </c>
      <c r="K69" t="inlineStr">
        <is>
          <t>Cooke, Robin A.</t>
        </is>
      </c>
      <c r="L69" t="inlineStr">
        <is>
          <t>Edinburgh ; New York : Churchill Livingstone, 1987.</t>
        </is>
      </c>
      <c r="M69" t="inlineStr">
        <is>
          <t>1987</t>
        </is>
      </c>
      <c r="O69" t="inlineStr">
        <is>
          <t>eng</t>
        </is>
      </c>
      <c r="P69" t="inlineStr">
        <is>
          <t>stk</t>
        </is>
      </c>
      <c r="R69" t="inlineStr">
        <is>
          <t xml:space="preserve">QZ </t>
        </is>
      </c>
      <c r="S69" t="n">
        <v>68</v>
      </c>
      <c r="T69" t="n">
        <v>68</v>
      </c>
      <c r="U69" t="inlineStr">
        <is>
          <t>2003-10-17</t>
        </is>
      </c>
      <c r="V69" t="inlineStr">
        <is>
          <t>2003-10-17</t>
        </is>
      </c>
      <c r="W69" t="inlineStr">
        <is>
          <t>1992-08-06</t>
        </is>
      </c>
      <c r="X69" t="inlineStr">
        <is>
          <t>1992-08-06</t>
        </is>
      </c>
      <c r="Y69" t="n">
        <v>106</v>
      </c>
      <c r="Z69" t="n">
        <v>50</v>
      </c>
      <c r="AA69" t="n">
        <v>805</v>
      </c>
      <c r="AB69" t="n">
        <v>1</v>
      </c>
      <c r="AC69" t="n">
        <v>28</v>
      </c>
      <c r="AD69" t="n">
        <v>2</v>
      </c>
      <c r="AE69" t="n">
        <v>20</v>
      </c>
      <c r="AF69" t="n">
        <v>0</v>
      </c>
      <c r="AG69" t="n">
        <v>6</v>
      </c>
      <c r="AH69" t="n">
        <v>1</v>
      </c>
      <c r="AI69" t="n">
        <v>2</v>
      </c>
      <c r="AJ69" t="n">
        <v>2</v>
      </c>
      <c r="AK69" t="n">
        <v>5</v>
      </c>
      <c r="AL69" t="n">
        <v>0</v>
      </c>
      <c r="AM69" t="n">
        <v>9</v>
      </c>
      <c r="AN69" t="n">
        <v>0</v>
      </c>
      <c r="AO69" t="n">
        <v>0</v>
      </c>
      <c r="AP69" t="inlineStr">
        <is>
          <t>No</t>
        </is>
      </c>
      <c r="AQ69" t="inlineStr">
        <is>
          <t>Yes</t>
        </is>
      </c>
      <c r="AR69">
        <f>HYPERLINK("http://catalog.hathitrust.org/Record/000914184","HathiTrust Record")</f>
        <v/>
      </c>
      <c r="AS69">
        <f>HYPERLINK("https://creighton-primo.hosted.exlibrisgroup.com/primo-explore/search?tab=default_tab&amp;search_scope=EVERYTHING&amp;vid=01CRU&amp;lang=en_US&amp;offset=0&amp;query=any,contains,991001305379702656","Catalog Record")</f>
        <v/>
      </c>
      <c r="AT69">
        <f>HYPERLINK("http://www.worldcat.org/oclc/15489407","WorldCat Record")</f>
        <v/>
      </c>
      <c r="AU69" t="inlineStr">
        <is>
          <t>701117:eng</t>
        </is>
      </c>
      <c r="AV69" t="inlineStr">
        <is>
          <t>15489407</t>
        </is>
      </c>
      <c r="AW69" t="inlineStr">
        <is>
          <t>991001305379702656</t>
        </is>
      </c>
      <c r="AX69" t="inlineStr">
        <is>
          <t>991001305379702656</t>
        </is>
      </c>
      <c r="AY69" t="inlineStr">
        <is>
          <t>2272470730002656</t>
        </is>
      </c>
      <c r="AZ69" t="inlineStr">
        <is>
          <t>BOOK</t>
        </is>
      </c>
      <c r="BB69" t="inlineStr">
        <is>
          <t>9780443035968</t>
        </is>
      </c>
      <c r="BC69" t="inlineStr">
        <is>
          <t>30001002413617</t>
        </is>
      </c>
      <c r="BD69" t="inlineStr">
        <is>
          <t>893651957</t>
        </is>
      </c>
    </row>
    <row r="70">
      <c r="A70" t="inlineStr">
        <is>
          <t>No</t>
        </is>
      </c>
      <c r="B70" t="inlineStr">
        <is>
          <t>QZ 17 F219h 1989</t>
        </is>
      </c>
      <c r="C70" t="inlineStr">
        <is>
          <t>0                      QZ 0017000F  219h        1989</t>
        </is>
      </c>
      <c r="D70" t="inlineStr">
        <is>
          <t>Histopathology : color atlas of organs and systems / edited by Ekkehard Grundmann ; translated by Stephen A. Geller ; contributors, Hans-Werner Altmann ... [et al.].</t>
        </is>
      </c>
      <c r="F70" t="inlineStr">
        <is>
          <t>No</t>
        </is>
      </c>
      <c r="G70" t="inlineStr">
        <is>
          <t>1</t>
        </is>
      </c>
      <c r="H70" t="inlineStr">
        <is>
          <t>No</t>
        </is>
      </c>
      <c r="I70" t="inlineStr">
        <is>
          <t>No</t>
        </is>
      </c>
      <c r="J70" t="inlineStr">
        <is>
          <t>0</t>
        </is>
      </c>
      <c r="L70" t="inlineStr">
        <is>
          <t>Baltimore : Urban &amp; Schwarzenberg, c1989.</t>
        </is>
      </c>
      <c r="M70" t="inlineStr">
        <is>
          <t>1989</t>
        </is>
      </c>
      <c r="O70" t="inlineStr">
        <is>
          <t>eng</t>
        </is>
      </c>
      <c r="P70" t="inlineStr">
        <is>
          <t>xxu</t>
        </is>
      </c>
      <c r="R70" t="inlineStr">
        <is>
          <t xml:space="preserve">QZ </t>
        </is>
      </c>
      <c r="S70" t="n">
        <v>29</v>
      </c>
      <c r="T70" t="n">
        <v>29</v>
      </c>
      <c r="U70" t="inlineStr">
        <is>
          <t>2000-11-28</t>
        </is>
      </c>
      <c r="V70" t="inlineStr">
        <is>
          <t>2000-11-28</t>
        </is>
      </c>
      <c r="W70" t="inlineStr">
        <is>
          <t>1989-08-10</t>
        </is>
      </c>
      <c r="X70" t="inlineStr">
        <is>
          <t>1989-08-10</t>
        </is>
      </c>
      <c r="Y70" t="n">
        <v>112</v>
      </c>
      <c r="Z70" t="n">
        <v>85</v>
      </c>
      <c r="AA70" t="n">
        <v>90</v>
      </c>
      <c r="AB70" t="n">
        <v>1</v>
      </c>
      <c r="AC70" t="n">
        <v>1</v>
      </c>
      <c r="AD70" t="n">
        <v>0</v>
      </c>
      <c r="AE70" t="n">
        <v>0</v>
      </c>
      <c r="AF70" t="n">
        <v>0</v>
      </c>
      <c r="AG70" t="n">
        <v>0</v>
      </c>
      <c r="AH70" t="n">
        <v>0</v>
      </c>
      <c r="AI70" t="n">
        <v>0</v>
      </c>
      <c r="AJ70" t="n">
        <v>0</v>
      </c>
      <c r="AK70" t="n">
        <v>0</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HYPERLINK("https://creighton-primo.hosted.exlibrisgroup.com/primo-explore/search?tab=default_tab&amp;search_scope=EVERYTHING&amp;vid=01CRU&amp;lang=en_US&amp;offset=0&amp;query=any,contains,991001313199702656","Catalog Record")</f>
        <v/>
      </c>
      <c r="AT70">
        <f>HYPERLINK("http://www.worldcat.org/oclc/19129056","WorldCat Record")</f>
        <v/>
      </c>
      <c r="AU70" t="inlineStr">
        <is>
          <t>3372171297:eng</t>
        </is>
      </c>
      <c r="AV70" t="inlineStr">
        <is>
          <t>19129056</t>
        </is>
      </c>
      <c r="AW70" t="inlineStr">
        <is>
          <t>991001313199702656</t>
        </is>
      </c>
      <c r="AX70" t="inlineStr">
        <is>
          <t>991001313199702656</t>
        </is>
      </c>
      <c r="AY70" t="inlineStr">
        <is>
          <t>2270346030002656</t>
        </is>
      </c>
      <c r="AZ70" t="inlineStr">
        <is>
          <t>BOOK</t>
        </is>
      </c>
      <c r="BC70" t="inlineStr">
        <is>
          <t>30001001751678</t>
        </is>
      </c>
      <c r="BD70" t="inlineStr">
        <is>
          <t>893149081</t>
        </is>
      </c>
    </row>
    <row r="71">
      <c r="A71" t="inlineStr">
        <is>
          <t>No</t>
        </is>
      </c>
      <c r="B71" t="inlineStr">
        <is>
          <t>QZ 17 M153c 2004</t>
        </is>
      </c>
      <c r="C71" t="inlineStr">
        <is>
          <t>0                      QZ 0017000M  153c        2004</t>
        </is>
      </c>
      <c r="D71" t="inlineStr">
        <is>
          <t>Cancers in the urban environment : patterns of malignant disease in Los Angeles County and its neighborhoods / Thomas M. Mack ; with the assistance of Myles Cockburn, ... [et al.].</t>
        </is>
      </c>
      <c r="F71" t="inlineStr">
        <is>
          <t>No</t>
        </is>
      </c>
      <c r="G71" t="inlineStr">
        <is>
          <t>1</t>
        </is>
      </c>
      <c r="H71" t="inlineStr">
        <is>
          <t>No</t>
        </is>
      </c>
      <c r="I71" t="inlineStr">
        <is>
          <t>No</t>
        </is>
      </c>
      <c r="J71" t="inlineStr">
        <is>
          <t>1</t>
        </is>
      </c>
      <c r="K71" t="inlineStr">
        <is>
          <t>Mack, Thomas M.</t>
        </is>
      </c>
      <c r="L71" t="inlineStr">
        <is>
          <t>Dordrecht ; Boston : Elsevier Academic Press, c2004.</t>
        </is>
      </c>
      <c r="M71" t="inlineStr">
        <is>
          <t>2004</t>
        </is>
      </c>
      <c r="O71" t="inlineStr">
        <is>
          <t>eng</t>
        </is>
      </c>
      <c r="P71" t="inlineStr">
        <is>
          <t xml:space="preserve">ne </t>
        </is>
      </c>
      <c r="R71" t="inlineStr">
        <is>
          <t xml:space="preserve">QZ </t>
        </is>
      </c>
      <c r="S71" t="n">
        <v>0</v>
      </c>
      <c r="T71" t="n">
        <v>0</v>
      </c>
      <c r="U71" t="inlineStr">
        <is>
          <t>2004-09-24</t>
        </is>
      </c>
      <c r="V71" t="inlineStr">
        <is>
          <t>2004-09-24</t>
        </is>
      </c>
      <c r="W71" t="inlineStr">
        <is>
          <t>2004-09-24</t>
        </is>
      </c>
      <c r="X71" t="inlineStr">
        <is>
          <t>2004-09-24</t>
        </is>
      </c>
      <c r="Y71" t="n">
        <v>125</v>
      </c>
      <c r="Z71" t="n">
        <v>90</v>
      </c>
      <c r="AA71" t="n">
        <v>1068</v>
      </c>
      <c r="AB71" t="n">
        <v>1</v>
      </c>
      <c r="AC71" t="n">
        <v>16</v>
      </c>
      <c r="AD71" t="n">
        <v>1</v>
      </c>
      <c r="AE71" t="n">
        <v>43</v>
      </c>
      <c r="AF71" t="n">
        <v>0</v>
      </c>
      <c r="AG71" t="n">
        <v>12</v>
      </c>
      <c r="AH71" t="n">
        <v>0</v>
      </c>
      <c r="AI71" t="n">
        <v>9</v>
      </c>
      <c r="AJ71" t="n">
        <v>1</v>
      </c>
      <c r="AK71" t="n">
        <v>12</v>
      </c>
      <c r="AL71" t="n">
        <v>0</v>
      </c>
      <c r="AM71" t="n">
        <v>14</v>
      </c>
      <c r="AN71" t="n">
        <v>0</v>
      </c>
      <c r="AO71" t="n">
        <v>2</v>
      </c>
      <c r="AP71" t="inlineStr">
        <is>
          <t>No</t>
        </is>
      </c>
      <c r="AQ71" t="inlineStr">
        <is>
          <t>No</t>
        </is>
      </c>
      <c r="AS71">
        <f>HYPERLINK("https://creighton-primo.hosted.exlibrisgroup.com/primo-explore/search?tab=default_tab&amp;search_scope=EVERYTHING&amp;vid=01CRU&amp;lang=en_US&amp;offset=0&amp;query=any,contains,991000396419702656","Catalog Record")</f>
        <v/>
      </c>
      <c r="AT71">
        <f>HYPERLINK("http://www.worldcat.org/oclc/54415776","WorldCat Record")</f>
        <v/>
      </c>
      <c r="AU71" t="inlineStr">
        <is>
          <t>8991499:eng</t>
        </is>
      </c>
      <c r="AV71" t="inlineStr">
        <is>
          <t>54415776</t>
        </is>
      </c>
      <c r="AW71" t="inlineStr">
        <is>
          <t>991000396419702656</t>
        </is>
      </c>
      <c r="AX71" t="inlineStr">
        <is>
          <t>991000396419702656</t>
        </is>
      </c>
      <c r="AY71" t="inlineStr">
        <is>
          <t>2266412670002656</t>
        </is>
      </c>
      <c r="AZ71" t="inlineStr">
        <is>
          <t>BOOK</t>
        </is>
      </c>
      <c r="BB71" t="inlineStr">
        <is>
          <t>9780124643512</t>
        </is>
      </c>
      <c r="BC71" t="inlineStr">
        <is>
          <t>30001004978922</t>
        </is>
      </c>
      <c r="BD71" t="inlineStr">
        <is>
          <t>893354270</t>
        </is>
      </c>
    </row>
    <row r="72">
      <c r="A72" t="inlineStr">
        <is>
          <t>No</t>
        </is>
      </c>
      <c r="B72" t="inlineStr">
        <is>
          <t>QZ 17 N474c</t>
        </is>
      </c>
      <c r="C72" t="inlineStr">
        <is>
          <t>0                      QZ 0017000N  474c</t>
        </is>
      </c>
      <c r="D72" t="inlineStr">
        <is>
          <t>The Ciba collection of medical illustrations / prepared by Frank H. Netter.</t>
        </is>
      </c>
      <c r="E72" t="inlineStr">
        <is>
          <t>V. 1</t>
        </is>
      </c>
      <c r="F72" t="inlineStr">
        <is>
          <t>Yes</t>
        </is>
      </c>
      <c r="G72" t="inlineStr">
        <is>
          <t>1</t>
        </is>
      </c>
      <c r="H72" t="inlineStr">
        <is>
          <t>No</t>
        </is>
      </c>
      <c r="I72" t="inlineStr">
        <is>
          <t>No</t>
        </is>
      </c>
      <c r="J72" t="inlineStr">
        <is>
          <t>0</t>
        </is>
      </c>
      <c r="K72" t="inlineStr">
        <is>
          <t>Netter, Frank H. (Frank Henry), 1906-1991.</t>
        </is>
      </c>
      <c r="L72" t="inlineStr">
        <is>
          <t>West Caldwell, NJ : Commissioned and published by Ciba ; 1954-1987.</t>
        </is>
      </c>
      <c r="M72" t="inlineStr">
        <is>
          <t>1954</t>
        </is>
      </c>
      <c r="O72" t="inlineStr">
        <is>
          <t>eng</t>
        </is>
      </c>
      <c r="P72" t="inlineStr">
        <is>
          <t>nju</t>
        </is>
      </c>
      <c r="R72" t="inlineStr">
        <is>
          <t xml:space="preserve">QZ </t>
        </is>
      </c>
      <c r="S72" t="n">
        <v>1</v>
      </c>
      <c r="T72" t="n">
        <v>8</v>
      </c>
      <c r="V72" t="inlineStr">
        <is>
          <t>2007-01-26</t>
        </is>
      </c>
      <c r="W72" t="inlineStr">
        <is>
          <t>2004-10-05</t>
        </is>
      </c>
      <c r="X72" t="inlineStr">
        <is>
          <t>2004-10-05</t>
        </is>
      </c>
      <c r="Y72" t="n">
        <v>53</v>
      </c>
      <c r="Z72" t="n">
        <v>42</v>
      </c>
      <c r="AA72" t="n">
        <v>391</v>
      </c>
      <c r="AB72" t="n">
        <v>1</v>
      </c>
      <c r="AC72" t="n">
        <v>3</v>
      </c>
      <c r="AD72" t="n">
        <v>0</v>
      </c>
      <c r="AE72" t="n">
        <v>10</v>
      </c>
      <c r="AF72" t="n">
        <v>0</v>
      </c>
      <c r="AG72" t="n">
        <v>5</v>
      </c>
      <c r="AH72" t="n">
        <v>0</v>
      </c>
      <c r="AI72" t="n">
        <v>2</v>
      </c>
      <c r="AJ72" t="n">
        <v>0</v>
      </c>
      <c r="AK72" t="n">
        <v>5</v>
      </c>
      <c r="AL72" t="n">
        <v>0</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HYPERLINK("https://creighton-primo.hosted.exlibrisgroup.com/primo-explore/search?tab=default_tab&amp;search_scope=EVERYTHING&amp;vid=01CRU&amp;lang=en_US&amp;offset=0&amp;query=any,contains,991000756039702656","Catalog Record")</f>
        <v/>
      </c>
      <c r="AT72">
        <f>HYPERLINK("http://www.worldcat.org/oclc/15298736","WorldCat Record")</f>
        <v/>
      </c>
      <c r="AU72" t="inlineStr">
        <is>
          <t>10596809300:eng</t>
        </is>
      </c>
      <c r="AV72" t="inlineStr">
        <is>
          <t>15298736</t>
        </is>
      </c>
      <c r="AW72" t="inlineStr">
        <is>
          <t>991000756039702656</t>
        </is>
      </c>
      <c r="AX72" t="inlineStr">
        <is>
          <t>991000756039702656</t>
        </is>
      </c>
      <c r="AY72" t="inlineStr">
        <is>
          <t>2265954330002656</t>
        </is>
      </c>
      <c r="AZ72" t="inlineStr">
        <is>
          <t>BOOK</t>
        </is>
      </c>
      <c r="BB72" t="inlineStr">
        <is>
          <t>9780914168010</t>
        </is>
      </c>
      <c r="BC72" t="inlineStr">
        <is>
          <t>30001004811396</t>
        </is>
      </c>
      <c r="BD72" t="inlineStr">
        <is>
          <t>893642456</t>
        </is>
      </c>
    </row>
    <row r="73">
      <c r="A73" t="inlineStr">
        <is>
          <t>No</t>
        </is>
      </c>
      <c r="B73" t="inlineStr">
        <is>
          <t>QZ 17 N474c</t>
        </is>
      </c>
      <c r="C73" t="inlineStr">
        <is>
          <t>0                      QZ 0017000N  474c</t>
        </is>
      </c>
      <c r="D73" t="inlineStr">
        <is>
          <t>The Ciba collection of medical illustrations / prepared by Frank H. Netter.</t>
        </is>
      </c>
      <c r="E73" t="inlineStr">
        <is>
          <t>V. 4</t>
        </is>
      </c>
      <c r="F73" t="inlineStr">
        <is>
          <t>Yes</t>
        </is>
      </c>
      <c r="G73" t="inlineStr">
        <is>
          <t>1</t>
        </is>
      </c>
      <c r="H73" t="inlineStr">
        <is>
          <t>No</t>
        </is>
      </c>
      <c r="I73" t="inlineStr">
        <is>
          <t>No</t>
        </is>
      </c>
      <c r="J73" t="inlineStr">
        <is>
          <t>0</t>
        </is>
      </c>
      <c r="K73" t="inlineStr">
        <is>
          <t>Netter, Frank H. (Frank Henry), 1906-1991.</t>
        </is>
      </c>
      <c r="L73" t="inlineStr">
        <is>
          <t>West Caldwell, NJ : Commissioned and published by Ciba ; 1954-1987.</t>
        </is>
      </c>
      <c r="M73" t="inlineStr">
        <is>
          <t>1954</t>
        </is>
      </c>
      <c r="O73" t="inlineStr">
        <is>
          <t>eng</t>
        </is>
      </c>
      <c r="P73" t="inlineStr">
        <is>
          <t>nju</t>
        </is>
      </c>
      <c r="R73" t="inlineStr">
        <is>
          <t xml:space="preserve">QZ </t>
        </is>
      </c>
      <c r="S73" t="n">
        <v>0</v>
      </c>
      <c r="T73" t="n">
        <v>8</v>
      </c>
      <c r="V73" t="inlineStr">
        <is>
          <t>2007-01-26</t>
        </is>
      </c>
      <c r="W73" t="inlineStr">
        <is>
          <t>2004-09-14</t>
        </is>
      </c>
      <c r="X73" t="inlineStr">
        <is>
          <t>2004-10-05</t>
        </is>
      </c>
      <c r="Y73" t="n">
        <v>53</v>
      </c>
      <c r="Z73" t="n">
        <v>42</v>
      </c>
      <c r="AA73" t="n">
        <v>391</v>
      </c>
      <c r="AB73" t="n">
        <v>1</v>
      </c>
      <c r="AC73" t="n">
        <v>3</v>
      </c>
      <c r="AD73" t="n">
        <v>0</v>
      </c>
      <c r="AE73" t="n">
        <v>10</v>
      </c>
      <c r="AF73" t="n">
        <v>0</v>
      </c>
      <c r="AG73" t="n">
        <v>5</v>
      </c>
      <c r="AH73" t="n">
        <v>0</v>
      </c>
      <c r="AI73" t="n">
        <v>2</v>
      </c>
      <c r="AJ73" t="n">
        <v>0</v>
      </c>
      <c r="AK73" t="n">
        <v>5</v>
      </c>
      <c r="AL73" t="n">
        <v>0</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HYPERLINK("https://creighton-primo.hosted.exlibrisgroup.com/primo-explore/search?tab=default_tab&amp;search_scope=EVERYTHING&amp;vid=01CRU&amp;lang=en_US&amp;offset=0&amp;query=any,contains,991000756039702656","Catalog Record")</f>
        <v/>
      </c>
      <c r="AT73">
        <f>HYPERLINK("http://www.worldcat.org/oclc/15298736","WorldCat Record")</f>
        <v/>
      </c>
      <c r="AU73" t="inlineStr">
        <is>
          <t>10596809300:eng</t>
        </is>
      </c>
      <c r="AV73" t="inlineStr">
        <is>
          <t>15298736</t>
        </is>
      </c>
      <c r="AW73" t="inlineStr">
        <is>
          <t>991000756039702656</t>
        </is>
      </c>
      <c r="AX73" t="inlineStr">
        <is>
          <t>991000756039702656</t>
        </is>
      </c>
      <c r="AY73" t="inlineStr">
        <is>
          <t>2265954330002656</t>
        </is>
      </c>
      <c r="AZ73" t="inlineStr">
        <is>
          <t>BOOK</t>
        </is>
      </c>
      <c r="BB73" t="inlineStr">
        <is>
          <t>9780914168010</t>
        </is>
      </c>
      <c r="BC73" t="inlineStr">
        <is>
          <t>30001004407526</t>
        </is>
      </c>
      <c r="BD73" t="inlineStr">
        <is>
          <t>893642457</t>
        </is>
      </c>
    </row>
    <row r="74">
      <c r="A74" t="inlineStr">
        <is>
          <t>No</t>
        </is>
      </c>
      <c r="B74" t="inlineStr">
        <is>
          <t>QZ 17 N474c</t>
        </is>
      </c>
      <c r="C74" t="inlineStr">
        <is>
          <t>0                      QZ 0017000N  474c</t>
        </is>
      </c>
      <c r="D74" t="inlineStr">
        <is>
          <t>The Ciba collection of medical illustrations / prepared by Frank H. Netter.</t>
        </is>
      </c>
      <c r="E74" t="inlineStr">
        <is>
          <t>V. 5</t>
        </is>
      </c>
      <c r="F74" t="inlineStr">
        <is>
          <t>Yes</t>
        </is>
      </c>
      <c r="G74" t="inlineStr">
        <is>
          <t>1</t>
        </is>
      </c>
      <c r="H74" t="inlineStr">
        <is>
          <t>No</t>
        </is>
      </c>
      <c r="I74" t="inlineStr">
        <is>
          <t>No</t>
        </is>
      </c>
      <c r="J74" t="inlineStr">
        <is>
          <t>0</t>
        </is>
      </c>
      <c r="K74" t="inlineStr">
        <is>
          <t>Netter, Frank H. (Frank Henry), 1906-1991.</t>
        </is>
      </c>
      <c r="L74" t="inlineStr">
        <is>
          <t>West Caldwell, NJ : Commissioned and published by Ciba ; 1954-1987.</t>
        </is>
      </c>
      <c r="M74" t="inlineStr">
        <is>
          <t>1954</t>
        </is>
      </c>
      <c r="O74" t="inlineStr">
        <is>
          <t>eng</t>
        </is>
      </c>
      <c r="P74" t="inlineStr">
        <is>
          <t>nju</t>
        </is>
      </c>
      <c r="R74" t="inlineStr">
        <is>
          <t xml:space="preserve">QZ </t>
        </is>
      </c>
      <c r="S74" t="n">
        <v>0</v>
      </c>
      <c r="T74" t="n">
        <v>8</v>
      </c>
      <c r="V74" t="inlineStr">
        <is>
          <t>2007-01-26</t>
        </is>
      </c>
      <c r="W74" t="inlineStr">
        <is>
          <t>2004-09-14</t>
        </is>
      </c>
      <c r="X74" t="inlineStr">
        <is>
          <t>2004-10-05</t>
        </is>
      </c>
      <c r="Y74" t="n">
        <v>53</v>
      </c>
      <c r="Z74" t="n">
        <v>42</v>
      </c>
      <c r="AA74" t="n">
        <v>391</v>
      </c>
      <c r="AB74" t="n">
        <v>1</v>
      </c>
      <c r="AC74" t="n">
        <v>3</v>
      </c>
      <c r="AD74" t="n">
        <v>0</v>
      </c>
      <c r="AE74" t="n">
        <v>10</v>
      </c>
      <c r="AF74" t="n">
        <v>0</v>
      </c>
      <c r="AG74" t="n">
        <v>5</v>
      </c>
      <c r="AH74" t="n">
        <v>0</v>
      </c>
      <c r="AI74" t="n">
        <v>2</v>
      </c>
      <c r="AJ74" t="n">
        <v>0</v>
      </c>
      <c r="AK74" t="n">
        <v>5</v>
      </c>
      <c r="AL74" t="n">
        <v>0</v>
      </c>
      <c r="AM74" t="n">
        <v>1</v>
      </c>
      <c r="AN74" t="n">
        <v>0</v>
      </c>
      <c r="AO74" t="n">
        <v>0</v>
      </c>
      <c r="AP74" t="inlineStr">
        <is>
          <t>No</t>
        </is>
      </c>
      <c r="AQ74" t="inlineStr">
        <is>
          <t>No</t>
        </is>
      </c>
      <c r="AS74">
        <f>HYPERLINK("https://creighton-primo.hosted.exlibrisgroup.com/primo-explore/search?tab=default_tab&amp;search_scope=EVERYTHING&amp;vid=01CRU&amp;lang=en_US&amp;offset=0&amp;query=any,contains,991000756039702656","Catalog Record")</f>
        <v/>
      </c>
      <c r="AT74">
        <f>HYPERLINK("http://www.worldcat.org/oclc/15298736","WorldCat Record")</f>
        <v/>
      </c>
      <c r="AU74" t="inlineStr">
        <is>
          <t>10596809300:eng</t>
        </is>
      </c>
      <c r="AV74" t="inlineStr">
        <is>
          <t>15298736</t>
        </is>
      </c>
      <c r="AW74" t="inlineStr">
        <is>
          <t>991000756039702656</t>
        </is>
      </c>
      <c r="AX74" t="inlineStr">
        <is>
          <t>991000756039702656</t>
        </is>
      </c>
      <c r="AY74" t="inlineStr">
        <is>
          <t>2265954330002656</t>
        </is>
      </c>
      <c r="AZ74" t="inlineStr">
        <is>
          <t>BOOK</t>
        </is>
      </c>
      <c r="BB74" t="inlineStr">
        <is>
          <t>9780914168010</t>
        </is>
      </c>
      <c r="BC74" t="inlineStr">
        <is>
          <t>30001004407518</t>
        </is>
      </c>
      <c r="BD74" t="inlineStr">
        <is>
          <t>893648080</t>
        </is>
      </c>
    </row>
    <row r="75">
      <c r="A75" t="inlineStr">
        <is>
          <t>No</t>
        </is>
      </c>
      <c r="B75" t="inlineStr">
        <is>
          <t>QZ 17 N474c</t>
        </is>
      </c>
      <c r="C75" t="inlineStr">
        <is>
          <t>0                      QZ 0017000N  474c</t>
        </is>
      </c>
      <c r="D75" t="inlineStr">
        <is>
          <t>The Ciba collection of medical illustrations / prepared by Frank H. Netter.</t>
        </is>
      </c>
      <c r="E75" t="inlineStr">
        <is>
          <t>V. 3 PT. 1</t>
        </is>
      </c>
      <c r="F75" t="inlineStr">
        <is>
          <t>Yes</t>
        </is>
      </c>
      <c r="G75" t="inlineStr">
        <is>
          <t>1</t>
        </is>
      </c>
      <c r="H75" t="inlineStr">
        <is>
          <t>No</t>
        </is>
      </c>
      <c r="I75" t="inlineStr">
        <is>
          <t>No</t>
        </is>
      </c>
      <c r="J75" t="inlineStr">
        <is>
          <t>0</t>
        </is>
      </c>
      <c r="K75" t="inlineStr">
        <is>
          <t>Netter, Frank H. (Frank Henry), 1906-1991.</t>
        </is>
      </c>
      <c r="L75" t="inlineStr">
        <is>
          <t>West Caldwell, NJ : Commissioned and published by Ciba ; 1954-1987.</t>
        </is>
      </c>
      <c r="M75" t="inlineStr">
        <is>
          <t>1954</t>
        </is>
      </c>
      <c r="O75" t="inlineStr">
        <is>
          <t>eng</t>
        </is>
      </c>
      <c r="P75" t="inlineStr">
        <is>
          <t>nju</t>
        </is>
      </c>
      <c r="R75" t="inlineStr">
        <is>
          <t xml:space="preserve">QZ </t>
        </is>
      </c>
      <c r="S75" t="n">
        <v>1</v>
      </c>
      <c r="T75" t="n">
        <v>8</v>
      </c>
      <c r="U75" t="inlineStr">
        <is>
          <t>2005-11-20</t>
        </is>
      </c>
      <c r="V75" t="inlineStr">
        <is>
          <t>2007-01-26</t>
        </is>
      </c>
      <c r="W75" t="inlineStr">
        <is>
          <t>2004-09-14</t>
        </is>
      </c>
      <c r="X75" t="inlineStr">
        <is>
          <t>2004-10-05</t>
        </is>
      </c>
      <c r="Y75" t="n">
        <v>53</v>
      </c>
      <c r="Z75" t="n">
        <v>42</v>
      </c>
      <c r="AA75" t="n">
        <v>391</v>
      </c>
      <c r="AB75" t="n">
        <v>1</v>
      </c>
      <c r="AC75" t="n">
        <v>3</v>
      </c>
      <c r="AD75" t="n">
        <v>0</v>
      </c>
      <c r="AE75" t="n">
        <v>10</v>
      </c>
      <c r="AF75" t="n">
        <v>0</v>
      </c>
      <c r="AG75" t="n">
        <v>5</v>
      </c>
      <c r="AH75" t="n">
        <v>0</v>
      </c>
      <c r="AI75" t="n">
        <v>2</v>
      </c>
      <c r="AJ75" t="n">
        <v>0</v>
      </c>
      <c r="AK75" t="n">
        <v>5</v>
      </c>
      <c r="AL75" t="n">
        <v>0</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HYPERLINK("https://creighton-primo.hosted.exlibrisgroup.com/primo-explore/search?tab=default_tab&amp;search_scope=EVERYTHING&amp;vid=01CRU&amp;lang=en_US&amp;offset=0&amp;query=any,contains,991000756039702656","Catalog Record")</f>
        <v/>
      </c>
      <c r="AT75">
        <f>HYPERLINK("http://www.worldcat.org/oclc/15298736","WorldCat Record")</f>
        <v/>
      </c>
      <c r="AU75" t="inlineStr">
        <is>
          <t>10596809300:eng</t>
        </is>
      </c>
      <c r="AV75" t="inlineStr">
        <is>
          <t>15298736</t>
        </is>
      </c>
      <c r="AW75" t="inlineStr">
        <is>
          <t>991000756039702656</t>
        </is>
      </c>
      <c r="AX75" t="inlineStr">
        <is>
          <t>991000756039702656</t>
        </is>
      </c>
      <c r="AY75" t="inlineStr">
        <is>
          <t>2265954330002656</t>
        </is>
      </c>
      <c r="AZ75" t="inlineStr">
        <is>
          <t>BOOK</t>
        </is>
      </c>
      <c r="BB75" t="inlineStr">
        <is>
          <t>9780914168010</t>
        </is>
      </c>
      <c r="BC75" t="inlineStr">
        <is>
          <t>30001004407492</t>
        </is>
      </c>
      <c r="BD75" t="inlineStr">
        <is>
          <t>893648079</t>
        </is>
      </c>
    </row>
    <row r="76">
      <c r="A76" t="inlineStr">
        <is>
          <t>No</t>
        </is>
      </c>
      <c r="B76" t="inlineStr">
        <is>
          <t>QZ 17 N474c</t>
        </is>
      </c>
      <c r="C76" t="inlineStr">
        <is>
          <t>0                      QZ 0017000N  474c</t>
        </is>
      </c>
      <c r="D76" t="inlineStr">
        <is>
          <t>The Ciba collection of medical illustrations / prepared by Frank H. Netter.</t>
        </is>
      </c>
      <c r="E76" t="inlineStr">
        <is>
          <t>V. 3 PT. 3</t>
        </is>
      </c>
      <c r="F76" t="inlineStr">
        <is>
          <t>Yes</t>
        </is>
      </c>
      <c r="G76" t="inlineStr">
        <is>
          <t>1</t>
        </is>
      </c>
      <c r="H76" t="inlineStr">
        <is>
          <t>No</t>
        </is>
      </c>
      <c r="I76" t="inlineStr">
        <is>
          <t>No</t>
        </is>
      </c>
      <c r="J76" t="inlineStr">
        <is>
          <t>0</t>
        </is>
      </c>
      <c r="K76" t="inlineStr">
        <is>
          <t>Netter, Frank H. (Frank Henry), 1906-1991.</t>
        </is>
      </c>
      <c r="L76" t="inlineStr">
        <is>
          <t>West Caldwell, NJ : Commissioned and published by Ciba ; 1954-1987.</t>
        </is>
      </c>
      <c r="M76" t="inlineStr">
        <is>
          <t>1954</t>
        </is>
      </c>
      <c r="O76" t="inlineStr">
        <is>
          <t>eng</t>
        </is>
      </c>
      <c r="P76" t="inlineStr">
        <is>
          <t>nju</t>
        </is>
      </c>
      <c r="R76" t="inlineStr">
        <is>
          <t xml:space="preserve">QZ </t>
        </is>
      </c>
      <c r="S76" t="n">
        <v>2</v>
      </c>
      <c r="T76" t="n">
        <v>8</v>
      </c>
      <c r="U76" t="inlineStr">
        <is>
          <t>2007-01-26</t>
        </is>
      </c>
      <c r="V76" t="inlineStr">
        <is>
          <t>2007-01-26</t>
        </is>
      </c>
      <c r="W76" t="inlineStr">
        <is>
          <t>2004-09-14</t>
        </is>
      </c>
      <c r="X76" t="inlineStr">
        <is>
          <t>2004-10-05</t>
        </is>
      </c>
      <c r="Y76" t="n">
        <v>53</v>
      </c>
      <c r="Z76" t="n">
        <v>42</v>
      </c>
      <c r="AA76" t="n">
        <v>391</v>
      </c>
      <c r="AB76" t="n">
        <v>1</v>
      </c>
      <c r="AC76" t="n">
        <v>3</v>
      </c>
      <c r="AD76" t="n">
        <v>0</v>
      </c>
      <c r="AE76" t="n">
        <v>10</v>
      </c>
      <c r="AF76" t="n">
        <v>0</v>
      </c>
      <c r="AG76" t="n">
        <v>5</v>
      </c>
      <c r="AH76" t="n">
        <v>0</v>
      </c>
      <c r="AI76" t="n">
        <v>2</v>
      </c>
      <c r="AJ76" t="n">
        <v>0</v>
      </c>
      <c r="AK76" t="n">
        <v>5</v>
      </c>
      <c r="AL76" t="n">
        <v>0</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HYPERLINK("https://creighton-primo.hosted.exlibrisgroup.com/primo-explore/search?tab=default_tab&amp;search_scope=EVERYTHING&amp;vid=01CRU&amp;lang=en_US&amp;offset=0&amp;query=any,contains,991000756039702656","Catalog Record")</f>
        <v/>
      </c>
      <c r="AT76">
        <f>HYPERLINK("http://www.worldcat.org/oclc/15298736","WorldCat Record")</f>
        <v/>
      </c>
      <c r="AU76" t="inlineStr">
        <is>
          <t>10596809300:eng</t>
        </is>
      </c>
      <c r="AV76" t="inlineStr">
        <is>
          <t>15298736</t>
        </is>
      </c>
      <c r="AW76" t="inlineStr">
        <is>
          <t>991000756039702656</t>
        </is>
      </c>
      <c r="AX76" t="inlineStr">
        <is>
          <t>991000756039702656</t>
        </is>
      </c>
      <c r="AY76" t="inlineStr">
        <is>
          <t>2265954330002656</t>
        </is>
      </c>
      <c r="AZ76" t="inlineStr">
        <is>
          <t>BOOK</t>
        </is>
      </c>
      <c r="BB76" t="inlineStr">
        <is>
          <t>9780914168010</t>
        </is>
      </c>
      <c r="BC76" t="inlineStr">
        <is>
          <t>30001004407534</t>
        </is>
      </c>
      <c r="BD76" t="inlineStr">
        <is>
          <t>893648078</t>
        </is>
      </c>
    </row>
    <row r="77">
      <c r="A77" t="inlineStr">
        <is>
          <t>No</t>
        </is>
      </c>
      <c r="B77" t="inlineStr">
        <is>
          <t>QZ 17 N474c</t>
        </is>
      </c>
      <c r="C77" t="inlineStr">
        <is>
          <t>0                      QZ 0017000N  474c</t>
        </is>
      </c>
      <c r="D77" t="inlineStr">
        <is>
          <t>The Ciba collection of medical illustrations / prepared by Frank H. Netter.</t>
        </is>
      </c>
      <c r="E77" t="inlineStr">
        <is>
          <t>V. 3 PT. 2</t>
        </is>
      </c>
      <c r="F77" t="inlineStr">
        <is>
          <t>Yes</t>
        </is>
      </c>
      <c r="G77" t="inlineStr">
        <is>
          <t>1</t>
        </is>
      </c>
      <c r="H77" t="inlineStr">
        <is>
          <t>No</t>
        </is>
      </c>
      <c r="I77" t="inlineStr">
        <is>
          <t>No</t>
        </is>
      </c>
      <c r="J77" t="inlineStr">
        <is>
          <t>0</t>
        </is>
      </c>
      <c r="K77" t="inlineStr">
        <is>
          <t>Netter, Frank H. (Frank Henry), 1906-1991.</t>
        </is>
      </c>
      <c r="L77" t="inlineStr">
        <is>
          <t>West Caldwell, NJ : Commissioned and published by Ciba ; 1954-1987.</t>
        </is>
      </c>
      <c r="M77" t="inlineStr">
        <is>
          <t>1954</t>
        </is>
      </c>
      <c r="O77" t="inlineStr">
        <is>
          <t>eng</t>
        </is>
      </c>
      <c r="P77" t="inlineStr">
        <is>
          <t>nju</t>
        </is>
      </c>
      <c r="R77" t="inlineStr">
        <is>
          <t xml:space="preserve">QZ </t>
        </is>
      </c>
      <c r="S77" t="n">
        <v>2</v>
      </c>
      <c r="T77" t="n">
        <v>8</v>
      </c>
      <c r="U77" t="inlineStr">
        <is>
          <t>2007-01-26</t>
        </is>
      </c>
      <c r="V77" t="inlineStr">
        <is>
          <t>2007-01-26</t>
        </is>
      </c>
      <c r="W77" t="inlineStr">
        <is>
          <t>2004-09-14</t>
        </is>
      </c>
      <c r="X77" t="inlineStr">
        <is>
          <t>2004-10-05</t>
        </is>
      </c>
      <c r="Y77" t="n">
        <v>53</v>
      </c>
      <c r="Z77" t="n">
        <v>42</v>
      </c>
      <c r="AA77" t="n">
        <v>391</v>
      </c>
      <c r="AB77" t="n">
        <v>1</v>
      </c>
      <c r="AC77" t="n">
        <v>3</v>
      </c>
      <c r="AD77" t="n">
        <v>0</v>
      </c>
      <c r="AE77" t="n">
        <v>10</v>
      </c>
      <c r="AF77" t="n">
        <v>0</v>
      </c>
      <c r="AG77" t="n">
        <v>5</v>
      </c>
      <c r="AH77" t="n">
        <v>0</v>
      </c>
      <c r="AI77" t="n">
        <v>2</v>
      </c>
      <c r="AJ77" t="n">
        <v>0</v>
      </c>
      <c r="AK77" t="n">
        <v>5</v>
      </c>
      <c r="AL77" t="n">
        <v>0</v>
      </c>
      <c r="AM77" t="n">
        <v>1</v>
      </c>
      <c r="AN77" t="n">
        <v>0</v>
      </c>
      <c r="AO77" t="n">
        <v>0</v>
      </c>
      <c r="AP77" t="inlineStr">
        <is>
          <t>No</t>
        </is>
      </c>
      <c r="AQ77" t="inlineStr">
        <is>
          <t>No</t>
        </is>
      </c>
      <c r="AS77">
        <f>HYPERLINK("https://creighton-primo.hosted.exlibrisgroup.com/primo-explore/search?tab=default_tab&amp;search_scope=EVERYTHING&amp;vid=01CRU&amp;lang=en_US&amp;offset=0&amp;query=any,contains,991000756039702656","Catalog Record")</f>
        <v/>
      </c>
      <c r="AT77">
        <f>HYPERLINK("http://www.worldcat.org/oclc/15298736","WorldCat Record")</f>
        <v/>
      </c>
      <c r="AU77" t="inlineStr">
        <is>
          <t>10596809300:eng</t>
        </is>
      </c>
      <c r="AV77" t="inlineStr">
        <is>
          <t>15298736</t>
        </is>
      </c>
      <c r="AW77" t="inlineStr">
        <is>
          <t>991000756039702656</t>
        </is>
      </c>
      <c r="AX77" t="inlineStr">
        <is>
          <t>991000756039702656</t>
        </is>
      </c>
      <c r="AY77" t="inlineStr">
        <is>
          <t>2265954330002656</t>
        </is>
      </c>
      <c r="AZ77" t="inlineStr">
        <is>
          <t>BOOK</t>
        </is>
      </c>
      <c r="BB77" t="inlineStr">
        <is>
          <t>9780914168010</t>
        </is>
      </c>
      <c r="BC77" t="inlineStr">
        <is>
          <t>30001004407484</t>
        </is>
      </c>
      <c r="BD77" t="inlineStr">
        <is>
          <t>893651515</t>
        </is>
      </c>
    </row>
    <row r="78">
      <c r="A78" t="inlineStr">
        <is>
          <t>No</t>
        </is>
      </c>
      <c r="B78" t="inlineStr">
        <is>
          <t>QZ 17 N474c</t>
        </is>
      </c>
      <c r="C78" t="inlineStr">
        <is>
          <t>0                      QZ 0017000N  474c</t>
        </is>
      </c>
      <c r="D78" t="inlineStr">
        <is>
          <t>The Ciba collection of medical illustrations / prepared by Frank H. Netter.</t>
        </is>
      </c>
      <c r="E78" t="inlineStr">
        <is>
          <t>V. 7</t>
        </is>
      </c>
      <c r="F78" t="inlineStr">
        <is>
          <t>Yes</t>
        </is>
      </c>
      <c r="G78" t="inlineStr">
        <is>
          <t>1</t>
        </is>
      </c>
      <c r="H78" t="inlineStr">
        <is>
          <t>No</t>
        </is>
      </c>
      <c r="I78" t="inlineStr">
        <is>
          <t>No</t>
        </is>
      </c>
      <c r="J78" t="inlineStr">
        <is>
          <t>0</t>
        </is>
      </c>
      <c r="K78" t="inlineStr">
        <is>
          <t>Netter, Frank H. (Frank Henry), 1906-1991.</t>
        </is>
      </c>
      <c r="L78" t="inlineStr">
        <is>
          <t>West Caldwell, NJ : Commissioned and published by Ciba ; 1954-1987.</t>
        </is>
      </c>
      <c r="M78" t="inlineStr">
        <is>
          <t>1954</t>
        </is>
      </c>
      <c r="O78" t="inlineStr">
        <is>
          <t>eng</t>
        </is>
      </c>
      <c r="P78" t="inlineStr">
        <is>
          <t>nju</t>
        </is>
      </c>
      <c r="R78" t="inlineStr">
        <is>
          <t xml:space="preserve">QZ </t>
        </is>
      </c>
      <c r="S78" t="n">
        <v>0</v>
      </c>
      <c r="T78" t="n">
        <v>8</v>
      </c>
      <c r="V78" t="inlineStr">
        <is>
          <t>2007-01-26</t>
        </is>
      </c>
      <c r="W78" t="inlineStr">
        <is>
          <t>2004-09-14</t>
        </is>
      </c>
      <c r="X78" t="inlineStr">
        <is>
          <t>2004-10-05</t>
        </is>
      </c>
      <c r="Y78" t="n">
        <v>53</v>
      </c>
      <c r="Z78" t="n">
        <v>42</v>
      </c>
      <c r="AA78" t="n">
        <v>391</v>
      </c>
      <c r="AB78" t="n">
        <v>1</v>
      </c>
      <c r="AC78" t="n">
        <v>3</v>
      </c>
      <c r="AD78" t="n">
        <v>0</v>
      </c>
      <c r="AE78" t="n">
        <v>10</v>
      </c>
      <c r="AF78" t="n">
        <v>0</v>
      </c>
      <c r="AG78" t="n">
        <v>5</v>
      </c>
      <c r="AH78" t="n">
        <v>0</v>
      </c>
      <c r="AI78" t="n">
        <v>2</v>
      </c>
      <c r="AJ78" t="n">
        <v>0</v>
      </c>
      <c r="AK78" t="n">
        <v>5</v>
      </c>
      <c r="AL78" t="n">
        <v>0</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HYPERLINK("https://creighton-primo.hosted.exlibrisgroup.com/primo-explore/search?tab=default_tab&amp;search_scope=EVERYTHING&amp;vid=01CRU&amp;lang=en_US&amp;offset=0&amp;query=any,contains,991000756039702656","Catalog Record")</f>
        <v/>
      </c>
      <c r="AT78">
        <f>HYPERLINK("http://www.worldcat.org/oclc/15298736","WorldCat Record")</f>
        <v/>
      </c>
      <c r="AU78" t="inlineStr">
        <is>
          <t>10596809300:eng</t>
        </is>
      </c>
      <c r="AV78" t="inlineStr">
        <is>
          <t>15298736</t>
        </is>
      </c>
      <c r="AW78" t="inlineStr">
        <is>
          <t>991000756039702656</t>
        </is>
      </c>
      <c r="AX78" t="inlineStr">
        <is>
          <t>991000756039702656</t>
        </is>
      </c>
      <c r="AY78" t="inlineStr">
        <is>
          <t>2265954330002656</t>
        </is>
      </c>
      <c r="AZ78" t="inlineStr">
        <is>
          <t>BOOK</t>
        </is>
      </c>
      <c r="BB78" t="inlineStr">
        <is>
          <t>9780914168010</t>
        </is>
      </c>
      <c r="BC78" t="inlineStr">
        <is>
          <t>30001004407542</t>
        </is>
      </c>
      <c r="BD78" t="inlineStr">
        <is>
          <t>893637336</t>
        </is>
      </c>
    </row>
    <row r="79">
      <c r="A79" t="inlineStr">
        <is>
          <t>No</t>
        </is>
      </c>
      <c r="B79" t="inlineStr">
        <is>
          <t>QZ 17 N474c</t>
        </is>
      </c>
      <c r="C79" t="inlineStr">
        <is>
          <t>0                      QZ 0017000N  474c</t>
        </is>
      </c>
      <c r="D79" t="inlineStr">
        <is>
          <t>The Ciba collection of medical illustrations / prepared by Frank H. Netter.</t>
        </is>
      </c>
      <c r="E79" t="inlineStr">
        <is>
          <t>V. 2</t>
        </is>
      </c>
      <c r="F79" t="inlineStr">
        <is>
          <t>Yes</t>
        </is>
      </c>
      <c r="G79" t="inlineStr">
        <is>
          <t>1</t>
        </is>
      </c>
      <c r="H79" t="inlineStr">
        <is>
          <t>No</t>
        </is>
      </c>
      <c r="I79" t="inlineStr">
        <is>
          <t>No</t>
        </is>
      </c>
      <c r="J79" t="inlineStr">
        <is>
          <t>0</t>
        </is>
      </c>
      <c r="K79" t="inlineStr">
        <is>
          <t>Netter, Frank H. (Frank Henry), 1906-1991.</t>
        </is>
      </c>
      <c r="L79" t="inlineStr">
        <is>
          <t>West Caldwell, NJ : Commissioned and published by Ciba ; 1954-1987.</t>
        </is>
      </c>
      <c r="M79" t="inlineStr">
        <is>
          <t>1954</t>
        </is>
      </c>
      <c r="O79" t="inlineStr">
        <is>
          <t>eng</t>
        </is>
      </c>
      <c r="P79" t="inlineStr">
        <is>
          <t>nju</t>
        </is>
      </c>
      <c r="R79" t="inlineStr">
        <is>
          <t xml:space="preserve">QZ </t>
        </is>
      </c>
      <c r="S79" t="n">
        <v>1</v>
      </c>
      <c r="T79" t="n">
        <v>8</v>
      </c>
      <c r="U79" t="inlineStr">
        <is>
          <t>2007-01-26</t>
        </is>
      </c>
      <c r="V79" t="inlineStr">
        <is>
          <t>2007-01-26</t>
        </is>
      </c>
      <c r="W79" t="inlineStr">
        <is>
          <t>2004-09-14</t>
        </is>
      </c>
      <c r="X79" t="inlineStr">
        <is>
          <t>2004-10-05</t>
        </is>
      </c>
      <c r="Y79" t="n">
        <v>53</v>
      </c>
      <c r="Z79" t="n">
        <v>42</v>
      </c>
      <c r="AA79" t="n">
        <v>391</v>
      </c>
      <c r="AB79" t="n">
        <v>1</v>
      </c>
      <c r="AC79" t="n">
        <v>3</v>
      </c>
      <c r="AD79" t="n">
        <v>0</v>
      </c>
      <c r="AE79" t="n">
        <v>10</v>
      </c>
      <c r="AF79" t="n">
        <v>0</v>
      </c>
      <c r="AG79" t="n">
        <v>5</v>
      </c>
      <c r="AH79" t="n">
        <v>0</v>
      </c>
      <c r="AI79" t="n">
        <v>2</v>
      </c>
      <c r="AJ79" t="n">
        <v>0</v>
      </c>
      <c r="AK79" t="n">
        <v>5</v>
      </c>
      <c r="AL79" t="n">
        <v>0</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HYPERLINK("https://creighton-primo.hosted.exlibrisgroup.com/primo-explore/search?tab=default_tab&amp;search_scope=EVERYTHING&amp;vid=01CRU&amp;lang=en_US&amp;offset=0&amp;query=any,contains,991000756039702656","Catalog Record")</f>
        <v/>
      </c>
      <c r="AT79">
        <f>HYPERLINK("http://www.worldcat.org/oclc/15298736","WorldCat Record")</f>
        <v/>
      </c>
      <c r="AU79" t="inlineStr">
        <is>
          <t>10596809300:eng</t>
        </is>
      </c>
      <c r="AV79" t="inlineStr">
        <is>
          <t>15298736</t>
        </is>
      </c>
      <c r="AW79" t="inlineStr">
        <is>
          <t>991000756039702656</t>
        </is>
      </c>
      <c r="AX79" t="inlineStr">
        <is>
          <t>991000756039702656</t>
        </is>
      </c>
      <c r="AY79" t="inlineStr">
        <is>
          <t>2265954330002656</t>
        </is>
      </c>
      <c r="AZ79" t="inlineStr">
        <is>
          <t>BOOK</t>
        </is>
      </c>
      <c r="BB79" t="inlineStr">
        <is>
          <t>9780914168010</t>
        </is>
      </c>
      <c r="BC79" t="inlineStr">
        <is>
          <t>30001004407500</t>
        </is>
      </c>
      <c r="BD79" t="inlineStr">
        <is>
          <t>893651516</t>
        </is>
      </c>
    </row>
    <row r="80">
      <c r="A80" t="inlineStr">
        <is>
          <t>No</t>
        </is>
      </c>
      <c r="B80" t="inlineStr">
        <is>
          <t>QZ 17 N474c</t>
        </is>
      </c>
      <c r="C80" t="inlineStr">
        <is>
          <t>0                      QZ 0017000N  474c</t>
        </is>
      </c>
      <c r="D80" t="inlineStr">
        <is>
          <t>The Ciba collection of medical illustrations / prepared by Frank H. Netter.</t>
        </is>
      </c>
      <c r="E80" t="inlineStr">
        <is>
          <t>V. 6</t>
        </is>
      </c>
      <c r="F80" t="inlineStr">
        <is>
          <t>Yes</t>
        </is>
      </c>
      <c r="G80" t="inlineStr">
        <is>
          <t>1</t>
        </is>
      </c>
      <c r="H80" t="inlineStr">
        <is>
          <t>No</t>
        </is>
      </c>
      <c r="I80" t="inlineStr">
        <is>
          <t>No</t>
        </is>
      </c>
      <c r="J80" t="inlineStr">
        <is>
          <t>0</t>
        </is>
      </c>
      <c r="K80" t="inlineStr">
        <is>
          <t>Netter, Frank H. (Frank Henry), 1906-1991.</t>
        </is>
      </c>
      <c r="L80" t="inlineStr">
        <is>
          <t>West Caldwell, NJ : Commissioned and published by Ciba ; 1954-1987.</t>
        </is>
      </c>
      <c r="M80" t="inlineStr">
        <is>
          <t>1954</t>
        </is>
      </c>
      <c r="O80" t="inlineStr">
        <is>
          <t>eng</t>
        </is>
      </c>
      <c r="P80" t="inlineStr">
        <is>
          <t>nju</t>
        </is>
      </c>
      <c r="R80" t="inlineStr">
        <is>
          <t xml:space="preserve">QZ </t>
        </is>
      </c>
      <c r="S80" t="n">
        <v>1</v>
      </c>
      <c r="T80" t="n">
        <v>8</v>
      </c>
      <c r="U80" t="inlineStr">
        <is>
          <t>2005-11-20</t>
        </is>
      </c>
      <c r="V80" t="inlineStr">
        <is>
          <t>2007-01-26</t>
        </is>
      </c>
      <c r="W80" t="inlineStr">
        <is>
          <t>2004-09-14</t>
        </is>
      </c>
      <c r="X80" t="inlineStr">
        <is>
          <t>2004-10-05</t>
        </is>
      </c>
      <c r="Y80" t="n">
        <v>53</v>
      </c>
      <c r="Z80" t="n">
        <v>42</v>
      </c>
      <c r="AA80" t="n">
        <v>391</v>
      </c>
      <c r="AB80" t="n">
        <v>1</v>
      </c>
      <c r="AC80" t="n">
        <v>3</v>
      </c>
      <c r="AD80" t="n">
        <v>0</v>
      </c>
      <c r="AE80" t="n">
        <v>10</v>
      </c>
      <c r="AF80" t="n">
        <v>0</v>
      </c>
      <c r="AG80" t="n">
        <v>5</v>
      </c>
      <c r="AH80" t="n">
        <v>0</v>
      </c>
      <c r="AI80" t="n">
        <v>2</v>
      </c>
      <c r="AJ80" t="n">
        <v>0</v>
      </c>
      <c r="AK80" t="n">
        <v>5</v>
      </c>
      <c r="AL80" t="n">
        <v>0</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HYPERLINK("https://creighton-primo.hosted.exlibrisgroup.com/primo-explore/search?tab=default_tab&amp;search_scope=EVERYTHING&amp;vid=01CRU&amp;lang=en_US&amp;offset=0&amp;query=any,contains,991000756039702656","Catalog Record")</f>
        <v/>
      </c>
      <c r="AT80">
        <f>HYPERLINK("http://www.worldcat.org/oclc/15298736","WorldCat Record")</f>
        <v/>
      </c>
      <c r="AU80" t="inlineStr">
        <is>
          <t>10596809300:eng</t>
        </is>
      </c>
      <c r="AV80" t="inlineStr">
        <is>
          <t>15298736</t>
        </is>
      </c>
      <c r="AW80" t="inlineStr">
        <is>
          <t>991000756039702656</t>
        </is>
      </c>
      <c r="AX80" t="inlineStr">
        <is>
          <t>991000756039702656</t>
        </is>
      </c>
      <c r="AY80" t="inlineStr">
        <is>
          <t>2265954330002656</t>
        </is>
      </c>
      <c r="AZ80" t="inlineStr">
        <is>
          <t>BOOK</t>
        </is>
      </c>
      <c r="BB80" t="inlineStr">
        <is>
          <t>9780914168010</t>
        </is>
      </c>
      <c r="BC80" t="inlineStr">
        <is>
          <t>30001004407476</t>
        </is>
      </c>
      <c r="BD80" t="inlineStr">
        <is>
          <t>893632033</t>
        </is>
      </c>
    </row>
    <row r="81">
      <c r="A81" t="inlineStr">
        <is>
          <t>No</t>
        </is>
      </c>
      <c r="B81" t="inlineStr">
        <is>
          <t>QZ 17 N474c 1948</t>
        </is>
      </c>
      <c r="C81" t="inlineStr">
        <is>
          <t>0                      QZ 0017000N  474c        1948</t>
        </is>
      </c>
      <c r="D81" t="inlineStr">
        <is>
          <t>The Ciba collection of medical illustrations : a compilation of pathological and anatomical paintings prepared / by Frank H. Netter.</t>
        </is>
      </c>
      <c r="F81" t="inlineStr">
        <is>
          <t>No</t>
        </is>
      </c>
      <c r="G81" t="inlineStr">
        <is>
          <t>1</t>
        </is>
      </c>
      <c r="H81" t="inlineStr">
        <is>
          <t>No</t>
        </is>
      </c>
      <c r="I81" t="inlineStr">
        <is>
          <t>Yes</t>
        </is>
      </c>
      <c r="J81" t="inlineStr">
        <is>
          <t>0</t>
        </is>
      </c>
      <c r="K81" t="inlineStr">
        <is>
          <t>Netter, Frank H. (Frank Henry), 1906-1991.</t>
        </is>
      </c>
      <c r="L81" t="inlineStr">
        <is>
          <t>Summit, N.J. : Ciba Pharmaceutical Products, c1948.</t>
        </is>
      </c>
      <c r="M81" t="inlineStr">
        <is>
          <t>1948</t>
        </is>
      </c>
      <c r="O81" t="inlineStr">
        <is>
          <t>eng</t>
        </is>
      </c>
      <c r="P81" t="inlineStr">
        <is>
          <t>nju</t>
        </is>
      </c>
      <c r="R81" t="inlineStr">
        <is>
          <t xml:space="preserve">QZ </t>
        </is>
      </c>
      <c r="S81" t="n">
        <v>5</v>
      </c>
      <c r="T81" t="n">
        <v>5</v>
      </c>
      <c r="U81" t="inlineStr">
        <is>
          <t>1997-02-05</t>
        </is>
      </c>
      <c r="V81" t="inlineStr">
        <is>
          <t>1997-02-05</t>
        </is>
      </c>
      <c r="W81" t="inlineStr">
        <is>
          <t>1988-11-09</t>
        </is>
      </c>
      <c r="X81" t="inlineStr">
        <is>
          <t>1988-11-09</t>
        </is>
      </c>
      <c r="Y81" t="n">
        <v>392</v>
      </c>
      <c r="Z81" t="n">
        <v>350</v>
      </c>
      <c r="AA81" t="n">
        <v>1256</v>
      </c>
      <c r="AB81" t="n">
        <v>7</v>
      </c>
      <c r="AC81" t="n">
        <v>13</v>
      </c>
      <c r="AD81" t="n">
        <v>15</v>
      </c>
      <c r="AE81" t="n">
        <v>37</v>
      </c>
      <c r="AF81" t="n">
        <v>2</v>
      </c>
      <c r="AG81" t="n">
        <v>14</v>
      </c>
      <c r="AH81" t="n">
        <v>3</v>
      </c>
      <c r="AI81" t="n">
        <v>6</v>
      </c>
      <c r="AJ81" t="n">
        <v>6</v>
      </c>
      <c r="AK81" t="n">
        <v>14</v>
      </c>
      <c r="AL81" t="n">
        <v>6</v>
      </c>
      <c r="AM81" t="n">
        <v>9</v>
      </c>
      <c r="AN81" t="n">
        <v>0</v>
      </c>
      <c r="AO81" t="n">
        <v>0</v>
      </c>
      <c r="AP81" t="inlineStr">
        <is>
          <t>No</t>
        </is>
      </c>
      <c r="AQ81" t="inlineStr">
        <is>
          <t>Yes</t>
        </is>
      </c>
      <c r="AR81">
        <f>HYPERLINK("http://catalog.hathitrust.org/Record/001560786","HathiTrust Record")</f>
        <v/>
      </c>
      <c r="AS81">
        <f>HYPERLINK("https://creighton-primo.hosted.exlibrisgroup.com/primo-explore/search?tab=default_tab&amp;search_scope=EVERYTHING&amp;vid=01CRU&amp;lang=en_US&amp;offset=0&amp;query=any,contains,991001089089702656","Catalog Record")</f>
        <v/>
      </c>
      <c r="AT81">
        <f>HYPERLINK("http://www.worldcat.org/oclc/5288944","WorldCat Record")</f>
        <v/>
      </c>
      <c r="AU81" t="inlineStr">
        <is>
          <t>4663480028:eng</t>
        </is>
      </c>
      <c r="AV81" t="inlineStr">
        <is>
          <t>5288944</t>
        </is>
      </c>
      <c r="AW81" t="inlineStr">
        <is>
          <t>991001089089702656</t>
        </is>
      </c>
      <c r="AX81" t="inlineStr">
        <is>
          <t>991001089089702656</t>
        </is>
      </c>
      <c r="AY81" t="inlineStr">
        <is>
          <t>2255514750002656</t>
        </is>
      </c>
      <c r="AZ81" t="inlineStr">
        <is>
          <t>BOOK</t>
        </is>
      </c>
      <c r="BC81" t="inlineStr">
        <is>
          <t>30001000586778</t>
        </is>
      </c>
      <c r="BD81" t="inlineStr">
        <is>
          <t>893546365</t>
        </is>
      </c>
    </row>
    <row r="82">
      <c r="A82" t="inlineStr">
        <is>
          <t>No</t>
        </is>
      </c>
      <c r="B82" t="inlineStr">
        <is>
          <t>QZ 17 N474c 1986 v.1,pt.2</t>
        </is>
      </c>
      <c r="C82" t="inlineStr">
        <is>
          <t>0                      QZ 0017000N  474c        1986                                        v.1,pt.2</t>
        </is>
      </c>
      <c r="D82" t="inlineStr">
        <is>
          <t>The Ciba collection of medical illustrations : Volume 1: Nervous system. Part 2, neurologic and neuromuscular disorders / prepared by Frank H. Netter ; edited by H. Royden Jones, Jr., Regina V. Dingle.</t>
        </is>
      </c>
      <c r="E82" t="inlineStr">
        <is>
          <t>V. 1 PT. 2</t>
        </is>
      </c>
      <c r="F82" t="inlineStr">
        <is>
          <t>No</t>
        </is>
      </c>
      <c r="G82" t="inlineStr">
        <is>
          <t>1</t>
        </is>
      </c>
      <c r="H82" t="inlineStr">
        <is>
          <t>No</t>
        </is>
      </c>
      <c r="I82" t="inlineStr">
        <is>
          <t>No</t>
        </is>
      </c>
      <c r="J82" t="inlineStr">
        <is>
          <t>0</t>
        </is>
      </c>
      <c r="K82" t="inlineStr">
        <is>
          <t>Netter, Frank H. (Frank Henry), 1906-1991.</t>
        </is>
      </c>
      <c r="L82" t="inlineStr">
        <is>
          <t>West Caldwell, N.J. : CIBA Pharmaceutical Co., Medical Education Division, c1986.</t>
        </is>
      </c>
      <c r="M82" t="inlineStr">
        <is>
          <t>1986</t>
        </is>
      </c>
      <c r="N82" t="inlineStr">
        <is>
          <t>[New ed.].</t>
        </is>
      </c>
      <c r="O82" t="inlineStr">
        <is>
          <t>eng</t>
        </is>
      </c>
      <c r="P82" t="inlineStr">
        <is>
          <t>nju</t>
        </is>
      </c>
      <c r="Q82" t="inlineStr">
        <is>
          <t>Ciba collection of medical illustrations ; v. 1, pt. 2.</t>
        </is>
      </c>
      <c r="R82" t="inlineStr">
        <is>
          <t xml:space="preserve">QZ </t>
        </is>
      </c>
      <c r="S82" t="n">
        <v>60</v>
      </c>
      <c r="T82" t="n">
        <v>60</v>
      </c>
      <c r="U82" t="inlineStr">
        <is>
          <t>2002-04-24</t>
        </is>
      </c>
      <c r="V82" t="inlineStr">
        <is>
          <t>2002-04-24</t>
        </is>
      </c>
      <c r="W82" t="inlineStr">
        <is>
          <t>1987-10-05</t>
        </is>
      </c>
      <c r="X82" t="inlineStr">
        <is>
          <t>1987-10-05</t>
        </is>
      </c>
      <c r="Y82" t="n">
        <v>212</v>
      </c>
      <c r="Z82" t="n">
        <v>198</v>
      </c>
      <c r="AA82" t="n">
        <v>232</v>
      </c>
      <c r="AB82" t="n">
        <v>4</v>
      </c>
      <c r="AC82" t="n">
        <v>4</v>
      </c>
      <c r="AD82" t="n">
        <v>4</v>
      </c>
      <c r="AE82" t="n">
        <v>6</v>
      </c>
      <c r="AF82" t="n">
        <v>2</v>
      </c>
      <c r="AG82" t="n">
        <v>2</v>
      </c>
      <c r="AH82" t="n">
        <v>1</v>
      </c>
      <c r="AI82" t="n">
        <v>1</v>
      </c>
      <c r="AJ82" t="n">
        <v>0</v>
      </c>
      <c r="AK82" t="n">
        <v>2</v>
      </c>
      <c r="AL82" t="n">
        <v>1</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HYPERLINK("https://creighton-primo.hosted.exlibrisgroup.com/primo-explore/search?tab=default_tab&amp;search_scope=EVERYTHING&amp;vid=01CRU&amp;lang=en_US&amp;offset=0&amp;query=any,contains,991000756089702656","Catalog Record")</f>
        <v/>
      </c>
      <c r="AT82">
        <f>HYPERLINK("http://www.worldcat.org/oclc/10266870","WorldCat Record")</f>
        <v/>
      </c>
      <c r="AU82" t="inlineStr">
        <is>
          <t>3901021004:eng</t>
        </is>
      </c>
      <c r="AV82" t="inlineStr">
        <is>
          <t>10266870</t>
        </is>
      </c>
      <c r="AW82" t="inlineStr">
        <is>
          <t>991000756089702656</t>
        </is>
      </c>
      <c r="AX82" t="inlineStr">
        <is>
          <t>991000756089702656</t>
        </is>
      </c>
      <c r="AY82" t="inlineStr">
        <is>
          <t>2262544480002656</t>
        </is>
      </c>
      <c r="AZ82" t="inlineStr">
        <is>
          <t>BOOK</t>
        </is>
      </c>
      <c r="BC82" t="inlineStr">
        <is>
          <t>30001000053225</t>
        </is>
      </c>
      <c r="BD82" t="inlineStr">
        <is>
          <t>893167680</t>
        </is>
      </c>
    </row>
    <row r="83">
      <c r="A83" t="inlineStr">
        <is>
          <t>No</t>
        </is>
      </c>
      <c r="B83" t="inlineStr">
        <is>
          <t>QZ 17 N474c 1987 v.8,pt.1</t>
        </is>
      </c>
      <c r="C83" t="inlineStr">
        <is>
          <t>0                      QZ 0017000N  474c        1987                                        v.8,pt.1</t>
        </is>
      </c>
      <c r="D83" t="inlineStr">
        <is>
          <t>Ciba collection of medical illustrations : Volume 8: Musculoskeletal system. Part 1, Anatomy, physiology, and metabolic disorders : a compilation of paintings / prepared by Frank H. Netter ; Russell T. Woodburne, Edmund S. Crelin and Frederick S. Kaplan, consulting editors ; Regina V. Dingle, managing editor ; with a foreword by Henry J. Mankin.</t>
        </is>
      </c>
      <c r="E83" t="inlineStr">
        <is>
          <t>V. 8 PT. 1</t>
        </is>
      </c>
      <c r="F83" t="inlineStr">
        <is>
          <t>No</t>
        </is>
      </c>
      <c r="G83" t="inlineStr">
        <is>
          <t>1</t>
        </is>
      </c>
      <c r="H83" t="inlineStr">
        <is>
          <t>No</t>
        </is>
      </c>
      <c r="I83" t="inlineStr">
        <is>
          <t>No</t>
        </is>
      </c>
      <c r="J83" t="inlineStr">
        <is>
          <t>0</t>
        </is>
      </c>
      <c r="K83" t="inlineStr">
        <is>
          <t>Netter, Frank H. (Frank Henry), 1906-1991.</t>
        </is>
      </c>
      <c r="L83" t="inlineStr">
        <is>
          <t>Summit, N.J. : CIBA-GEIGY Corporation, c1987.</t>
        </is>
      </c>
      <c r="M83" t="inlineStr">
        <is>
          <t>1987</t>
        </is>
      </c>
      <c r="O83" t="inlineStr">
        <is>
          <t>eng</t>
        </is>
      </c>
      <c r="P83" t="inlineStr">
        <is>
          <t>nju</t>
        </is>
      </c>
      <c r="Q83" t="inlineStr">
        <is>
          <t>CIBA collection of medical illustrations ; v. 8, pt. 1.</t>
        </is>
      </c>
      <c r="R83" t="inlineStr">
        <is>
          <t xml:space="preserve">QZ </t>
        </is>
      </c>
      <c r="S83" t="n">
        <v>27</v>
      </c>
      <c r="T83" t="n">
        <v>27</v>
      </c>
      <c r="U83" t="inlineStr">
        <is>
          <t>2003-07-07</t>
        </is>
      </c>
      <c r="V83" t="inlineStr">
        <is>
          <t>2003-07-07</t>
        </is>
      </c>
      <c r="W83" t="inlineStr">
        <is>
          <t>1989-11-15</t>
        </is>
      </c>
      <c r="X83" t="inlineStr">
        <is>
          <t>1989-11-15</t>
        </is>
      </c>
      <c r="Y83" t="n">
        <v>231</v>
      </c>
      <c r="Z83" t="n">
        <v>210</v>
      </c>
      <c r="AA83" t="n">
        <v>226</v>
      </c>
      <c r="AB83" t="n">
        <v>2</v>
      </c>
      <c r="AC83" t="n">
        <v>2</v>
      </c>
      <c r="AD83" t="n">
        <v>4</v>
      </c>
      <c r="AE83" t="n">
        <v>4</v>
      </c>
      <c r="AF83" t="n">
        <v>2</v>
      </c>
      <c r="AG83" t="n">
        <v>2</v>
      </c>
      <c r="AH83" t="n">
        <v>1</v>
      </c>
      <c r="AI83" t="n">
        <v>1</v>
      </c>
      <c r="AJ83" t="n">
        <v>1</v>
      </c>
      <c r="AK83" t="n">
        <v>1</v>
      </c>
      <c r="AL83" t="n">
        <v>0</v>
      </c>
      <c r="AM83" t="n">
        <v>0</v>
      </c>
      <c r="AN83" t="n">
        <v>0</v>
      </c>
      <c r="AO83" t="n">
        <v>0</v>
      </c>
      <c r="AP83" t="inlineStr">
        <is>
          <t>No</t>
        </is>
      </c>
      <c r="AQ83" t="inlineStr">
        <is>
          <t>Yes</t>
        </is>
      </c>
      <c r="AR83">
        <f>HYPERLINK("http://catalog.hathitrust.org/Record/008993870","HathiTrust Record")</f>
        <v/>
      </c>
      <c r="AS83">
        <f>HYPERLINK("https://creighton-primo.hosted.exlibrisgroup.com/primo-explore/search?tab=default_tab&amp;search_scope=EVERYTHING&amp;vid=01CRU&amp;lang=en_US&amp;offset=0&amp;query=any,contains,991001369309702656","Catalog Record")</f>
        <v/>
      </c>
      <c r="AT83">
        <f>HYPERLINK("http://www.worldcat.org/oclc/16943074","WorldCat Record")</f>
        <v/>
      </c>
      <c r="AU83" t="inlineStr">
        <is>
          <t>659361929:eng</t>
        </is>
      </c>
      <c r="AV83" t="inlineStr">
        <is>
          <t>16943074</t>
        </is>
      </c>
      <c r="AW83" t="inlineStr">
        <is>
          <t>991001369309702656</t>
        </is>
      </c>
      <c r="AX83" t="inlineStr">
        <is>
          <t>991001369309702656</t>
        </is>
      </c>
      <c r="AY83" t="inlineStr">
        <is>
          <t>2269401430002656</t>
        </is>
      </c>
      <c r="AZ83" t="inlineStr">
        <is>
          <t>BOOK</t>
        </is>
      </c>
      <c r="BB83" t="inlineStr">
        <is>
          <t>9780914168140</t>
        </is>
      </c>
      <c r="BC83" t="inlineStr">
        <is>
          <t>30001001797630</t>
        </is>
      </c>
      <c r="BD83" t="inlineStr">
        <is>
          <t>893465438</t>
        </is>
      </c>
    </row>
    <row r="84">
      <c r="A84" t="inlineStr">
        <is>
          <t>No</t>
        </is>
      </c>
      <c r="B84" t="inlineStr">
        <is>
          <t>QZ 17 N474c 1990 v.8,pt.2</t>
        </is>
      </c>
      <c r="C84" t="inlineStr">
        <is>
          <t>0                      QZ 0017000N  474c        1990                                        v.8,pt.2</t>
        </is>
      </c>
      <c r="D84" t="inlineStr">
        <is>
          <t>Ciba collection of medical illustrations : Volume 8 : Musculoskeletal system Part II Developmental disorders, tumors, rheumatic diseases, and joint replacement a compilation of paintings / prepared by Frank H. Netter</t>
        </is>
      </c>
      <c r="E84" t="inlineStr">
        <is>
          <t>V. 8 PT. 2</t>
        </is>
      </c>
      <c r="F84" t="inlineStr">
        <is>
          <t>No</t>
        </is>
      </c>
      <c r="G84" t="inlineStr">
        <is>
          <t>1</t>
        </is>
      </c>
      <c r="H84" t="inlineStr">
        <is>
          <t>No</t>
        </is>
      </c>
      <c r="I84" t="inlineStr">
        <is>
          <t>No</t>
        </is>
      </c>
      <c r="J84" t="inlineStr">
        <is>
          <t>0</t>
        </is>
      </c>
      <c r="K84" t="inlineStr">
        <is>
          <t>Netter, Frank H. (Frank Henry), 1906-1991.</t>
        </is>
      </c>
      <c r="L84" t="inlineStr">
        <is>
          <t>Summit, New Jersey : CIBA-GEIGY Corporation, c1990.</t>
        </is>
      </c>
      <c r="M84" t="inlineStr">
        <is>
          <t>1990</t>
        </is>
      </c>
      <c r="O84" t="inlineStr">
        <is>
          <t>eng</t>
        </is>
      </c>
      <c r="P84" t="inlineStr">
        <is>
          <t>nju</t>
        </is>
      </c>
      <c r="Q84" t="inlineStr">
        <is>
          <t>CIBA collection of medical illustrations ; v. 8, pt. 2.</t>
        </is>
      </c>
      <c r="R84" t="inlineStr">
        <is>
          <t xml:space="preserve">QZ </t>
        </is>
      </c>
      <c r="S84" t="n">
        <v>34</v>
      </c>
      <c r="T84" t="n">
        <v>34</v>
      </c>
      <c r="U84" t="inlineStr">
        <is>
          <t>2003-07-07</t>
        </is>
      </c>
      <c r="V84" t="inlineStr">
        <is>
          <t>2003-07-07</t>
        </is>
      </c>
      <c r="W84" t="inlineStr">
        <is>
          <t>1990-11-30</t>
        </is>
      </c>
      <c r="X84" t="inlineStr">
        <is>
          <t>1990-11-30</t>
        </is>
      </c>
      <c r="Y84" t="n">
        <v>195</v>
      </c>
      <c r="Z84" t="n">
        <v>179</v>
      </c>
      <c r="AA84" t="n">
        <v>182</v>
      </c>
      <c r="AB84" t="n">
        <v>2</v>
      </c>
      <c r="AC84" t="n">
        <v>2</v>
      </c>
      <c r="AD84" t="n">
        <v>5</v>
      </c>
      <c r="AE84" t="n">
        <v>5</v>
      </c>
      <c r="AF84" t="n">
        <v>2</v>
      </c>
      <c r="AG84" t="n">
        <v>2</v>
      </c>
      <c r="AH84" t="n">
        <v>1</v>
      </c>
      <c r="AI84" t="n">
        <v>1</v>
      </c>
      <c r="AJ84" t="n">
        <v>2</v>
      </c>
      <c r="AK84" t="n">
        <v>2</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HYPERLINK("https://creighton-primo.hosted.exlibrisgroup.com/primo-explore/search?tab=default_tab&amp;search_scope=EVERYTHING&amp;vid=01CRU&amp;lang=en_US&amp;offset=0&amp;query=any,contains,991001549569702656","Catalog Record")</f>
        <v/>
      </c>
      <c r="AT84">
        <f>HYPERLINK("http://www.worldcat.org/oclc/22620780","WorldCat Record")</f>
        <v/>
      </c>
      <c r="AU84" t="inlineStr">
        <is>
          <t>5218207333:eng</t>
        </is>
      </c>
      <c r="AV84" t="inlineStr">
        <is>
          <t>22620780</t>
        </is>
      </c>
      <c r="AW84" t="inlineStr">
        <is>
          <t>991001549569702656</t>
        </is>
      </c>
      <c r="AX84" t="inlineStr">
        <is>
          <t>991001549569702656</t>
        </is>
      </c>
      <c r="AY84" t="inlineStr">
        <is>
          <t>2265011120002656</t>
        </is>
      </c>
      <c r="AZ84" t="inlineStr">
        <is>
          <t>BOOK</t>
        </is>
      </c>
      <c r="BB84" t="inlineStr">
        <is>
          <t>9780914168157</t>
        </is>
      </c>
      <c r="BC84" t="inlineStr">
        <is>
          <t>30001002060400</t>
        </is>
      </c>
      <c r="BD84" t="inlineStr">
        <is>
          <t>893741245</t>
        </is>
      </c>
    </row>
    <row r="85">
      <c r="A85" t="inlineStr">
        <is>
          <t>No</t>
        </is>
      </c>
      <c r="B85" t="inlineStr">
        <is>
          <t>QZ 17 N474c 1993 v.8,pt.3</t>
        </is>
      </c>
      <c r="C85" t="inlineStr">
        <is>
          <t>0                      QZ 0017000N  474c        1993                                        v.8,pt.3</t>
        </is>
      </c>
      <c r="D85" t="inlineStr">
        <is>
          <t>Musculoskeletal system. Part III, Trauma, evaluation, and management : a compilation of paintings / prepared by Frank H. Netter.</t>
        </is>
      </c>
      <c r="E85" t="inlineStr">
        <is>
          <t>V.8,PT.3</t>
        </is>
      </c>
      <c r="F85" t="inlineStr">
        <is>
          <t>No</t>
        </is>
      </c>
      <c r="G85" t="inlineStr">
        <is>
          <t>1</t>
        </is>
      </c>
      <c r="H85" t="inlineStr">
        <is>
          <t>No</t>
        </is>
      </c>
      <c r="I85" t="inlineStr">
        <is>
          <t>No</t>
        </is>
      </c>
      <c r="J85" t="inlineStr">
        <is>
          <t>0</t>
        </is>
      </c>
      <c r="K85" t="inlineStr">
        <is>
          <t>Netter, Frank H. (Frank Henry), 1906-1991.</t>
        </is>
      </c>
      <c r="L85" t="inlineStr">
        <is>
          <t>Summit, N.J. : CIBA-CEIGY Corporation, c1993.</t>
        </is>
      </c>
      <c r="M85" t="inlineStr">
        <is>
          <t>1993</t>
        </is>
      </c>
      <c r="O85" t="inlineStr">
        <is>
          <t>eng</t>
        </is>
      </c>
      <c r="P85" t="inlineStr">
        <is>
          <t>nju</t>
        </is>
      </c>
      <c r="Q85" t="inlineStr">
        <is>
          <t>Ciba collection of medical illustrations ; v. 8, pt. 3</t>
        </is>
      </c>
      <c r="R85" t="inlineStr">
        <is>
          <t xml:space="preserve">QZ </t>
        </is>
      </c>
      <c r="S85" t="n">
        <v>23</v>
      </c>
      <c r="T85" t="n">
        <v>23</v>
      </c>
      <c r="U85" t="inlineStr">
        <is>
          <t>2007-10-15</t>
        </is>
      </c>
      <c r="V85" t="inlineStr">
        <is>
          <t>2007-10-15</t>
        </is>
      </c>
      <c r="W85" t="inlineStr">
        <is>
          <t>1995-09-25</t>
        </is>
      </c>
      <c r="X85" t="inlineStr">
        <is>
          <t>1995-09-25</t>
        </is>
      </c>
      <c r="Y85" t="n">
        <v>150</v>
      </c>
      <c r="Z85" t="n">
        <v>144</v>
      </c>
      <c r="AA85" t="n">
        <v>147</v>
      </c>
      <c r="AB85" t="n">
        <v>2</v>
      </c>
      <c r="AC85" t="n">
        <v>2</v>
      </c>
      <c r="AD85" t="n">
        <v>2</v>
      </c>
      <c r="AE85" t="n">
        <v>2</v>
      </c>
      <c r="AF85" t="n">
        <v>1</v>
      </c>
      <c r="AG85" t="n">
        <v>1</v>
      </c>
      <c r="AH85" t="n">
        <v>1</v>
      </c>
      <c r="AI85" t="n">
        <v>1</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HYPERLINK("https://creighton-primo.hosted.exlibrisgroup.com/primo-explore/search?tab=default_tab&amp;search_scope=EVERYTHING&amp;vid=01CRU&amp;lang=en_US&amp;offset=0&amp;query=any,contains,991001493599702656","Catalog Record")</f>
        <v/>
      </c>
      <c r="AT85">
        <f>HYPERLINK("http://www.worldcat.org/oclc/29353005","WorldCat Record")</f>
        <v/>
      </c>
      <c r="AU85" t="inlineStr">
        <is>
          <t>8960679147:eng</t>
        </is>
      </c>
      <c r="AV85" t="inlineStr">
        <is>
          <t>29353005</t>
        </is>
      </c>
      <c r="AW85" t="inlineStr">
        <is>
          <t>991001493599702656</t>
        </is>
      </c>
      <c r="AX85" t="inlineStr">
        <is>
          <t>991001493599702656</t>
        </is>
      </c>
      <c r="AY85" t="inlineStr">
        <is>
          <t>2264336600002656</t>
        </is>
      </c>
      <c r="AZ85" t="inlineStr">
        <is>
          <t>BOOK</t>
        </is>
      </c>
      <c r="BB85" t="inlineStr">
        <is>
          <t>9780914168164</t>
        </is>
      </c>
      <c r="BC85" t="inlineStr">
        <is>
          <t>30001003260900</t>
        </is>
      </c>
      <c r="BD85" t="inlineStr">
        <is>
          <t>893168238</t>
        </is>
      </c>
    </row>
    <row r="86">
      <c r="A86" t="inlineStr">
        <is>
          <t>No</t>
        </is>
      </c>
      <c r="B86" t="inlineStr">
        <is>
          <t>QZ 17 S219c 1985</t>
        </is>
      </c>
      <c r="C86" t="inlineStr">
        <is>
          <t>0                      QZ 0017000S  219c        1985</t>
        </is>
      </c>
      <c r="D86" t="inlineStr">
        <is>
          <t>Sandritter's Color atlas &amp; textbook of macropathology.</t>
        </is>
      </c>
      <c r="F86" t="inlineStr">
        <is>
          <t>No</t>
        </is>
      </c>
      <c r="G86" t="inlineStr">
        <is>
          <t>1</t>
        </is>
      </c>
      <c r="H86" t="inlineStr">
        <is>
          <t>No</t>
        </is>
      </c>
      <c r="I86" t="inlineStr">
        <is>
          <t>No</t>
        </is>
      </c>
      <c r="J86" t="inlineStr">
        <is>
          <t>0</t>
        </is>
      </c>
      <c r="K86" t="inlineStr">
        <is>
          <t>Sandritter, Walter.</t>
        </is>
      </c>
      <c r="L86" t="inlineStr">
        <is>
          <t>Chicago : Year Book Medical Publishers, c1985.</t>
        </is>
      </c>
      <c r="M86" t="inlineStr">
        <is>
          <t>1985</t>
        </is>
      </c>
      <c r="N86" t="inlineStr">
        <is>
          <t>4th English ed. / C. Thomas ; translated and edited by W.H. Kirsten.</t>
        </is>
      </c>
      <c r="O86" t="inlineStr">
        <is>
          <t>eng</t>
        </is>
      </c>
      <c r="P86" t="inlineStr">
        <is>
          <t>ilu</t>
        </is>
      </c>
      <c r="R86" t="inlineStr">
        <is>
          <t xml:space="preserve">QZ </t>
        </is>
      </c>
      <c r="S86" t="n">
        <v>24</v>
      </c>
      <c r="T86" t="n">
        <v>24</v>
      </c>
      <c r="U86" t="inlineStr">
        <is>
          <t>2005-08-11</t>
        </is>
      </c>
      <c r="V86" t="inlineStr">
        <is>
          <t>2005-08-11</t>
        </is>
      </c>
      <c r="W86" t="inlineStr">
        <is>
          <t>1988-02-12</t>
        </is>
      </c>
      <c r="X86" t="inlineStr">
        <is>
          <t>1988-02-12</t>
        </is>
      </c>
      <c r="Y86" t="n">
        <v>131</v>
      </c>
      <c r="Z86" t="n">
        <v>100</v>
      </c>
      <c r="AA86" t="n">
        <v>102</v>
      </c>
      <c r="AB86" t="n">
        <v>1</v>
      </c>
      <c r="AC86" t="n">
        <v>1</v>
      </c>
      <c r="AD86" t="n">
        <v>2</v>
      </c>
      <c r="AE86" t="n">
        <v>2</v>
      </c>
      <c r="AF86" t="n">
        <v>0</v>
      </c>
      <c r="AG86" t="n">
        <v>0</v>
      </c>
      <c r="AH86" t="n">
        <v>1</v>
      </c>
      <c r="AI86" t="n">
        <v>1</v>
      </c>
      <c r="AJ86" t="n">
        <v>1</v>
      </c>
      <c r="AK86" t="n">
        <v>1</v>
      </c>
      <c r="AL86" t="n">
        <v>0</v>
      </c>
      <c r="AM86" t="n">
        <v>0</v>
      </c>
      <c r="AN86" t="n">
        <v>0</v>
      </c>
      <c r="AO86" t="n">
        <v>0</v>
      </c>
      <c r="AP86" t="inlineStr">
        <is>
          <t>No</t>
        </is>
      </c>
      <c r="AQ86" t="inlineStr">
        <is>
          <t>Yes</t>
        </is>
      </c>
      <c r="AR86">
        <f>HYPERLINK("http://catalog.hathitrust.org/Record/000645596","HathiTrust Record")</f>
        <v/>
      </c>
      <c r="AS86">
        <f>HYPERLINK("https://creighton-primo.hosted.exlibrisgroup.com/primo-explore/search?tab=default_tab&amp;search_scope=EVERYTHING&amp;vid=01CRU&amp;lang=en_US&amp;offset=0&amp;query=any,contains,991001089059702656","Catalog Record")</f>
        <v/>
      </c>
      <c r="AT86">
        <f>HYPERLINK("http://www.worldcat.org/oclc/10876891","WorldCat Record")</f>
        <v/>
      </c>
      <c r="AU86" t="inlineStr">
        <is>
          <t>10226884190:eng</t>
        </is>
      </c>
      <c r="AV86" t="inlineStr">
        <is>
          <t>10876891</t>
        </is>
      </c>
      <c r="AW86" t="inlineStr">
        <is>
          <t>991001089059702656</t>
        </is>
      </c>
      <c r="AX86" t="inlineStr">
        <is>
          <t>991001089059702656</t>
        </is>
      </c>
      <c r="AY86" t="inlineStr">
        <is>
          <t>2269570290002656</t>
        </is>
      </c>
      <c r="AZ86" t="inlineStr">
        <is>
          <t>BOOK</t>
        </is>
      </c>
      <c r="BB86" t="inlineStr">
        <is>
          <t>9780815187899</t>
        </is>
      </c>
      <c r="BC86" t="inlineStr">
        <is>
          <t>30001000261141</t>
        </is>
      </c>
      <c r="BD86" t="inlineStr">
        <is>
          <t>893278681</t>
        </is>
      </c>
    </row>
    <row r="87">
      <c r="A87" t="inlineStr">
        <is>
          <t>No</t>
        </is>
      </c>
      <c r="B87" t="inlineStr">
        <is>
          <t>QZ 17 W556 1996</t>
        </is>
      </c>
      <c r="C87" t="inlineStr">
        <is>
          <t>0                      QZ 0017000W  556         1996</t>
        </is>
      </c>
      <c r="D87" t="inlineStr">
        <is>
          <t>Wheater's basic histopathology : a colour atlas and text.</t>
        </is>
      </c>
      <c r="F87" t="inlineStr">
        <is>
          <t>No</t>
        </is>
      </c>
      <c r="G87" t="inlineStr">
        <is>
          <t>1</t>
        </is>
      </c>
      <c r="H87" t="inlineStr">
        <is>
          <t>No</t>
        </is>
      </c>
      <c r="I87" t="inlineStr">
        <is>
          <t>Yes</t>
        </is>
      </c>
      <c r="J87" t="inlineStr">
        <is>
          <t>0</t>
        </is>
      </c>
      <c r="L87" t="inlineStr">
        <is>
          <t>New York : Churchill Livingstone, c1996.</t>
        </is>
      </c>
      <c r="M87" t="inlineStr">
        <is>
          <t>1996</t>
        </is>
      </c>
      <c r="N87" t="inlineStr">
        <is>
          <t>3rd ed. / by George Burkitt ... [et al.] ; drawings by Philip J. Deakin.</t>
        </is>
      </c>
      <c r="O87" t="inlineStr">
        <is>
          <t>eng</t>
        </is>
      </c>
      <c r="P87" t="inlineStr">
        <is>
          <t>nyu</t>
        </is>
      </c>
      <c r="R87" t="inlineStr">
        <is>
          <t xml:space="preserve">QZ </t>
        </is>
      </c>
      <c r="S87" t="n">
        <v>47</v>
      </c>
      <c r="T87" t="n">
        <v>47</v>
      </c>
      <c r="U87" t="inlineStr">
        <is>
          <t>2004-12-10</t>
        </is>
      </c>
      <c r="V87" t="inlineStr">
        <is>
          <t>2004-12-10</t>
        </is>
      </c>
      <c r="W87" t="inlineStr">
        <is>
          <t>1996-09-05</t>
        </is>
      </c>
      <c r="X87" t="inlineStr">
        <is>
          <t>1996-09-05</t>
        </is>
      </c>
      <c r="Y87" t="n">
        <v>219</v>
      </c>
      <c r="Z87" t="n">
        <v>95</v>
      </c>
      <c r="AA87" t="n">
        <v>166</v>
      </c>
      <c r="AB87" t="n">
        <v>1</v>
      </c>
      <c r="AC87" t="n">
        <v>1</v>
      </c>
      <c r="AD87" t="n">
        <v>3</v>
      </c>
      <c r="AE87" t="n">
        <v>4</v>
      </c>
      <c r="AF87" t="n">
        <v>1</v>
      </c>
      <c r="AG87" t="n">
        <v>2</v>
      </c>
      <c r="AH87" t="n">
        <v>1</v>
      </c>
      <c r="AI87" t="n">
        <v>1</v>
      </c>
      <c r="AJ87" t="n">
        <v>2</v>
      </c>
      <c r="AK87" t="n">
        <v>2</v>
      </c>
      <c r="AL87" t="n">
        <v>0</v>
      </c>
      <c r="AM87" t="n">
        <v>0</v>
      </c>
      <c r="AN87" t="n">
        <v>0</v>
      </c>
      <c r="AO87" t="n">
        <v>0</v>
      </c>
      <c r="AP87" t="inlineStr">
        <is>
          <t>No</t>
        </is>
      </c>
      <c r="AQ87" t="inlineStr">
        <is>
          <t>Yes</t>
        </is>
      </c>
      <c r="AR87">
        <f>HYPERLINK("http://catalog.hathitrust.org/Record/003087542","HathiTrust Record")</f>
        <v/>
      </c>
      <c r="AS87">
        <f>HYPERLINK("https://creighton-primo.hosted.exlibrisgroup.com/primo-explore/search?tab=default_tab&amp;search_scope=EVERYTHING&amp;vid=01CRU&amp;lang=en_US&amp;offset=0&amp;query=any,contains,991001551099702656","Catalog Record")</f>
        <v/>
      </c>
      <c r="AT87">
        <f>HYPERLINK("http://www.worldcat.org/oclc/34951137","WorldCat Record")</f>
        <v/>
      </c>
      <c r="AU87" t="inlineStr">
        <is>
          <t>3901503982:eng</t>
        </is>
      </c>
      <c r="AV87" t="inlineStr">
        <is>
          <t>34951137</t>
        </is>
      </c>
      <c r="AW87" t="inlineStr">
        <is>
          <t>991001551099702656</t>
        </is>
      </c>
      <c r="AX87" t="inlineStr">
        <is>
          <t>991001551099702656</t>
        </is>
      </c>
      <c r="AY87" t="inlineStr">
        <is>
          <t>2262253560002656</t>
        </is>
      </c>
      <c r="AZ87" t="inlineStr">
        <is>
          <t>BOOK</t>
        </is>
      </c>
      <c r="BB87" t="inlineStr">
        <is>
          <t>9780443050886</t>
        </is>
      </c>
      <c r="BC87" t="inlineStr">
        <is>
          <t>30001003441583</t>
        </is>
      </c>
      <c r="BD87" t="inlineStr">
        <is>
          <t>893643699</t>
        </is>
      </c>
    </row>
    <row r="88">
      <c r="A88" t="inlineStr">
        <is>
          <t>No</t>
        </is>
      </c>
      <c r="B88" t="inlineStr">
        <is>
          <t>QZ 18 C456k 1986</t>
        </is>
      </c>
      <c r="C88" t="inlineStr">
        <is>
          <t>0                      QZ 0018000C  456k        1986</t>
        </is>
      </c>
      <c r="D88" t="inlineStr">
        <is>
          <t>Key facts in pathology / Para Chandrasoma, Clive R. Taylor.</t>
        </is>
      </c>
      <c r="F88" t="inlineStr">
        <is>
          <t>No</t>
        </is>
      </c>
      <c r="G88" t="inlineStr">
        <is>
          <t>1</t>
        </is>
      </c>
      <c r="H88" t="inlineStr">
        <is>
          <t>No</t>
        </is>
      </c>
      <c r="I88" t="inlineStr">
        <is>
          <t>No</t>
        </is>
      </c>
      <c r="J88" t="inlineStr">
        <is>
          <t>0</t>
        </is>
      </c>
      <c r="K88" t="inlineStr">
        <is>
          <t>Chandrasoma, Para.</t>
        </is>
      </c>
      <c r="L88" t="inlineStr">
        <is>
          <t>New York : Churchill Livingstone, c1986.</t>
        </is>
      </c>
      <c r="M88" t="inlineStr">
        <is>
          <t>1986</t>
        </is>
      </c>
      <c r="O88" t="inlineStr">
        <is>
          <t>eng</t>
        </is>
      </c>
      <c r="P88" t="inlineStr">
        <is>
          <t>xxu</t>
        </is>
      </c>
      <c r="R88" t="inlineStr">
        <is>
          <t xml:space="preserve">QZ </t>
        </is>
      </c>
      <c r="S88" t="n">
        <v>50</v>
      </c>
      <c r="T88" t="n">
        <v>50</v>
      </c>
      <c r="U88" t="inlineStr">
        <is>
          <t>1994-10-27</t>
        </is>
      </c>
      <c r="V88" t="inlineStr">
        <is>
          <t>1994-10-27</t>
        </is>
      </c>
      <c r="W88" t="inlineStr">
        <is>
          <t>1989-02-23</t>
        </is>
      </c>
      <c r="X88" t="inlineStr">
        <is>
          <t>1989-02-23</t>
        </is>
      </c>
      <c r="Y88" t="n">
        <v>61</v>
      </c>
      <c r="Z88" t="n">
        <v>41</v>
      </c>
      <c r="AA88" t="n">
        <v>43</v>
      </c>
      <c r="AB88" t="n">
        <v>1</v>
      </c>
      <c r="AC88" t="n">
        <v>1</v>
      </c>
      <c r="AD88" t="n">
        <v>2</v>
      </c>
      <c r="AE88" t="n">
        <v>2</v>
      </c>
      <c r="AF88" t="n">
        <v>0</v>
      </c>
      <c r="AG88" t="n">
        <v>0</v>
      </c>
      <c r="AH88" t="n">
        <v>1</v>
      </c>
      <c r="AI88" t="n">
        <v>1</v>
      </c>
      <c r="AJ88" t="n">
        <v>2</v>
      </c>
      <c r="AK88" t="n">
        <v>2</v>
      </c>
      <c r="AL88" t="n">
        <v>0</v>
      </c>
      <c r="AM88" t="n">
        <v>0</v>
      </c>
      <c r="AN88" t="n">
        <v>0</v>
      </c>
      <c r="AO88" t="n">
        <v>0</v>
      </c>
      <c r="AP88" t="inlineStr">
        <is>
          <t>No</t>
        </is>
      </c>
      <c r="AQ88" t="inlineStr">
        <is>
          <t>Yes</t>
        </is>
      </c>
      <c r="AR88">
        <f>HYPERLINK("http://catalog.hathitrust.org/Record/010597859","HathiTrust Record")</f>
        <v/>
      </c>
      <c r="AS88">
        <f>HYPERLINK("https://creighton-primo.hosted.exlibrisgroup.com/primo-explore/search?tab=default_tab&amp;search_scope=EVERYTHING&amp;vid=01CRU&amp;lang=en_US&amp;offset=0&amp;query=any,contains,991001238519702656","Catalog Record")</f>
        <v/>
      </c>
      <c r="AT88">
        <f>HYPERLINK("http://www.worldcat.org/oclc/13581555","WorldCat Record")</f>
        <v/>
      </c>
      <c r="AU88" t="inlineStr">
        <is>
          <t>7513384:eng</t>
        </is>
      </c>
      <c r="AV88" t="inlineStr">
        <is>
          <t>13581555</t>
        </is>
      </c>
      <c r="AW88" t="inlineStr">
        <is>
          <t>991001238519702656</t>
        </is>
      </c>
      <c r="AX88" t="inlineStr">
        <is>
          <t>991001238519702656</t>
        </is>
      </c>
      <c r="AY88" t="inlineStr">
        <is>
          <t>2272399090002656</t>
        </is>
      </c>
      <c r="AZ88" t="inlineStr">
        <is>
          <t>BOOK</t>
        </is>
      </c>
      <c r="BB88" t="inlineStr">
        <is>
          <t>9780443082702</t>
        </is>
      </c>
      <c r="BC88" t="inlineStr">
        <is>
          <t>30001001675109</t>
        </is>
      </c>
      <c r="BD88" t="inlineStr">
        <is>
          <t>893374383</t>
        </is>
      </c>
    </row>
    <row r="89">
      <c r="A89" t="inlineStr">
        <is>
          <t>No</t>
        </is>
      </c>
      <c r="B89" t="inlineStr">
        <is>
          <t>QZ 18 C738p 1990</t>
        </is>
      </c>
      <c r="C89" t="inlineStr">
        <is>
          <t>0                      QZ 0018000C  738p        1990</t>
        </is>
      </c>
      <c r="D89" t="inlineStr">
        <is>
          <t>Pathologic basis of disease : self assessment and review / Carolyn C. Compton.</t>
        </is>
      </c>
      <c r="F89" t="inlineStr">
        <is>
          <t>No</t>
        </is>
      </c>
      <c r="G89" t="inlineStr">
        <is>
          <t>1</t>
        </is>
      </c>
      <c r="H89" t="inlineStr">
        <is>
          <t>No</t>
        </is>
      </c>
      <c r="I89" t="inlineStr">
        <is>
          <t>Yes</t>
        </is>
      </c>
      <c r="J89" t="inlineStr">
        <is>
          <t>0</t>
        </is>
      </c>
      <c r="K89" t="inlineStr">
        <is>
          <t>Compton, Carolyn C.</t>
        </is>
      </c>
      <c r="L89" t="inlineStr">
        <is>
          <t>Philadelphia : Saunders, c1990.</t>
        </is>
      </c>
      <c r="M89" t="inlineStr">
        <is>
          <t>1990</t>
        </is>
      </c>
      <c r="N89" t="inlineStr">
        <is>
          <t>3rd ed.</t>
        </is>
      </c>
      <c r="O89" t="inlineStr">
        <is>
          <t>eng</t>
        </is>
      </c>
      <c r="P89" t="inlineStr">
        <is>
          <t>pau</t>
        </is>
      </c>
      <c r="R89" t="inlineStr">
        <is>
          <t xml:space="preserve">QZ </t>
        </is>
      </c>
      <c r="S89" t="n">
        <v>9</v>
      </c>
      <c r="T89" t="n">
        <v>9</v>
      </c>
      <c r="U89" t="inlineStr">
        <is>
          <t>2001-09-06</t>
        </is>
      </c>
      <c r="V89" t="inlineStr">
        <is>
          <t>2001-09-06</t>
        </is>
      </c>
      <c r="W89" t="inlineStr">
        <is>
          <t>1995-01-05</t>
        </is>
      </c>
      <c r="X89" t="inlineStr">
        <is>
          <t>1995-01-05</t>
        </is>
      </c>
      <c r="Y89" t="n">
        <v>100</v>
      </c>
      <c r="Z89" t="n">
        <v>60</v>
      </c>
      <c r="AA89" t="n">
        <v>134</v>
      </c>
      <c r="AB89" t="n">
        <v>1</v>
      </c>
      <c r="AC89" t="n">
        <v>1</v>
      </c>
      <c r="AD89" t="n">
        <v>1</v>
      </c>
      <c r="AE89" t="n">
        <v>5</v>
      </c>
      <c r="AF89" t="n">
        <v>0</v>
      </c>
      <c r="AG89" t="n">
        <v>3</v>
      </c>
      <c r="AH89" t="n">
        <v>1</v>
      </c>
      <c r="AI89" t="n">
        <v>2</v>
      </c>
      <c r="AJ89" t="n">
        <v>1</v>
      </c>
      <c r="AK89" t="n">
        <v>2</v>
      </c>
      <c r="AL89" t="n">
        <v>0</v>
      </c>
      <c r="AM89" t="n">
        <v>0</v>
      </c>
      <c r="AN89" t="n">
        <v>0</v>
      </c>
      <c r="AO89" t="n">
        <v>0</v>
      </c>
      <c r="AP89" t="inlineStr">
        <is>
          <t>No</t>
        </is>
      </c>
      <c r="AQ89" t="inlineStr">
        <is>
          <t>Yes</t>
        </is>
      </c>
      <c r="AR89">
        <f>HYPERLINK("http://catalog.hathitrust.org/Record/009865775","HathiTrust Record")</f>
        <v/>
      </c>
      <c r="AS89">
        <f>HYPERLINK("https://creighton-primo.hosted.exlibrisgroup.com/primo-explore/search?tab=default_tab&amp;search_scope=EVERYTHING&amp;vid=01CRU&amp;lang=en_US&amp;offset=0&amp;query=any,contains,991000684239702656","Catalog Record")</f>
        <v/>
      </c>
      <c r="AT89">
        <f>HYPERLINK("http://www.worldcat.org/oclc/20932122","WorldCat Record")</f>
        <v/>
      </c>
      <c r="AU89" t="inlineStr">
        <is>
          <t>802350918:eng</t>
        </is>
      </c>
      <c r="AV89" t="inlineStr">
        <is>
          <t>20932122</t>
        </is>
      </c>
      <c r="AW89" t="inlineStr">
        <is>
          <t>991000684239702656</t>
        </is>
      </c>
      <c r="AX89" t="inlineStr">
        <is>
          <t>991000684239702656</t>
        </is>
      </c>
      <c r="AY89" t="inlineStr">
        <is>
          <t>2265553920002656</t>
        </is>
      </c>
      <c r="AZ89" t="inlineStr">
        <is>
          <t>BOOK</t>
        </is>
      </c>
      <c r="BB89" t="inlineStr">
        <is>
          <t>9780721629742</t>
        </is>
      </c>
      <c r="BC89" t="inlineStr">
        <is>
          <t>30001002698506</t>
        </is>
      </c>
      <c r="BD89" t="inlineStr">
        <is>
          <t>893267145</t>
        </is>
      </c>
    </row>
    <row r="90">
      <c r="A90" t="inlineStr">
        <is>
          <t>No</t>
        </is>
      </c>
      <c r="B90" t="inlineStr">
        <is>
          <t>QZ 18 L675g 1993</t>
        </is>
      </c>
      <c r="C90" t="inlineStr">
        <is>
          <t>0                      QZ 0018000L  675g        1993</t>
        </is>
      </c>
      <c r="D90" t="inlineStr">
        <is>
          <t>Appleton &amp; Lange's review of general pathology / Martin Gwent Lewis, Thomas K. Barton.</t>
        </is>
      </c>
      <c r="F90" t="inlineStr">
        <is>
          <t>No</t>
        </is>
      </c>
      <c r="G90" t="inlineStr">
        <is>
          <t>1</t>
        </is>
      </c>
      <c r="H90" t="inlineStr">
        <is>
          <t>No</t>
        </is>
      </c>
      <c r="I90" t="inlineStr">
        <is>
          <t>No</t>
        </is>
      </c>
      <c r="J90" t="inlineStr">
        <is>
          <t>0</t>
        </is>
      </c>
      <c r="K90" t="inlineStr">
        <is>
          <t>Lewis, Martin Gwent.</t>
        </is>
      </c>
      <c r="L90" t="inlineStr">
        <is>
          <t>Norwalk, Conn. : Appleton &amp; Lange, c1993.</t>
        </is>
      </c>
      <c r="M90" t="inlineStr">
        <is>
          <t>1993</t>
        </is>
      </c>
      <c r="N90" t="inlineStr">
        <is>
          <t>3rd ed.</t>
        </is>
      </c>
      <c r="O90" t="inlineStr">
        <is>
          <t>eng</t>
        </is>
      </c>
      <c r="P90" t="inlineStr">
        <is>
          <t>ctu</t>
        </is>
      </c>
      <c r="Q90" t="inlineStr">
        <is>
          <t>Appleton &amp; Lange review series</t>
        </is>
      </c>
      <c r="R90" t="inlineStr">
        <is>
          <t xml:space="preserve">QZ </t>
        </is>
      </c>
      <c r="S90" t="n">
        <v>37</v>
      </c>
      <c r="T90" t="n">
        <v>37</v>
      </c>
      <c r="U90" t="inlineStr">
        <is>
          <t>2009-02-25</t>
        </is>
      </c>
      <c r="V90" t="inlineStr">
        <is>
          <t>2009-02-25</t>
        </is>
      </c>
      <c r="W90" t="inlineStr">
        <is>
          <t>1995-05-12</t>
        </is>
      </c>
      <c r="X90" t="inlineStr">
        <is>
          <t>1995-05-12</t>
        </is>
      </c>
      <c r="Y90" t="n">
        <v>76</v>
      </c>
      <c r="Z90" t="n">
        <v>51</v>
      </c>
      <c r="AA90" t="n">
        <v>68</v>
      </c>
      <c r="AB90" t="n">
        <v>1</v>
      </c>
      <c r="AC90" t="n">
        <v>1</v>
      </c>
      <c r="AD90" t="n">
        <v>2</v>
      </c>
      <c r="AE90" t="n">
        <v>3</v>
      </c>
      <c r="AF90" t="n">
        <v>0</v>
      </c>
      <c r="AG90" t="n">
        <v>0</v>
      </c>
      <c r="AH90" t="n">
        <v>2</v>
      </c>
      <c r="AI90" t="n">
        <v>2</v>
      </c>
      <c r="AJ90" t="n">
        <v>1</v>
      </c>
      <c r="AK90" t="n">
        <v>2</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HYPERLINK("https://creighton-primo.hosted.exlibrisgroup.com/primo-explore/search?tab=default_tab&amp;search_scope=EVERYTHING&amp;vid=01CRU&amp;lang=en_US&amp;offset=0&amp;query=any,contains,991001400519702656","Catalog Record")</f>
        <v/>
      </c>
      <c r="AT90">
        <f>HYPERLINK("http://www.worldcat.org/oclc/27338621","WorldCat Record")</f>
        <v/>
      </c>
      <c r="AU90" t="inlineStr">
        <is>
          <t>357783:eng</t>
        </is>
      </c>
      <c r="AV90" t="inlineStr">
        <is>
          <t>27338621</t>
        </is>
      </c>
      <c r="AW90" t="inlineStr">
        <is>
          <t>991001400519702656</t>
        </is>
      </c>
      <c r="AX90" t="inlineStr">
        <is>
          <t>991001400519702656</t>
        </is>
      </c>
      <c r="AY90" t="inlineStr">
        <is>
          <t>2270991120002656</t>
        </is>
      </c>
      <c r="AZ90" t="inlineStr">
        <is>
          <t>BOOK</t>
        </is>
      </c>
      <c r="BB90" t="inlineStr">
        <is>
          <t>9780838501610</t>
        </is>
      </c>
      <c r="BC90" t="inlineStr">
        <is>
          <t>30001003147859</t>
        </is>
      </c>
      <c r="BD90" t="inlineStr">
        <is>
          <t>893741096</t>
        </is>
      </c>
    </row>
    <row r="91">
      <c r="A91" t="inlineStr">
        <is>
          <t>No</t>
        </is>
      </c>
      <c r="B91" t="inlineStr">
        <is>
          <t>QZ 18 O94 1987</t>
        </is>
      </c>
      <c r="C91" t="inlineStr">
        <is>
          <t>0                      QZ 0018000O  94          1987</t>
        </is>
      </c>
      <c r="D91" t="inlineStr">
        <is>
          <t>Outlines and review of pathology / [edited by] Herbert Braunstein.</t>
        </is>
      </c>
      <c r="F91" t="inlineStr">
        <is>
          <t>No</t>
        </is>
      </c>
      <c r="G91" t="inlineStr">
        <is>
          <t>1</t>
        </is>
      </c>
      <c r="H91" t="inlineStr">
        <is>
          <t>No</t>
        </is>
      </c>
      <c r="I91" t="inlineStr">
        <is>
          <t>No</t>
        </is>
      </c>
      <c r="J91" t="inlineStr">
        <is>
          <t>0</t>
        </is>
      </c>
      <c r="L91" t="inlineStr">
        <is>
          <t>St. Louis : Mosby, c1987.</t>
        </is>
      </c>
      <c r="M91" t="inlineStr">
        <is>
          <t>1987</t>
        </is>
      </c>
      <c r="N91" t="inlineStr">
        <is>
          <t>2nd ed.</t>
        </is>
      </c>
      <c r="O91" t="inlineStr">
        <is>
          <t>eng</t>
        </is>
      </c>
      <c r="P91" t="inlineStr">
        <is>
          <t>xxu</t>
        </is>
      </c>
      <c r="R91" t="inlineStr">
        <is>
          <t xml:space="preserve">QZ </t>
        </is>
      </c>
      <c r="S91" t="n">
        <v>32</v>
      </c>
      <c r="T91" t="n">
        <v>32</v>
      </c>
      <c r="U91" t="inlineStr">
        <is>
          <t>2000-04-04</t>
        </is>
      </c>
      <c r="V91" t="inlineStr">
        <is>
          <t>2000-04-04</t>
        </is>
      </c>
      <c r="W91" t="inlineStr">
        <is>
          <t>1989-08-15</t>
        </is>
      </c>
      <c r="X91" t="inlineStr">
        <is>
          <t>1989-08-15</t>
        </is>
      </c>
      <c r="Y91" t="n">
        <v>66</v>
      </c>
      <c r="Z91" t="n">
        <v>48</v>
      </c>
      <c r="AA91" t="n">
        <v>50</v>
      </c>
      <c r="AB91" t="n">
        <v>1</v>
      </c>
      <c r="AC91" t="n">
        <v>1</v>
      </c>
      <c r="AD91" t="n">
        <v>0</v>
      </c>
      <c r="AE91" t="n">
        <v>0</v>
      </c>
      <c r="AF91" t="n">
        <v>0</v>
      </c>
      <c r="AG91" t="n">
        <v>0</v>
      </c>
      <c r="AH91" t="n">
        <v>0</v>
      </c>
      <c r="AI91" t="n">
        <v>0</v>
      </c>
      <c r="AJ91" t="n">
        <v>0</v>
      </c>
      <c r="AK91" t="n">
        <v>0</v>
      </c>
      <c r="AL91" t="n">
        <v>0</v>
      </c>
      <c r="AM91" t="n">
        <v>0</v>
      </c>
      <c r="AN91" t="n">
        <v>0</v>
      </c>
      <c r="AO91" t="n">
        <v>0</v>
      </c>
      <c r="AP91" t="inlineStr">
        <is>
          <t>No</t>
        </is>
      </c>
      <c r="AQ91" t="inlineStr">
        <is>
          <t>Yes</t>
        </is>
      </c>
      <c r="AR91">
        <f>HYPERLINK("http://catalog.hathitrust.org/Record/000828234","HathiTrust Record")</f>
        <v/>
      </c>
      <c r="AS91">
        <f>HYPERLINK("https://creighton-primo.hosted.exlibrisgroup.com/primo-explore/search?tab=default_tab&amp;search_scope=EVERYTHING&amp;vid=01CRU&amp;lang=en_US&amp;offset=0&amp;query=any,contains,991001313379702656","Catalog Record")</f>
        <v/>
      </c>
      <c r="AT91">
        <f>HYPERLINK("http://www.worldcat.org/oclc/15550790","WorldCat Record")</f>
        <v/>
      </c>
      <c r="AU91" t="inlineStr">
        <is>
          <t>2829752392:eng</t>
        </is>
      </c>
      <c r="AV91" t="inlineStr">
        <is>
          <t>15550790</t>
        </is>
      </c>
      <c r="AW91" t="inlineStr">
        <is>
          <t>991001313379702656</t>
        </is>
      </c>
      <c r="AX91" t="inlineStr">
        <is>
          <t>991001313379702656</t>
        </is>
      </c>
      <c r="AY91" t="inlineStr">
        <is>
          <t>2263951960002656</t>
        </is>
      </c>
      <c r="AZ91" t="inlineStr">
        <is>
          <t>BOOK</t>
        </is>
      </c>
      <c r="BB91" t="inlineStr">
        <is>
          <t>9780801606472</t>
        </is>
      </c>
      <c r="BC91" t="inlineStr">
        <is>
          <t>30001001751736</t>
        </is>
      </c>
      <c r="BD91" t="inlineStr">
        <is>
          <t>893560965</t>
        </is>
      </c>
    </row>
    <row r="92">
      <c r="A92" t="inlineStr">
        <is>
          <t>No</t>
        </is>
      </c>
      <c r="B92" t="inlineStr">
        <is>
          <t>QZ 18 S358p 1993</t>
        </is>
      </c>
      <c r="C92" t="inlineStr">
        <is>
          <t>0                      QZ 0018000S  358p        1993</t>
        </is>
      </c>
      <c r="D92" t="inlineStr">
        <is>
          <t>Pathology / Arthur S. Schneider, Philip A. Szanto.</t>
        </is>
      </c>
      <c r="F92" t="inlineStr">
        <is>
          <t>No</t>
        </is>
      </c>
      <c r="G92" t="inlineStr">
        <is>
          <t>1</t>
        </is>
      </c>
      <c r="H92" t="inlineStr">
        <is>
          <t>No</t>
        </is>
      </c>
      <c r="I92" t="inlineStr">
        <is>
          <t>Yes</t>
        </is>
      </c>
      <c r="J92" t="inlineStr">
        <is>
          <t>0</t>
        </is>
      </c>
      <c r="K92" t="inlineStr">
        <is>
          <t>Schneider, Arthur S.</t>
        </is>
      </c>
      <c r="L92" t="inlineStr">
        <is>
          <t>Baltimore : Williams &amp; Wilkins ; Malvern, Pa. : Harwal, c1993.</t>
        </is>
      </c>
      <c r="M92" t="inlineStr">
        <is>
          <t>1993</t>
        </is>
      </c>
      <c r="O92" t="inlineStr">
        <is>
          <t>eng</t>
        </is>
      </c>
      <c r="P92" t="inlineStr">
        <is>
          <t>mdu</t>
        </is>
      </c>
      <c r="Q92" t="inlineStr">
        <is>
          <t>Board review series</t>
        </is>
      </c>
      <c r="R92" t="inlineStr">
        <is>
          <t xml:space="preserve">QZ </t>
        </is>
      </c>
      <c r="S92" t="n">
        <v>52</v>
      </c>
      <c r="T92" t="n">
        <v>52</v>
      </c>
      <c r="U92" t="inlineStr">
        <is>
          <t>2010-07-16</t>
        </is>
      </c>
      <c r="V92" t="inlineStr">
        <is>
          <t>2010-07-16</t>
        </is>
      </c>
      <c r="W92" t="inlineStr">
        <is>
          <t>1995-08-25</t>
        </is>
      </c>
      <c r="X92" t="inlineStr">
        <is>
          <t>1995-08-25</t>
        </is>
      </c>
      <c r="Y92" t="n">
        <v>108</v>
      </c>
      <c r="Z92" t="n">
        <v>66</v>
      </c>
      <c r="AA92" t="n">
        <v>254</v>
      </c>
      <c r="AB92" t="n">
        <v>1</v>
      </c>
      <c r="AC92" t="n">
        <v>2</v>
      </c>
      <c r="AD92" t="n">
        <v>1</v>
      </c>
      <c r="AE92" t="n">
        <v>11</v>
      </c>
      <c r="AF92" t="n">
        <v>0</v>
      </c>
      <c r="AG92" t="n">
        <v>3</v>
      </c>
      <c r="AH92" t="n">
        <v>1</v>
      </c>
      <c r="AI92" t="n">
        <v>4</v>
      </c>
      <c r="AJ92" t="n">
        <v>0</v>
      </c>
      <c r="AK92" t="n">
        <v>4</v>
      </c>
      <c r="AL92" t="n">
        <v>0</v>
      </c>
      <c r="AM92" t="n">
        <v>1</v>
      </c>
      <c r="AN92" t="n">
        <v>0</v>
      </c>
      <c r="AO92" t="n">
        <v>0</v>
      </c>
      <c r="AP92" t="inlineStr">
        <is>
          <t>No</t>
        </is>
      </c>
      <c r="AQ92" t="inlineStr">
        <is>
          <t>Yes</t>
        </is>
      </c>
      <c r="AR92">
        <f>HYPERLINK("http://catalog.hathitrust.org/Record/005600976","HathiTrust Record")</f>
        <v/>
      </c>
      <c r="AS92">
        <f>HYPERLINK("https://creighton-primo.hosted.exlibrisgroup.com/primo-explore/search?tab=default_tab&amp;search_scope=EVERYTHING&amp;vid=01CRU&amp;lang=en_US&amp;offset=0&amp;query=any,contains,991001405139702656","Catalog Record")</f>
        <v/>
      </c>
      <c r="AT92">
        <f>HYPERLINK("http://www.worldcat.org/oclc/26163850","WorldCat Record")</f>
        <v/>
      </c>
      <c r="AU92" t="inlineStr">
        <is>
          <t>28803573:eng</t>
        </is>
      </c>
      <c r="AV92" t="inlineStr">
        <is>
          <t>26163850</t>
        </is>
      </c>
      <c r="AW92" t="inlineStr">
        <is>
          <t>991001405139702656</t>
        </is>
      </c>
      <c r="AX92" t="inlineStr">
        <is>
          <t>991001405139702656</t>
        </is>
      </c>
      <c r="AY92" t="inlineStr">
        <is>
          <t>2270915530002656</t>
        </is>
      </c>
      <c r="AZ92" t="inlineStr">
        <is>
          <t>BOOK</t>
        </is>
      </c>
      <c r="BB92" t="inlineStr">
        <is>
          <t>9780683076080</t>
        </is>
      </c>
      <c r="BC92" t="inlineStr">
        <is>
          <t>30001003149806</t>
        </is>
      </c>
      <c r="BD92" t="inlineStr">
        <is>
          <t>893826715</t>
        </is>
      </c>
    </row>
    <row r="93">
      <c r="A93" t="inlineStr">
        <is>
          <t>No</t>
        </is>
      </c>
      <c r="B93" t="inlineStr">
        <is>
          <t>QZ 18.2 K84h 2000</t>
        </is>
      </c>
      <c r="C93" t="inlineStr">
        <is>
          <t>0                      QZ 0018200K  84h         2000</t>
        </is>
      </c>
      <c r="D93" t="inlineStr">
        <is>
          <t>Human genetics : a problem-based approach / Bruce R. Korf.</t>
        </is>
      </c>
      <c r="F93" t="inlineStr">
        <is>
          <t>No</t>
        </is>
      </c>
      <c r="G93" t="inlineStr">
        <is>
          <t>1</t>
        </is>
      </c>
      <c r="H93" t="inlineStr">
        <is>
          <t>No</t>
        </is>
      </c>
      <c r="I93" t="inlineStr">
        <is>
          <t>No</t>
        </is>
      </c>
      <c r="J93" t="inlineStr">
        <is>
          <t>0</t>
        </is>
      </c>
      <c r="K93" t="inlineStr">
        <is>
          <t>Korf, Bruce R.</t>
        </is>
      </c>
      <c r="L93" t="inlineStr">
        <is>
          <t>Malden, Mass. : Blackwell Science, c2000.</t>
        </is>
      </c>
      <c r="M93" t="inlineStr">
        <is>
          <t>2000</t>
        </is>
      </c>
      <c r="N93" t="inlineStr">
        <is>
          <t>2nd ed.</t>
        </is>
      </c>
      <c r="O93" t="inlineStr">
        <is>
          <t>eng</t>
        </is>
      </c>
      <c r="P93" t="inlineStr">
        <is>
          <t>mau</t>
        </is>
      </c>
      <c r="R93" t="inlineStr">
        <is>
          <t xml:space="preserve">QZ </t>
        </is>
      </c>
      <c r="S93" t="n">
        <v>7</v>
      </c>
      <c r="T93" t="n">
        <v>7</v>
      </c>
      <c r="U93" t="inlineStr">
        <is>
          <t>2004-03-21</t>
        </is>
      </c>
      <c r="V93" t="inlineStr">
        <is>
          <t>2004-03-21</t>
        </is>
      </c>
      <c r="W93" t="inlineStr">
        <is>
          <t>2000-04-04</t>
        </is>
      </c>
      <c r="X93" t="inlineStr">
        <is>
          <t>2000-04-04</t>
        </is>
      </c>
      <c r="Y93" t="n">
        <v>246</v>
      </c>
      <c r="Z93" t="n">
        <v>166</v>
      </c>
      <c r="AA93" t="n">
        <v>245</v>
      </c>
      <c r="AB93" t="n">
        <v>1</v>
      </c>
      <c r="AC93" t="n">
        <v>2</v>
      </c>
      <c r="AD93" t="n">
        <v>4</v>
      </c>
      <c r="AE93" t="n">
        <v>5</v>
      </c>
      <c r="AF93" t="n">
        <v>0</v>
      </c>
      <c r="AG93" t="n">
        <v>0</v>
      </c>
      <c r="AH93" t="n">
        <v>3</v>
      </c>
      <c r="AI93" t="n">
        <v>3</v>
      </c>
      <c r="AJ93" t="n">
        <v>2</v>
      </c>
      <c r="AK93" t="n">
        <v>2</v>
      </c>
      <c r="AL93" t="n">
        <v>0</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HYPERLINK("https://creighton-primo.hosted.exlibrisgroup.com/primo-explore/search?tab=default_tab&amp;search_scope=EVERYTHING&amp;vid=01CRU&amp;lang=en_US&amp;offset=0&amp;query=any,contains,991001799009702656","Catalog Record")</f>
        <v/>
      </c>
      <c r="AT93">
        <f>HYPERLINK("http://www.worldcat.org/oclc/41266295","WorldCat Record")</f>
        <v/>
      </c>
      <c r="AU93" t="inlineStr">
        <is>
          <t>787367:eng</t>
        </is>
      </c>
      <c r="AV93" t="inlineStr">
        <is>
          <t>41266295</t>
        </is>
      </c>
      <c r="AW93" t="inlineStr">
        <is>
          <t>991001799009702656</t>
        </is>
      </c>
      <c r="AX93" t="inlineStr">
        <is>
          <t>991001799009702656</t>
        </is>
      </c>
      <c r="AY93" t="inlineStr">
        <is>
          <t>2260986330002656</t>
        </is>
      </c>
      <c r="AZ93" t="inlineStr">
        <is>
          <t>BOOK</t>
        </is>
      </c>
      <c r="BB93" t="inlineStr">
        <is>
          <t>9780632044252</t>
        </is>
      </c>
      <c r="BC93" t="inlineStr">
        <is>
          <t>30001003824358</t>
        </is>
      </c>
      <c r="BD93" t="inlineStr">
        <is>
          <t>893652166</t>
        </is>
      </c>
    </row>
    <row r="94">
      <c r="A94" t="inlineStr">
        <is>
          <t>No</t>
        </is>
      </c>
      <c r="B94" t="inlineStr">
        <is>
          <t>QZ 25 D5356 1992 v.II</t>
        </is>
      </c>
      <c r="C94" t="inlineStr">
        <is>
          <t>0                      QZ 0025000D  5356        1992                                        v.II</t>
        </is>
      </c>
      <c r="D94" t="inlineStr">
        <is>
          <t>Diagnostic molecular pathology : a practical approach / edited by C.S. Herrington and J. O'D. McGee.</t>
        </is>
      </c>
      <c r="E94" t="inlineStr">
        <is>
          <t>V. 1</t>
        </is>
      </c>
      <c r="F94" t="inlineStr">
        <is>
          <t>Yes</t>
        </is>
      </c>
      <c r="G94" t="inlineStr">
        <is>
          <t>1</t>
        </is>
      </c>
      <c r="H94" t="inlineStr">
        <is>
          <t>No</t>
        </is>
      </c>
      <c r="I94" t="inlineStr">
        <is>
          <t>No</t>
        </is>
      </c>
      <c r="J94" t="inlineStr">
        <is>
          <t>0</t>
        </is>
      </c>
      <c r="L94" t="inlineStr">
        <is>
          <t>Oxford ; New York : IRL Press at Oxford University Press, c1992.</t>
        </is>
      </c>
      <c r="M94" t="inlineStr">
        <is>
          <t>1992</t>
        </is>
      </c>
      <c r="O94" t="inlineStr">
        <is>
          <t>eng</t>
        </is>
      </c>
      <c r="P94" t="inlineStr">
        <is>
          <t>enk</t>
        </is>
      </c>
      <c r="Q94" t="inlineStr">
        <is>
          <t>Practical approach series</t>
        </is>
      </c>
      <c r="R94" t="inlineStr">
        <is>
          <t xml:space="preserve">QZ </t>
        </is>
      </c>
      <c r="S94" t="n">
        <v>3</v>
      </c>
      <c r="T94" t="n">
        <v>6</v>
      </c>
      <c r="U94" t="inlineStr">
        <is>
          <t>1994-09-07</t>
        </is>
      </c>
      <c r="V94" t="inlineStr">
        <is>
          <t>1995-06-19</t>
        </is>
      </c>
      <c r="W94" t="inlineStr">
        <is>
          <t>1994-09-02</t>
        </is>
      </c>
      <c r="X94" t="inlineStr">
        <is>
          <t>1994-09-02</t>
        </is>
      </c>
      <c r="Y94" t="n">
        <v>142</v>
      </c>
      <c r="Z94" t="n">
        <v>79</v>
      </c>
      <c r="AA94" t="n">
        <v>80</v>
      </c>
      <c r="AB94" t="n">
        <v>1</v>
      </c>
      <c r="AC94" t="n">
        <v>1</v>
      </c>
      <c r="AD94" t="n">
        <v>1</v>
      </c>
      <c r="AE94" t="n">
        <v>1</v>
      </c>
      <c r="AF94" t="n">
        <v>1</v>
      </c>
      <c r="AG94" t="n">
        <v>1</v>
      </c>
      <c r="AH94" t="n">
        <v>0</v>
      </c>
      <c r="AI94" t="n">
        <v>0</v>
      </c>
      <c r="AJ94" t="n">
        <v>1</v>
      </c>
      <c r="AK94" t="n">
        <v>1</v>
      </c>
      <c r="AL94" t="n">
        <v>0</v>
      </c>
      <c r="AM94" t="n">
        <v>0</v>
      </c>
      <c r="AN94" t="n">
        <v>0</v>
      </c>
      <c r="AO94" t="n">
        <v>0</v>
      </c>
      <c r="AP94" t="inlineStr">
        <is>
          <t>No</t>
        </is>
      </c>
      <c r="AQ94" t="inlineStr">
        <is>
          <t>Yes</t>
        </is>
      </c>
      <c r="AR94">
        <f>HYPERLINK("http://catalog.hathitrust.org/Record/002595142","HathiTrust Record")</f>
        <v/>
      </c>
      <c r="AS94">
        <f>HYPERLINK("https://creighton-primo.hosted.exlibrisgroup.com/primo-explore/search?tab=default_tab&amp;search_scope=EVERYTHING&amp;vid=01CRU&amp;lang=en_US&amp;offset=0&amp;query=any,contains,991000672319702656","Catalog Record")</f>
        <v/>
      </c>
      <c r="AT94">
        <f>HYPERLINK("http://www.worldcat.org/oclc/24792979","WorldCat Record")</f>
        <v/>
      </c>
      <c r="AU94" t="inlineStr">
        <is>
          <t>10567210422:eng</t>
        </is>
      </c>
      <c r="AV94" t="inlineStr">
        <is>
          <t>24792979</t>
        </is>
      </c>
      <c r="AW94" t="inlineStr">
        <is>
          <t>991000672319702656</t>
        </is>
      </c>
      <c r="AX94" t="inlineStr">
        <is>
          <t>991000672319702656</t>
        </is>
      </c>
      <c r="AY94" t="inlineStr">
        <is>
          <t>2261627970002656</t>
        </is>
      </c>
      <c r="AZ94" t="inlineStr">
        <is>
          <t>BOOK</t>
        </is>
      </c>
      <c r="BB94" t="inlineStr">
        <is>
          <t>9780199632381</t>
        </is>
      </c>
      <c r="BC94" t="inlineStr">
        <is>
          <t>30001002696252</t>
        </is>
      </c>
      <c r="BD94" t="inlineStr">
        <is>
          <t>893551285</t>
        </is>
      </c>
    </row>
    <row r="95">
      <c r="A95" t="inlineStr">
        <is>
          <t>No</t>
        </is>
      </c>
      <c r="B95" t="inlineStr">
        <is>
          <t>QZ 25 D5356 1992 v.II</t>
        </is>
      </c>
      <c r="C95" t="inlineStr">
        <is>
          <t>0                      QZ 0025000D  5356        1992                                        v.II</t>
        </is>
      </c>
      <c r="D95" t="inlineStr">
        <is>
          <t>Diagnostic molecular pathology : a practical approach / edited by C.S. Herrington and J. O'D. McGee.</t>
        </is>
      </c>
      <c r="E95" t="inlineStr">
        <is>
          <t>V. 2</t>
        </is>
      </c>
      <c r="F95" t="inlineStr">
        <is>
          <t>Yes</t>
        </is>
      </c>
      <c r="G95" t="inlineStr">
        <is>
          <t>1</t>
        </is>
      </c>
      <c r="H95" t="inlineStr">
        <is>
          <t>No</t>
        </is>
      </c>
      <c r="I95" t="inlineStr">
        <is>
          <t>No</t>
        </is>
      </c>
      <c r="J95" t="inlineStr">
        <is>
          <t>0</t>
        </is>
      </c>
      <c r="L95" t="inlineStr">
        <is>
          <t>Oxford ; New York : IRL Press at Oxford University Press, c1992.</t>
        </is>
      </c>
      <c r="M95" t="inlineStr">
        <is>
          <t>1992</t>
        </is>
      </c>
      <c r="O95" t="inlineStr">
        <is>
          <t>eng</t>
        </is>
      </c>
      <c r="P95" t="inlineStr">
        <is>
          <t>enk</t>
        </is>
      </c>
      <c r="Q95" t="inlineStr">
        <is>
          <t>Practical approach series</t>
        </is>
      </c>
      <c r="R95" t="inlineStr">
        <is>
          <t xml:space="preserve">QZ </t>
        </is>
      </c>
      <c r="S95" t="n">
        <v>3</v>
      </c>
      <c r="T95" t="n">
        <v>6</v>
      </c>
      <c r="U95" t="inlineStr">
        <is>
          <t>1995-06-19</t>
        </is>
      </c>
      <c r="V95" t="inlineStr">
        <is>
          <t>1995-06-19</t>
        </is>
      </c>
      <c r="W95" t="inlineStr">
        <is>
          <t>1994-09-02</t>
        </is>
      </c>
      <c r="X95" t="inlineStr">
        <is>
          <t>1994-09-02</t>
        </is>
      </c>
      <c r="Y95" t="n">
        <v>142</v>
      </c>
      <c r="Z95" t="n">
        <v>79</v>
      </c>
      <c r="AA95" t="n">
        <v>80</v>
      </c>
      <c r="AB95" t="n">
        <v>1</v>
      </c>
      <c r="AC95" t="n">
        <v>1</v>
      </c>
      <c r="AD95" t="n">
        <v>1</v>
      </c>
      <c r="AE95" t="n">
        <v>1</v>
      </c>
      <c r="AF95" t="n">
        <v>1</v>
      </c>
      <c r="AG95" t="n">
        <v>1</v>
      </c>
      <c r="AH95" t="n">
        <v>0</v>
      </c>
      <c r="AI95" t="n">
        <v>0</v>
      </c>
      <c r="AJ95" t="n">
        <v>1</v>
      </c>
      <c r="AK95" t="n">
        <v>1</v>
      </c>
      <c r="AL95" t="n">
        <v>0</v>
      </c>
      <c r="AM95" t="n">
        <v>0</v>
      </c>
      <c r="AN95" t="n">
        <v>0</v>
      </c>
      <c r="AO95" t="n">
        <v>0</v>
      </c>
      <c r="AP95" t="inlineStr">
        <is>
          <t>No</t>
        </is>
      </c>
      <c r="AQ95" t="inlineStr">
        <is>
          <t>Yes</t>
        </is>
      </c>
      <c r="AR95">
        <f>HYPERLINK("http://catalog.hathitrust.org/Record/002595142","HathiTrust Record")</f>
        <v/>
      </c>
      <c r="AS95">
        <f>HYPERLINK("https://creighton-primo.hosted.exlibrisgroup.com/primo-explore/search?tab=default_tab&amp;search_scope=EVERYTHING&amp;vid=01CRU&amp;lang=en_US&amp;offset=0&amp;query=any,contains,991000672319702656","Catalog Record")</f>
        <v/>
      </c>
      <c r="AT95">
        <f>HYPERLINK("http://www.worldcat.org/oclc/24792979","WorldCat Record")</f>
        <v/>
      </c>
      <c r="AU95" t="inlineStr">
        <is>
          <t>10567210422:eng</t>
        </is>
      </c>
      <c r="AV95" t="inlineStr">
        <is>
          <t>24792979</t>
        </is>
      </c>
      <c r="AW95" t="inlineStr">
        <is>
          <t>991000672319702656</t>
        </is>
      </c>
      <c r="AX95" t="inlineStr">
        <is>
          <t>991000672319702656</t>
        </is>
      </c>
      <c r="AY95" t="inlineStr">
        <is>
          <t>2261627970002656</t>
        </is>
      </c>
      <c r="AZ95" t="inlineStr">
        <is>
          <t>BOOK</t>
        </is>
      </c>
      <c r="BB95" t="inlineStr">
        <is>
          <t>9780199632381</t>
        </is>
      </c>
      <c r="BC95" t="inlineStr">
        <is>
          <t>30001002696245</t>
        </is>
      </c>
      <c r="BD95" t="inlineStr">
        <is>
          <t>893551284</t>
        </is>
      </c>
    </row>
    <row r="96">
      <c r="A96" t="inlineStr">
        <is>
          <t>No</t>
        </is>
      </c>
      <c r="B96" t="inlineStr">
        <is>
          <t>QZ 25 L1235 1999</t>
        </is>
      </c>
      <c r="C96" t="inlineStr">
        <is>
          <t>0                      QZ 0025000L  1235        1999</t>
        </is>
      </c>
      <c r="D96" t="inlineStr">
        <is>
          <t>Laboratory techniques in thrombosis : a manual / edited by J. Jespersen, R.M. Bertina, F. Haverkate.</t>
        </is>
      </c>
      <c r="F96" t="inlineStr">
        <is>
          <t>No</t>
        </is>
      </c>
      <c r="G96" t="inlineStr">
        <is>
          <t>1</t>
        </is>
      </c>
      <c r="H96" t="inlineStr">
        <is>
          <t>No</t>
        </is>
      </c>
      <c r="I96" t="inlineStr">
        <is>
          <t>No</t>
        </is>
      </c>
      <c r="J96" t="inlineStr">
        <is>
          <t>0</t>
        </is>
      </c>
      <c r="K96" t="inlineStr">
        <is>
          <t>ECAT assay procedures.</t>
        </is>
      </c>
      <c r="L96" t="inlineStr">
        <is>
          <t>Dordrecht ; Boston : Kluwer Academic Publishers, c1999.</t>
        </is>
      </c>
      <c r="M96" t="inlineStr">
        <is>
          <t>1999</t>
        </is>
      </c>
      <c r="N96" t="inlineStr">
        <is>
          <t>2nd rev. ed.</t>
        </is>
      </c>
      <c r="O96" t="inlineStr">
        <is>
          <t>eng</t>
        </is>
      </c>
      <c r="P96" t="inlineStr">
        <is>
          <t xml:space="preserve">ne </t>
        </is>
      </c>
      <c r="R96" t="inlineStr">
        <is>
          <t xml:space="preserve">QZ </t>
        </is>
      </c>
      <c r="S96" t="n">
        <v>5</v>
      </c>
      <c r="T96" t="n">
        <v>5</v>
      </c>
      <c r="U96" t="inlineStr">
        <is>
          <t>2001-09-21</t>
        </is>
      </c>
      <c r="V96" t="inlineStr">
        <is>
          <t>2001-09-21</t>
        </is>
      </c>
      <c r="W96" t="inlineStr">
        <is>
          <t>2000-07-12</t>
        </is>
      </c>
      <c r="X96" t="inlineStr">
        <is>
          <t>2000-07-12</t>
        </is>
      </c>
      <c r="Y96" t="n">
        <v>62</v>
      </c>
      <c r="Z96" t="n">
        <v>39</v>
      </c>
      <c r="AA96" t="n">
        <v>59</v>
      </c>
      <c r="AB96" t="n">
        <v>1</v>
      </c>
      <c r="AC96" t="n">
        <v>1</v>
      </c>
      <c r="AD96" t="n">
        <v>0</v>
      </c>
      <c r="AE96" t="n">
        <v>1</v>
      </c>
      <c r="AF96" t="n">
        <v>0</v>
      </c>
      <c r="AG96" t="n">
        <v>0</v>
      </c>
      <c r="AH96" t="n">
        <v>0</v>
      </c>
      <c r="AI96" t="n">
        <v>0</v>
      </c>
      <c r="AJ96" t="n">
        <v>0</v>
      </c>
      <c r="AK96" t="n">
        <v>1</v>
      </c>
      <c r="AL96" t="n">
        <v>0</v>
      </c>
      <c r="AM96" t="n">
        <v>0</v>
      </c>
      <c r="AN96" t="n">
        <v>0</v>
      </c>
      <c r="AO96" t="n">
        <v>0</v>
      </c>
      <c r="AP96" t="inlineStr">
        <is>
          <t>No</t>
        </is>
      </c>
      <c r="AQ96" t="inlineStr">
        <is>
          <t>No</t>
        </is>
      </c>
      <c r="AS96">
        <f>HYPERLINK("https://creighton-primo.hosted.exlibrisgroup.com/primo-explore/search?tab=default_tab&amp;search_scope=EVERYTHING&amp;vid=01CRU&amp;lang=en_US&amp;offset=0&amp;query=any,contains,991000276049702656","Catalog Record")</f>
        <v/>
      </c>
      <c r="AT96">
        <f>HYPERLINK("http://www.worldcat.org/oclc/39763745","WorldCat Record")</f>
        <v/>
      </c>
      <c r="AU96" t="inlineStr">
        <is>
          <t>41747892:eng</t>
        </is>
      </c>
      <c r="AV96" t="inlineStr">
        <is>
          <t>39763745</t>
        </is>
      </c>
      <c r="AW96" t="inlineStr">
        <is>
          <t>991000276049702656</t>
        </is>
      </c>
      <c r="AX96" t="inlineStr">
        <is>
          <t>991000276049702656</t>
        </is>
      </c>
      <c r="AY96" t="inlineStr">
        <is>
          <t>2265955270002656</t>
        </is>
      </c>
      <c r="AZ96" t="inlineStr">
        <is>
          <t>BOOK</t>
        </is>
      </c>
      <c r="BB96" t="inlineStr">
        <is>
          <t>9780792353171</t>
        </is>
      </c>
      <c r="BC96" t="inlineStr">
        <is>
          <t>30001003942093</t>
        </is>
      </c>
      <c r="BD96" t="inlineStr">
        <is>
          <t>893269317</t>
        </is>
      </c>
    </row>
    <row r="97">
      <c r="A97" t="inlineStr">
        <is>
          <t>No</t>
        </is>
      </c>
      <c r="B97" t="inlineStr">
        <is>
          <t>QZ 25 L675h 1984</t>
        </is>
      </c>
      <c r="C97" t="inlineStr">
        <is>
          <t>0                      QZ 0025000L  675h        1984</t>
        </is>
      </c>
      <c r="D97" t="inlineStr">
        <is>
          <t>Histopathology : a step-by-step approach / Martin G. Lewis, Geoffrey Rowden.</t>
        </is>
      </c>
      <c r="F97" t="inlineStr">
        <is>
          <t>No</t>
        </is>
      </c>
      <c r="G97" t="inlineStr">
        <is>
          <t>1</t>
        </is>
      </c>
      <c r="H97" t="inlineStr">
        <is>
          <t>No</t>
        </is>
      </c>
      <c r="I97" t="inlineStr">
        <is>
          <t>No</t>
        </is>
      </c>
      <c r="J97" t="inlineStr">
        <is>
          <t>0</t>
        </is>
      </c>
      <c r="K97" t="inlineStr">
        <is>
          <t>Lewis, Martin Gwent.</t>
        </is>
      </c>
      <c r="L97" t="inlineStr">
        <is>
          <t>Boston : Little, Brown, c1984</t>
        </is>
      </c>
      <c r="M97" t="inlineStr">
        <is>
          <t>1984</t>
        </is>
      </c>
      <c r="O97" t="inlineStr">
        <is>
          <t>eng</t>
        </is>
      </c>
      <c r="P97" t="inlineStr">
        <is>
          <t>mau</t>
        </is>
      </c>
      <c r="R97" t="inlineStr">
        <is>
          <t xml:space="preserve">QZ </t>
        </is>
      </c>
      <c r="S97" t="n">
        <v>20</v>
      </c>
      <c r="T97" t="n">
        <v>20</v>
      </c>
      <c r="U97" t="inlineStr">
        <is>
          <t>2000-10-27</t>
        </is>
      </c>
      <c r="V97" t="inlineStr">
        <is>
          <t>2000-10-27</t>
        </is>
      </c>
      <c r="W97" t="inlineStr">
        <is>
          <t>1988-02-12</t>
        </is>
      </c>
      <c r="X97" t="inlineStr">
        <is>
          <t>1988-02-12</t>
        </is>
      </c>
      <c r="Y97" t="n">
        <v>84</v>
      </c>
      <c r="Z97" t="n">
        <v>67</v>
      </c>
      <c r="AA97" t="n">
        <v>67</v>
      </c>
      <c r="AB97" t="n">
        <v>1</v>
      </c>
      <c r="AC97" t="n">
        <v>1</v>
      </c>
      <c r="AD97" t="n">
        <v>1</v>
      </c>
      <c r="AE97" t="n">
        <v>1</v>
      </c>
      <c r="AF97" t="n">
        <v>0</v>
      </c>
      <c r="AG97" t="n">
        <v>0</v>
      </c>
      <c r="AH97" t="n">
        <v>1</v>
      </c>
      <c r="AI97" t="n">
        <v>1</v>
      </c>
      <c r="AJ97" t="n">
        <v>0</v>
      </c>
      <c r="AK97" t="n">
        <v>0</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HYPERLINK("https://creighton-primo.hosted.exlibrisgroup.com/primo-explore/search?tab=default_tab&amp;search_scope=EVERYTHING&amp;vid=01CRU&amp;lang=en_US&amp;offset=0&amp;query=any,contains,991001089369702656","Catalog Record")</f>
        <v/>
      </c>
      <c r="AT97">
        <f>HYPERLINK("http://www.worldcat.org/oclc/11175421","WorldCat Record")</f>
        <v/>
      </c>
      <c r="AU97" t="inlineStr">
        <is>
          <t>145017763:eng</t>
        </is>
      </c>
      <c r="AV97" t="inlineStr">
        <is>
          <t>11175421</t>
        </is>
      </c>
      <c r="AW97" t="inlineStr">
        <is>
          <t>991001089369702656</t>
        </is>
      </c>
      <c r="AX97" t="inlineStr">
        <is>
          <t>991001089369702656</t>
        </is>
      </c>
      <c r="AY97" t="inlineStr">
        <is>
          <t>2268557300002656</t>
        </is>
      </c>
      <c r="AZ97" t="inlineStr">
        <is>
          <t>BOOK</t>
        </is>
      </c>
      <c r="BB97" t="inlineStr">
        <is>
          <t>9780316523400</t>
        </is>
      </c>
      <c r="BC97" t="inlineStr">
        <is>
          <t>30001000261539</t>
        </is>
      </c>
      <c r="BD97" t="inlineStr">
        <is>
          <t>893450864</t>
        </is>
      </c>
    </row>
    <row r="98">
      <c r="A98" t="inlineStr">
        <is>
          <t>No</t>
        </is>
      </c>
      <c r="B98" t="inlineStr">
        <is>
          <t>QZ 32.4 E42r 1987</t>
        </is>
      </c>
      <c r="C98" t="inlineStr">
        <is>
          <t>0                      QZ 0032400E  42r         1987</t>
        </is>
      </c>
      <c r="D98" t="inlineStr">
        <is>
          <t>Reproductive genetics and the law / Sherman Elias, George J. Annas.</t>
        </is>
      </c>
      <c r="F98" t="inlineStr">
        <is>
          <t>No</t>
        </is>
      </c>
      <c r="G98" t="inlineStr">
        <is>
          <t>1</t>
        </is>
      </c>
      <c r="H98" t="inlineStr">
        <is>
          <t>Yes</t>
        </is>
      </c>
      <c r="I98" t="inlineStr">
        <is>
          <t>No</t>
        </is>
      </c>
      <c r="J98" t="inlineStr">
        <is>
          <t>0</t>
        </is>
      </c>
      <c r="K98" t="inlineStr">
        <is>
          <t>Elias, Sherman.</t>
        </is>
      </c>
      <c r="L98" t="inlineStr">
        <is>
          <t>Chicago : Year Book Medical Publishers, c1987.</t>
        </is>
      </c>
      <c r="M98" t="inlineStr">
        <is>
          <t>1987</t>
        </is>
      </c>
      <c r="O98" t="inlineStr">
        <is>
          <t>eng</t>
        </is>
      </c>
      <c r="P98" t="inlineStr">
        <is>
          <t>xxu</t>
        </is>
      </c>
      <c r="R98" t="inlineStr">
        <is>
          <t xml:space="preserve">QZ </t>
        </is>
      </c>
      <c r="S98" t="n">
        <v>2</v>
      </c>
      <c r="T98" t="n">
        <v>2</v>
      </c>
      <c r="U98" t="inlineStr">
        <is>
          <t>1991-01-31</t>
        </is>
      </c>
      <c r="V98" t="inlineStr">
        <is>
          <t>1991-01-31</t>
        </is>
      </c>
      <c r="W98" t="inlineStr">
        <is>
          <t>1988-02-20</t>
        </is>
      </c>
      <c r="X98" t="inlineStr">
        <is>
          <t>1988-02-20</t>
        </is>
      </c>
      <c r="Y98" t="n">
        <v>335</v>
      </c>
      <c r="Z98" t="n">
        <v>292</v>
      </c>
      <c r="AA98" t="n">
        <v>295</v>
      </c>
      <c r="AB98" t="n">
        <v>2</v>
      </c>
      <c r="AC98" t="n">
        <v>2</v>
      </c>
      <c r="AD98" t="n">
        <v>22</v>
      </c>
      <c r="AE98" t="n">
        <v>22</v>
      </c>
      <c r="AF98" t="n">
        <v>4</v>
      </c>
      <c r="AG98" t="n">
        <v>4</v>
      </c>
      <c r="AH98" t="n">
        <v>1</v>
      </c>
      <c r="AI98" t="n">
        <v>1</v>
      </c>
      <c r="AJ98" t="n">
        <v>7</v>
      </c>
      <c r="AK98" t="n">
        <v>7</v>
      </c>
      <c r="AL98" t="n">
        <v>0</v>
      </c>
      <c r="AM98" t="n">
        <v>0</v>
      </c>
      <c r="AN98" t="n">
        <v>13</v>
      </c>
      <c r="AO98" t="n">
        <v>13</v>
      </c>
      <c r="AP98" t="inlineStr">
        <is>
          <t>No</t>
        </is>
      </c>
      <c r="AQ98" t="inlineStr">
        <is>
          <t>Yes</t>
        </is>
      </c>
      <c r="AR98">
        <f>HYPERLINK("http://catalog.hathitrust.org/Record/000855136","HathiTrust Record")</f>
        <v/>
      </c>
      <c r="AS98">
        <f>HYPERLINK("https://creighton-primo.hosted.exlibrisgroup.com/primo-explore/search?tab=default_tab&amp;search_scope=EVERYTHING&amp;vid=01CRU&amp;lang=en_US&amp;offset=0&amp;query=any,contains,991001171849702656","Catalog Record")</f>
        <v/>
      </c>
      <c r="AT98">
        <f>HYPERLINK("http://www.worldcat.org/oclc/14718291","WorldCat Record")</f>
        <v/>
      </c>
      <c r="AU98" t="inlineStr">
        <is>
          <t>8540085:eng</t>
        </is>
      </c>
      <c r="AV98" t="inlineStr">
        <is>
          <t>14718291</t>
        </is>
      </c>
      <c r="AW98" t="inlineStr">
        <is>
          <t>991001171849702656</t>
        </is>
      </c>
      <c r="AX98" t="inlineStr">
        <is>
          <t>991001171849702656</t>
        </is>
      </c>
      <c r="AY98" t="inlineStr">
        <is>
          <t>2254825700002656</t>
        </is>
      </c>
      <c r="AZ98" t="inlineStr">
        <is>
          <t>BOOK</t>
        </is>
      </c>
      <c r="BB98" t="inlineStr">
        <is>
          <t>9780815130628</t>
        </is>
      </c>
      <c r="BC98" t="inlineStr">
        <is>
          <t>30001000975260</t>
        </is>
      </c>
      <c r="BD98" t="inlineStr">
        <is>
          <t>893148938</t>
        </is>
      </c>
    </row>
    <row r="99">
      <c r="A99" t="inlineStr">
        <is>
          <t>No</t>
        </is>
      </c>
      <c r="B99" t="inlineStr">
        <is>
          <t>QZ 35 H647a 1988</t>
        </is>
      </c>
      <c r="C99" t="inlineStr">
        <is>
          <t>0                      QZ 0035000H  647a        1988</t>
        </is>
      </c>
      <c r="D99" t="inlineStr">
        <is>
          <t>The autopsy : medical practice and public policy / Rolla B. Hill, Robert E. Anderson ; foreword by Frederick C. Robbins ; illustrated by Michael F. Norviel.</t>
        </is>
      </c>
      <c r="F99" t="inlineStr">
        <is>
          <t>No</t>
        </is>
      </c>
      <c r="G99" t="inlineStr">
        <is>
          <t>1</t>
        </is>
      </c>
      <c r="H99" t="inlineStr">
        <is>
          <t>No</t>
        </is>
      </c>
      <c r="I99" t="inlineStr">
        <is>
          <t>No</t>
        </is>
      </c>
      <c r="J99" t="inlineStr">
        <is>
          <t>0</t>
        </is>
      </c>
      <c r="K99" t="inlineStr">
        <is>
          <t>Hill, Rolla B. (Rolla Bennett), 1929-1996.</t>
        </is>
      </c>
      <c r="L99" t="inlineStr">
        <is>
          <t>Boston : Butterworths, c1988.</t>
        </is>
      </c>
      <c r="M99" t="inlineStr">
        <is>
          <t>1988</t>
        </is>
      </c>
      <c r="O99" t="inlineStr">
        <is>
          <t>eng</t>
        </is>
      </c>
      <c r="P99" t="inlineStr">
        <is>
          <t>xxu</t>
        </is>
      </c>
      <c r="R99" t="inlineStr">
        <is>
          <t xml:space="preserve">QZ </t>
        </is>
      </c>
      <c r="S99" t="n">
        <v>1</v>
      </c>
      <c r="T99" t="n">
        <v>1</v>
      </c>
      <c r="U99" t="inlineStr">
        <is>
          <t>1991-08-30</t>
        </is>
      </c>
      <c r="V99" t="inlineStr">
        <is>
          <t>1991-08-30</t>
        </is>
      </c>
      <c r="W99" t="inlineStr">
        <is>
          <t>1989-09-16</t>
        </is>
      </c>
      <c r="X99" t="inlineStr">
        <is>
          <t>1989-09-16</t>
        </is>
      </c>
      <c r="Y99" t="n">
        <v>163</v>
      </c>
      <c r="Z99" t="n">
        <v>129</v>
      </c>
      <c r="AA99" t="n">
        <v>147</v>
      </c>
      <c r="AB99" t="n">
        <v>1</v>
      </c>
      <c r="AC99" t="n">
        <v>1</v>
      </c>
      <c r="AD99" t="n">
        <v>1</v>
      </c>
      <c r="AE99" t="n">
        <v>2</v>
      </c>
      <c r="AF99" t="n">
        <v>0</v>
      </c>
      <c r="AG99" t="n">
        <v>1</v>
      </c>
      <c r="AH99" t="n">
        <v>0</v>
      </c>
      <c r="AI99" t="n">
        <v>1</v>
      </c>
      <c r="AJ99" t="n">
        <v>1</v>
      </c>
      <c r="AK99" t="n">
        <v>1</v>
      </c>
      <c r="AL99" t="n">
        <v>0</v>
      </c>
      <c r="AM99" t="n">
        <v>0</v>
      </c>
      <c r="AN99" t="n">
        <v>0</v>
      </c>
      <c r="AO99" t="n">
        <v>0</v>
      </c>
      <c r="AP99" t="inlineStr">
        <is>
          <t>No</t>
        </is>
      </c>
      <c r="AQ99" t="inlineStr">
        <is>
          <t>Yes</t>
        </is>
      </c>
      <c r="AR99">
        <f>HYPERLINK("http://catalog.hathitrust.org/Record/000949152","HathiTrust Record")</f>
        <v/>
      </c>
      <c r="AS99">
        <f>HYPERLINK("https://creighton-primo.hosted.exlibrisgroup.com/primo-explore/search?tab=default_tab&amp;search_scope=EVERYTHING&amp;vid=01CRU&amp;lang=en_US&amp;offset=0&amp;query=any,contains,991001320999702656","Catalog Record")</f>
        <v/>
      </c>
      <c r="AT99">
        <f>HYPERLINK("http://www.worldcat.org/oclc/16985645","WorldCat Record")</f>
        <v/>
      </c>
      <c r="AU99" t="inlineStr">
        <is>
          <t>13906250:eng</t>
        </is>
      </c>
      <c r="AV99" t="inlineStr">
        <is>
          <t>16985645</t>
        </is>
      </c>
      <c r="AW99" t="inlineStr">
        <is>
          <t>991001320999702656</t>
        </is>
      </c>
      <c r="AX99" t="inlineStr">
        <is>
          <t>991001320999702656</t>
        </is>
      </c>
      <c r="AY99" t="inlineStr">
        <is>
          <t>2259804970002656</t>
        </is>
      </c>
      <c r="AZ99" t="inlineStr">
        <is>
          <t>BOOK</t>
        </is>
      </c>
      <c r="BB99" t="inlineStr">
        <is>
          <t>9780409901375</t>
        </is>
      </c>
      <c r="BC99" t="inlineStr">
        <is>
          <t>30001001753617</t>
        </is>
      </c>
      <c r="BD99" t="inlineStr">
        <is>
          <t>893552354</t>
        </is>
      </c>
    </row>
    <row r="100">
      <c r="A100" t="inlineStr">
        <is>
          <t>No</t>
        </is>
      </c>
      <c r="B100" t="inlineStr">
        <is>
          <t>QZ 35 L948c 1972</t>
        </is>
      </c>
      <c r="C100" t="inlineStr">
        <is>
          <t>0                      QZ 0035000L  948c        1972</t>
        </is>
      </c>
      <c r="D100" t="inlineStr">
        <is>
          <t>Current methods of autopsy practice / Jurgen Ludwig.</t>
        </is>
      </c>
      <c r="F100" t="inlineStr">
        <is>
          <t>No</t>
        </is>
      </c>
      <c r="G100" t="inlineStr">
        <is>
          <t>1</t>
        </is>
      </c>
      <c r="H100" t="inlineStr">
        <is>
          <t>No</t>
        </is>
      </c>
      <c r="I100" t="inlineStr">
        <is>
          <t>No</t>
        </is>
      </c>
      <c r="J100" t="inlineStr">
        <is>
          <t>0</t>
        </is>
      </c>
      <c r="K100" t="inlineStr">
        <is>
          <t>Ludwig, Jurgen, 1931-</t>
        </is>
      </c>
      <c r="L100" t="inlineStr">
        <is>
          <t>-- Philadelphia : Saunders, 1972.</t>
        </is>
      </c>
      <c r="M100" t="inlineStr">
        <is>
          <t>1972</t>
        </is>
      </c>
      <c r="O100" t="inlineStr">
        <is>
          <t>eng</t>
        </is>
      </c>
      <c r="P100" t="inlineStr">
        <is>
          <t>pau</t>
        </is>
      </c>
      <c r="R100" t="inlineStr">
        <is>
          <t xml:space="preserve">QZ </t>
        </is>
      </c>
      <c r="S100" t="n">
        <v>6</v>
      </c>
      <c r="T100" t="n">
        <v>6</v>
      </c>
      <c r="U100" t="inlineStr">
        <is>
          <t>1991-08-30</t>
        </is>
      </c>
      <c r="V100" t="inlineStr">
        <is>
          <t>1991-08-30</t>
        </is>
      </c>
      <c r="W100" t="inlineStr">
        <is>
          <t>1988-02-12</t>
        </is>
      </c>
      <c r="X100" t="inlineStr">
        <is>
          <t>1988-02-12</t>
        </is>
      </c>
      <c r="Y100" t="n">
        <v>136</v>
      </c>
      <c r="Z100" t="n">
        <v>88</v>
      </c>
      <c r="AA100" t="n">
        <v>149</v>
      </c>
      <c r="AB100" t="n">
        <v>2</v>
      </c>
      <c r="AC100" t="n">
        <v>2</v>
      </c>
      <c r="AD100" t="n">
        <v>3</v>
      </c>
      <c r="AE100" t="n">
        <v>3</v>
      </c>
      <c r="AF100" t="n">
        <v>0</v>
      </c>
      <c r="AG100" t="n">
        <v>0</v>
      </c>
      <c r="AH100" t="n">
        <v>0</v>
      </c>
      <c r="AI100" t="n">
        <v>0</v>
      </c>
      <c r="AJ100" t="n">
        <v>1</v>
      </c>
      <c r="AK100" t="n">
        <v>1</v>
      </c>
      <c r="AL100" t="n">
        <v>1</v>
      </c>
      <c r="AM100" t="n">
        <v>1</v>
      </c>
      <c r="AN100" t="n">
        <v>1</v>
      </c>
      <c r="AO100" t="n">
        <v>1</v>
      </c>
      <c r="AP100" t="inlineStr">
        <is>
          <t>No</t>
        </is>
      </c>
      <c r="AQ100" t="inlineStr">
        <is>
          <t>Yes</t>
        </is>
      </c>
      <c r="AR100">
        <f>HYPERLINK("http://catalog.hathitrust.org/Record/001577623","HathiTrust Record")</f>
        <v/>
      </c>
      <c r="AS100">
        <f>HYPERLINK("https://creighton-primo.hosted.exlibrisgroup.com/primo-explore/search?tab=default_tab&amp;search_scope=EVERYTHING&amp;vid=01CRU&amp;lang=en_US&amp;offset=0&amp;query=any,contains,991001089409702656","Catalog Record")</f>
        <v/>
      </c>
      <c r="AT100">
        <f>HYPERLINK("http://www.worldcat.org/oclc/521305","WorldCat Record")</f>
        <v/>
      </c>
      <c r="AU100" t="inlineStr">
        <is>
          <t>1517825:eng</t>
        </is>
      </c>
      <c r="AV100" t="inlineStr">
        <is>
          <t>521305</t>
        </is>
      </c>
      <c r="AW100" t="inlineStr">
        <is>
          <t>991001089409702656</t>
        </is>
      </c>
      <c r="AX100" t="inlineStr">
        <is>
          <t>991001089409702656</t>
        </is>
      </c>
      <c r="AY100" t="inlineStr">
        <is>
          <t>2260502540002656</t>
        </is>
      </c>
      <c r="AZ100" t="inlineStr">
        <is>
          <t>BOOK</t>
        </is>
      </c>
      <c r="BB100" t="inlineStr">
        <is>
          <t>9780721658032</t>
        </is>
      </c>
      <c r="BC100" t="inlineStr">
        <is>
          <t>30001000261554</t>
        </is>
      </c>
      <c r="BD100" t="inlineStr">
        <is>
          <t>893643196</t>
        </is>
      </c>
    </row>
    <row r="101">
      <c r="A101" t="inlineStr">
        <is>
          <t>No</t>
        </is>
      </c>
      <c r="B101" t="inlineStr">
        <is>
          <t>QZ 35 S241a 1946</t>
        </is>
      </c>
      <c r="C101" t="inlineStr">
        <is>
          <t>0                      QZ 0035000S  241a        1946</t>
        </is>
      </c>
      <c r="D101" t="inlineStr">
        <is>
          <t>Autopsy diagnosis and technic / by Otto Saphir ; Foreword by Ludvig Hektoen.</t>
        </is>
      </c>
      <c r="F101" t="inlineStr">
        <is>
          <t>No</t>
        </is>
      </c>
      <c r="G101" t="inlineStr">
        <is>
          <t>1</t>
        </is>
      </c>
      <c r="H101" t="inlineStr">
        <is>
          <t>No</t>
        </is>
      </c>
      <c r="I101" t="inlineStr">
        <is>
          <t>No</t>
        </is>
      </c>
      <c r="J101" t="inlineStr">
        <is>
          <t>0</t>
        </is>
      </c>
      <c r="K101" t="inlineStr">
        <is>
          <t>Saphir, Otto, 1896-1963.</t>
        </is>
      </c>
      <c r="L101" t="inlineStr">
        <is>
          <t>New York ; London : P.B. Hoeber, inc., c1946.</t>
        </is>
      </c>
      <c r="M101" t="inlineStr">
        <is>
          <t>1946</t>
        </is>
      </c>
      <c r="N101" t="inlineStr">
        <is>
          <t>2nd ed., rev. and enl.</t>
        </is>
      </c>
      <c r="O101" t="inlineStr">
        <is>
          <t>eng</t>
        </is>
      </c>
      <c r="P101" t="inlineStr">
        <is>
          <t xml:space="preserve">xx </t>
        </is>
      </c>
      <c r="R101" t="inlineStr">
        <is>
          <t xml:space="preserve">QZ </t>
        </is>
      </c>
      <c r="S101" t="n">
        <v>4</v>
      </c>
      <c r="T101" t="n">
        <v>4</v>
      </c>
      <c r="U101" t="inlineStr">
        <is>
          <t>2006-05-16</t>
        </is>
      </c>
      <c r="V101" t="inlineStr">
        <is>
          <t>2006-05-16</t>
        </is>
      </c>
      <c r="W101" t="inlineStr">
        <is>
          <t>1989-06-14</t>
        </is>
      </c>
      <c r="X101" t="inlineStr">
        <is>
          <t>1989-06-14</t>
        </is>
      </c>
      <c r="Y101" t="n">
        <v>49</v>
      </c>
      <c r="Z101" t="n">
        <v>43</v>
      </c>
      <c r="AA101" t="n">
        <v>85</v>
      </c>
      <c r="AB101" t="n">
        <v>2</v>
      </c>
      <c r="AC101" t="n">
        <v>2</v>
      </c>
      <c r="AD101" t="n">
        <v>1</v>
      </c>
      <c r="AE101" t="n">
        <v>3</v>
      </c>
      <c r="AF101" t="n">
        <v>0</v>
      </c>
      <c r="AG101" t="n">
        <v>1</v>
      </c>
      <c r="AH101" t="n">
        <v>0</v>
      </c>
      <c r="AI101" t="n">
        <v>0</v>
      </c>
      <c r="AJ101" t="n">
        <v>0</v>
      </c>
      <c r="AK101" t="n">
        <v>2</v>
      </c>
      <c r="AL101" t="n">
        <v>1</v>
      </c>
      <c r="AM101" t="n">
        <v>1</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HYPERLINK("https://creighton-primo.hosted.exlibrisgroup.com/primo-explore/search?tab=default_tab&amp;search_scope=EVERYTHING&amp;vid=01CRU&amp;lang=en_US&amp;offset=0&amp;query=any,contains,991001246649702656","Catalog Record")</f>
        <v/>
      </c>
      <c r="AT101">
        <f>HYPERLINK("http://www.worldcat.org/oclc/14724370","WorldCat Record")</f>
        <v/>
      </c>
      <c r="AU101" t="inlineStr">
        <is>
          <t>4843754:eng</t>
        </is>
      </c>
      <c r="AV101" t="inlineStr">
        <is>
          <t>14724370</t>
        </is>
      </c>
      <c r="AW101" t="inlineStr">
        <is>
          <t>991001246649702656</t>
        </is>
      </c>
      <c r="AX101" t="inlineStr">
        <is>
          <t>991001246649702656</t>
        </is>
      </c>
      <c r="AY101" t="inlineStr">
        <is>
          <t>2267098790002656</t>
        </is>
      </c>
      <c r="AZ101" t="inlineStr">
        <is>
          <t>BOOK</t>
        </is>
      </c>
      <c r="BC101" t="inlineStr">
        <is>
          <t>30001001677519</t>
        </is>
      </c>
      <c r="BD101" t="inlineStr">
        <is>
          <t>893358392</t>
        </is>
      </c>
    </row>
    <row r="102">
      <c r="A102" t="inlineStr">
        <is>
          <t>No</t>
        </is>
      </c>
      <c r="B102" t="inlineStr">
        <is>
          <t>QZ39 C2156 2003</t>
        </is>
      </c>
      <c r="C102" t="inlineStr">
        <is>
          <t>0                      QZ 0039000C  2156        2003</t>
        </is>
      </c>
      <c r="D102" t="inlineStr">
        <is>
          <t>Cancer sourcebook : basic consumer health information about major forms and stages of cancer, featuring facts about head and neck cancers, lung cancers ... / edited by Karen Bellenir.</t>
        </is>
      </c>
      <c r="F102" t="inlineStr">
        <is>
          <t>No</t>
        </is>
      </c>
      <c r="G102" t="inlineStr">
        <is>
          <t>1</t>
        </is>
      </c>
      <c r="H102" t="inlineStr">
        <is>
          <t>No</t>
        </is>
      </c>
      <c r="I102" t="inlineStr">
        <is>
          <t>No</t>
        </is>
      </c>
      <c r="J102" t="inlineStr">
        <is>
          <t>0</t>
        </is>
      </c>
      <c r="L102" t="inlineStr">
        <is>
          <t>Detroit, MI. : Omnigraphics, c2003.</t>
        </is>
      </c>
      <c r="M102" t="inlineStr">
        <is>
          <t>2003</t>
        </is>
      </c>
      <c r="N102" t="inlineStr">
        <is>
          <t>4th ed.</t>
        </is>
      </c>
      <c r="O102" t="inlineStr">
        <is>
          <t>eng</t>
        </is>
      </c>
      <c r="P102" t="inlineStr">
        <is>
          <t>miu</t>
        </is>
      </c>
      <c r="Q102" t="inlineStr">
        <is>
          <t>Health reference series</t>
        </is>
      </c>
      <c r="R102" t="inlineStr">
        <is>
          <t xml:space="preserve">QZ </t>
        </is>
      </c>
      <c r="S102" t="n">
        <v>0</v>
      </c>
      <c r="T102" t="n">
        <v>0</v>
      </c>
      <c r="U102" t="inlineStr">
        <is>
          <t>2004-11-16</t>
        </is>
      </c>
      <c r="V102" t="inlineStr">
        <is>
          <t>2004-11-16</t>
        </is>
      </c>
      <c r="W102" t="inlineStr">
        <is>
          <t>2004-11-16</t>
        </is>
      </c>
      <c r="X102" t="inlineStr">
        <is>
          <t>2004-11-16</t>
        </is>
      </c>
      <c r="Y102" t="n">
        <v>315</v>
      </c>
      <c r="Z102" t="n">
        <v>295</v>
      </c>
      <c r="AA102" t="n">
        <v>299</v>
      </c>
      <c r="AB102" t="n">
        <v>2</v>
      </c>
      <c r="AC102" t="n">
        <v>2</v>
      </c>
      <c r="AD102" t="n">
        <v>5</v>
      </c>
      <c r="AE102" t="n">
        <v>6</v>
      </c>
      <c r="AF102" t="n">
        <v>2</v>
      </c>
      <c r="AG102" t="n">
        <v>3</v>
      </c>
      <c r="AH102" t="n">
        <v>1</v>
      </c>
      <c r="AI102" t="n">
        <v>1</v>
      </c>
      <c r="AJ102" t="n">
        <v>2</v>
      </c>
      <c r="AK102" t="n">
        <v>3</v>
      </c>
      <c r="AL102" t="n">
        <v>1</v>
      </c>
      <c r="AM102" t="n">
        <v>1</v>
      </c>
      <c r="AN102" t="n">
        <v>0</v>
      </c>
      <c r="AO102" t="n">
        <v>0</v>
      </c>
      <c r="AP102" t="inlineStr">
        <is>
          <t>No</t>
        </is>
      </c>
      <c r="AQ102" t="inlineStr">
        <is>
          <t>Yes</t>
        </is>
      </c>
      <c r="AR102">
        <f>HYPERLINK("http://catalog.hathitrust.org/Record/008877147","HathiTrust Record")</f>
        <v/>
      </c>
      <c r="AS102">
        <f>HYPERLINK("https://creighton-primo.hosted.exlibrisgroup.com/primo-explore/search?tab=default_tab&amp;search_scope=EVERYTHING&amp;vid=01CRU&amp;lang=en_US&amp;offset=0&amp;query=any,contains,991000411179702656","Catalog Record")</f>
        <v/>
      </c>
      <c r="AT102">
        <f>HYPERLINK("http://www.worldcat.org/oclc/52241590","WorldCat Record")</f>
        <v/>
      </c>
      <c r="AU102" t="inlineStr">
        <is>
          <t>3943985688:eng</t>
        </is>
      </c>
      <c r="AV102" t="inlineStr">
        <is>
          <t>52241590</t>
        </is>
      </c>
      <c r="AW102" t="inlineStr">
        <is>
          <t>991000411179702656</t>
        </is>
      </c>
      <c r="AX102" t="inlineStr">
        <is>
          <t>991000411179702656</t>
        </is>
      </c>
      <c r="AY102" t="inlineStr">
        <is>
          <t>2263108740002656</t>
        </is>
      </c>
      <c r="AZ102" t="inlineStr">
        <is>
          <t>BOOK</t>
        </is>
      </c>
      <c r="BB102" t="inlineStr">
        <is>
          <t>9780780806337</t>
        </is>
      </c>
      <c r="BC102" t="inlineStr">
        <is>
          <t>30001004925402</t>
        </is>
      </c>
      <c r="BD102" t="inlineStr">
        <is>
          <t>893461465</t>
        </is>
      </c>
    </row>
    <row r="103">
      <c r="A103" t="inlineStr">
        <is>
          <t>No</t>
        </is>
      </c>
      <c r="B103" t="inlineStr">
        <is>
          <t>QZ 39 C2156 2007</t>
        </is>
      </c>
      <c r="C103" t="inlineStr">
        <is>
          <t>0                      QZ 0039000C  2156        2007</t>
        </is>
      </c>
      <c r="D103" t="inlineStr">
        <is>
          <t>Cancer sourcebook : basic consumer health information about major forms and stages of cancer, featuring facts about head and neck cancers, lung cancers, gastrointestinal cancers, genitourinary cancers, lymphomas, blood cell cancers, endocrine cancers, skin cancers, bone cancers, metastatic cancers, and more; along with facts about cancer treatments, cancer risks and prevention, a glossary of related terms, statistical data, and a directory of resources for additional information / edited by Karen Bellenir.</t>
        </is>
      </c>
      <c r="F103" t="inlineStr">
        <is>
          <t>No</t>
        </is>
      </c>
      <c r="G103" t="inlineStr">
        <is>
          <t>1</t>
        </is>
      </c>
      <c r="H103" t="inlineStr">
        <is>
          <t>No</t>
        </is>
      </c>
      <c r="I103" t="inlineStr">
        <is>
          <t>No</t>
        </is>
      </c>
      <c r="J103" t="inlineStr">
        <is>
          <t>0</t>
        </is>
      </c>
      <c r="L103" t="inlineStr">
        <is>
          <t>Detroit, MI : Omnigraphics, c2007.</t>
        </is>
      </c>
      <c r="M103" t="inlineStr">
        <is>
          <t>2007</t>
        </is>
      </c>
      <c r="N103" t="inlineStr">
        <is>
          <t>5th ed.</t>
        </is>
      </c>
      <c r="O103" t="inlineStr">
        <is>
          <t>eng</t>
        </is>
      </c>
      <c r="P103" t="inlineStr">
        <is>
          <t>miu</t>
        </is>
      </c>
      <c r="Q103" t="inlineStr">
        <is>
          <t>Health reference series</t>
        </is>
      </c>
      <c r="R103" t="inlineStr">
        <is>
          <t xml:space="preserve">QZ </t>
        </is>
      </c>
      <c r="S103" t="n">
        <v>1</v>
      </c>
      <c r="T103" t="n">
        <v>1</v>
      </c>
      <c r="U103" t="inlineStr">
        <is>
          <t>2009-10-01</t>
        </is>
      </c>
      <c r="V103" t="inlineStr">
        <is>
          <t>2009-10-01</t>
        </is>
      </c>
      <c r="W103" t="inlineStr">
        <is>
          <t>2009-05-22</t>
        </is>
      </c>
      <c r="X103" t="inlineStr">
        <is>
          <t>2009-05-22</t>
        </is>
      </c>
      <c r="Y103" t="n">
        <v>312</v>
      </c>
      <c r="Z103" t="n">
        <v>291</v>
      </c>
      <c r="AA103" t="n">
        <v>292</v>
      </c>
      <c r="AB103" t="n">
        <v>3</v>
      </c>
      <c r="AC103" t="n">
        <v>3</v>
      </c>
      <c r="AD103" t="n">
        <v>4</v>
      </c>
      <c r="AE103" t="n">
        <v>4</v>
      </c>
      <c r="AF103" t="n">
        <v>2</v>
      </c>
      <c r="AG103" t="n">
        <v>2</v>
      </c>
      <c r="AH103" t="n">
        <v>0</v>
      </c>
      <c r="AI103" t="n">
        <v>0</v>
      </c>
      <c r="AJ103" t="n">
        <v>2</v>
      </c>
      <c r="AK103" t="n">
        <v>2</v>
      </c>
      <c r="AL103" t="n">
        <v>1</v>
      </c>
      <c r="AM103" t="n">
        <v>1</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HYPERLINK("https://creighton-primo.hosted.exlibrisgroup.com/primo-explore/search?tab=default_tab&amp;search_scope=EVERYTHING&amp;vid=01CRU&amp;lang=en_US&amp;offset=0&amp;query=any,contains,991001464699702656","Catalog Record")</f>
        <v/>
      </c>
      <c r="AT103">
        <f>HYPERLINK("http://www.worldcat.org/oclc/80360423","WorldCat Record")</f>
        <v/>
      </c>
      <c r="AU103" t="inlineStr">
        <is>
          <t>3944947005:eng</t>
        </is>
      </c>
      <c r="AV103" t="inlineStr">
        <is>
          <t>80360423</t>
        </is>
      </c>
      <c r="AW103" t="inlineStr">
        <is>
          <t>991001464699702656</t>
        </is>
      </c>
      <c r="AX103" t="inlineStr">
        <is>
          <t>991001464699702656</t>
        </is>
      </c>
      <c r="AY103" t="inlineStr">
        <is>
          <t>2264717200002656</t>
        </is>
      </c>
      <c r="AZ103" t="inlineStr">
        <is>
          <t>BOOK</t>
        </is>
      </c>
      <c r="BB103" t="inlineStr">
        <is>
          <t>9780780809475</t>
        </is>
      </c>
      <c r="BC103" t="inlineStr">
        <is>
          <t>30001004916351</t>
        </is>
      </c>
      <c r="BD103" t="inlineStr">
        <is>
          <t>893561042</t>
        </is>
      </c>
    </row>
    <row r="104">
      <c r="A104" t="inlineStr">
        <is>
          <t>No</t>
        </is>
      </c>
      <c r="B104" t="inlineStr">
        <is>
          <t>QZ 39 C461r 1999</t>
        </is>
      </c>
      <c r="C104" t="inlineStr">
        <is>
          <t>0                      QZ 0039000C  461r        1999</t>
        </is>
      </c>
      <c r="D104" t="inlineStr">
        <is>
          <t>Radiation oncology : management decisions / editors, K.S. Clifford Chao, Carlos A. Perez, Luther W. Brady ; assistant to the editors, Connie Povilat.</t>
        </is>
      </c>
      <c r="F104" t="inlineStr">
        <is>
          <t>No</t>
        </is>
      </c>
      <c r="G104" t="inlineStr">
        <is>
          <t>1</t>
        </is>
      </c>
      <c r="H104" t="inlineStr">
        <is>
          <t>No</t>
        </is>
      </c>
      <c r="I104" t="inlineStr">
        <is>
          <t>No</t>
        </is>
      </c>
      <c r="J104" t="inlineStr">
        <is>
          <t>0</t>
        </is>
      </c>
      <c r="K104" t="inlineStr">
        <is>
          <t>Chao, K. S. Clifford.</t>
        </is>
      </c>
      <c r="L104" t="inlineStr">
        <is>
          <t>Philadelphia : Lippincott-Raven, c1999.</t>
        </is>
      </c>
      <c r="M104" t="inlineStr">
        <is>
          <t>1998</t>
        </is>
      </c>
      <c r="O104" t="inlineStr">
        <is>
          <t>eng</t>
        </is>
      </c>
      <c r="P104" t="inlineStr">
        <is>
          <t>pau</t>
        </is>
      </c>
      <c r="R104" t="inlineStr">
        <is>
          <t xml:space="preserve">QZ </t>
        </is>
      </c>
      <c r="S104" t="n">
        <v>7</v>
      </c>
      <c r="T104" t="n">
        <v>7</v>
      </c>
      <c r="U104" t="inlineStr">
        <is>
          <t>2002-03-05</t>
        </is>
      </c>
      <c r="V104" t="inlineStr">
        <is>
          <t>2002-03-05</t>
        </is>
      </c>
      <c r="W104" t="inlineStr">
        <is>
          <t>1999-04-08</t>
        </is>
      </c>
      <c r="X104" t="inlineStr">
        <is>
          <t>1999-04-08</t>
        </is>
      </c>
      <c r="Y104" t="n">
        <v>67</v>
      </c>
      <c r="Z104" t="n">
        <v>43</v>
      </c>
      <c r="AA104" t="n">
        <v>159</v>
      </c>
      <c r="AB104" t="n">
        <v>1</v>
      </c>
      <c r="AC104" t="n">
        <v>2</v>
      </c>
      <c r="AD104" t="n">
        <v>0</v>
      </c>
      <c r="AE104" t="n">
        <v>3</v>
      </c>
      <c r="AF104" t="n">
        <v>0</v>
      </c>
      <c r="AG104" t="n">
        <v>1</v>
      </c>
      <c r="AH104" t="n">
        <v>0</v>
      </c>
      <c r="AI104" t="n">
        <v>1</v>
      </c>
      <c r="AJ104" t="n">
        <v>0</v>
      </c>
      <c r="AK104" t="n">
        <v>0</v>
      </c>
      <c r="AL104" t="n">
        <v>0</v>
      </c>
      <c r="AM104" t="n">
        <v>1</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HYPERLINK("https://creighton-primo.hosted.exlibrisgroup.com/primo-explore/search?tab=default_tab&amp;search_scope=EVERYTHING&amp;vid=01CRU&amp;lang=en_US&amp;offset=0&amp;query=any,contains,991001572609702656","Catalog Record")</f>
        <v/>
      </c>
      <c r="AT104">
        <f>HYPERLINK("http://www.worldcat.org/oclc/39094201","WorldCat Record")</f>
        <v/>
      </c>
      <c r="AU104" t="inlineStr">
        <is>
          <t>836993969:eng</t>
        </is>
      </c>
      <c r="AV104" t="inlineStr">
        <is>
          <t>39094201</t>
        </is>
      </c>
      <c r="AW104" t="inlineStr">
        <is>
          <t>991001572609702656</t>
        </is>
      </c>
      <c r="AX104" t="inlineStr">
        <is>
          <t>991001572609702656</t>
        </is>
      </c>
      <c r="AY104" t="inlineStr">
        <is>
          <t>2271456400002656</t>
        </is>
      </c>
      <c r="AZ104" t="inlineStr">
        <is>
          <t>BOOK</t>
        </is>
      </c>
      <c r="BB104" t="inlineStr">
        <is>
          <t>9780397584680</t>
        </is>
      </c>
      <c r="BC104" t="inlineStr">
        <is>
          <t>30001004130052</t>
        </is>
      </c>
      <c r="BD104" t="inlineStr">
        <is>
          <t>893552651</t>
        </is>
      </c>
    </row>
    <row r="105">
      <c r="A105" t="inlineStr">
        <is>
          <t>No</t>
        </is>
      </c>
      <c r="B105" t="inlineStr">
        <is>
          <t>QZ39 C655p 2002</t>
        </is>
      </c>
      <c r="C105" t="inlineStr">
        <is>
          <t>0                      QZ 0039000C  655p        2002</t>
        </is>
      </c>
      <c r="D105" t="inlineStr">
        <is>
          <t>Pharmacovigilance from A to Z : adverse drug event surveillance / Barton L. Cobert, Pierre Biron.</t>
        </is>
      </c>
      <c r="F105" t="inlineStr">
        <is>
          <t>No</t>
        </is>
      </c>
      <c r="G105" t="inlineStr">
        <is>
          <t>1</t>
        </is>
      </c>
      <c r="H105" t="inlineStr">
        <is>
          <t>No</t>
        </is>
      </c>
      <c r="I105" t="inlineStr">
        <is>
          <t>No</t>
        </is>
      </c>
      <c r="J105" t="inlineStr">
        <is>
          <t>0</t>
        </is>
      </c>
      <c r="K105" t="inlineStr">
        <is>
          <t>Cobert, Barton L.</t>
        </is>
      </c>
      <c r="L105" t="inlineStr">
        <is>
          <t>Malden, Mass. : Blackwell Science, c2002.</t>
        </is>
      </c>
      <c r="M105" t="inlineStr">
        <is>
          <t>2002</t>
        </is>
      </c>
      <c r="O105" t="inlineStr">
        <is>
          <t>eng</t>
        </is>
      </c>
      <c r="P105" t="inlineStr">
        <is>
          <t>mau</t>
        </is>
      </c>
      <c r="R105" t="inlineStr">
        <is>
          <t xml:space="preserve">QZ </t>
        </is>
      </c>
      <c r="S105" t="n">
        <v>0</v>
      </c>
      <c r="T105" t="n">
        <v>0</v>
      </c>
      <c r="U105" t="inlineStr">
        <is>
          <t>2005-11-22</t>
        </is>
      </c>
      <c r="V105" t="inlineStr">
        <is>
          <t>2005-11-22</t>
        </is>
      </c>
      <c r="W105" t="inlineStr">
        <is>
          <t>2005-11-18</t>
        </is>
      </c>
      <c r="X105" t="inlineStr">
        <is>
          <t>2005-11-18</t>
        </is>
      </c>
      <c r="Y105" t="n">
        <v>104</v>
      </c>
      <c r="Z105" t="n">
        <v>71</v>
      </c>
      <c r="AA105" t="n">
        <v>76</v>
      </c>
      <c r="AB105" t="n">
        <v>1</v>
      </c>
      <c r="AC105" t="n">
        <v>1</v>
      </c>
      <c r="AD105" t="n">
        <v>1</v>
      </c>
      <c r="AE105" t="n">
        <v>1</v>
      </c>
      <c r="AF105" t="n">
        <v>0</v>
      </c>
      <c r="AG105" t="n">
        <v>0</v>
      </c>
      <c r="AH105" t="n">
        <v>1</v>
      </c>
      <c r="AI105" t="n">
        <v>1</v>
      </c>
      <c r="AJ105" t="n">
        <v>0</v>
      </c>
      <c r="AK105" t="n">
        <v>0</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HYPERLINK("https://creighton-primo.hosted.exlibrisgroup.com/primo-explore/search?tab=default_tab&amp;search_scope=EVERYTHING&amp;vid=01CRU&amp;lang=en_US&amp;offset=0&amp;query=any,contains,991000449869702656","Catalog Record")</f>
        <v/>
      </c>
      <c r="AT105">
        <f>HYPERLINK("http://www.worldcat.org/oclc/45661787","WorldCat Record")</f>
        <v/>
      </c>
      <c r="AU105" t="inlineStr">
        <is>
          <t>835998221:eng</t>
        </is>
      </c>
      <c r="AV105" t="inlineStr">
        <is>
          <t>45661787</t>
        </is>
      </c>
      <c r="AW105" t="inlineStr">
        <is>
          <t>991000449869702656</t>
        </is>
      </c>
      <c r="AX105" t="inlineStr">
        <is>
          <t>991000449869702656</t>
        </is>
      </c>
      <c r="AY105" t="inlineStr">
        <is>
          <t>2267841310002656</t>
        </is>
      </c>
      <c r="AZ105" t="inlineStr">
        <is>
          <t>BOOK</t>
        </is>
      </c>
      <c r="BB105" t="inlineStr">
        <is>
          <t>9780632045860</t>
        </is>
      </c>
      <c r="BC105" t="inlineStr">
        <is>
          <t>30001004911444</t>
        </is>
      </c>
      <c r="BD105" t="inlineStr">
        <is>
          <t>893811515</t>
        </is>
      </c>
    </row>
    <row r="106">
      <c r="A106" t="inlineStr">
        <is>
          <t>No</t>
        </is>
      </c>
      <c r="B106" t="inlineStr">
        <is>
          <t>QZ 39 C678i 1998</t>
        </is>
      </c>
      <c r="C106" t="inlineStr">
        <is>
          <t>0                      QZ 0039000C  678i        1998</t>
        </is>
      </c>
      <c r="D106" t="inlineStr">
        <is>
          <t>Introduction to clinical radiation oncology / Lawrence R. Coia, David J. Moylan.</t>
        </is>
      </c>
      <c r="F106" t="inlineStr">
        <is>
          <t>No</t>
        </is>
      </c>
      <c r="G106" t="inlineStr">
        <is>
          <t>1</t>
        </is>
      </c>
      <c r="H106" t="inlineStr">
        <is>
          <t>No</t>
        </is>
      </c>
      <c r="I106" t="inlineStr">
        <is>
          <t>No</t>
        </is>
      </c>
      <c r="J106" t="inlineStr">
        <is>
          <t>0</t>
        </is>
      </c>
      <c r="K106" t="inlineStr">
        <is>
          <t>Coia, Lawrence R.</t>
        </is>
      </c>
      <c r="L106" t="inlineStr">
        <is>
          <t>Madison, Wis. : Medical Physics Pub. c1998.</t>
        </is>
      </c>
      <c r="M106" t="inlineStr">
        <is>
          <t>1998</t>
        </is>
      </c>
      <c r="N106" t="inlineStr">
        <is>
          <t>3rd ed.</t>
        </is>
      </c>
      <c r="O106" t="inlineStr">
        <is>
          <t>eng</t>
        </is>
      </c>
      <c r="P106" t="inlineStr">
        <is>
          <t>wiu</t>
        </is>
      </c>
      <c r="R106" t="inlineStr">
        <is>
          <t xml:space="preserve">QZ </t>
        </is>
      </c>
      <c r="S106" t="n">
        <v>13</v>
      </c>
      <c r="T106" t="n">
        <v>13</v>
      </c>
      <c r="U106" t="inlineStr">
        <is>
          <t>2002-03-05</t>
        </is>
      </c>
      <c r="V106" t="inlineStr">
        <is>
          <t>2002-03-05</t>
        </is>
      </c>
      <c r="W106" t="inlineStr">
        <is>
          <t>1999-02-18</t>
        </is>
      </c>
      <c r="X106" t="inlineStr">
        <is>
          <t>1999-02-18</t>
        </is>
      </c>
      <c r="Y106" t="n">
        <v>41</v>
      </c>
      <c r="Z106" t="n">
        <v>27</v>
      </c>
      <c r="AA106" t="n">
        <v>63</v>
      </c>
      <c r="AB106" t="n">
        <v>1</v>
      </c>
      <c r="AC106" t="n">
        <v>1</v>
      </c>
      <c r="AD106" t="n">
        <v>0</v>
      </c>
      <c r="AE106" t="n">
        <v>2</v>
      </c>
      <c r="AF106" t="n">
        <v>0</v>
      </c>
      <c r="AG106" t="n">
        <v>1</v>
      </c>
      <c r="AH106" t="n">
        <v>0</v>
      </c>
      <c r="AI106" t="n">
        <v>1</v>
      </c>
      <c r="AJ106" t="n">
        <v>0</v>
      </c>
      <c r="AK106" t="n">
        <v>2</v>
      </c>
      <c r="AL106" t="n">
        <v>0</v>
      </c>
      <c r="AM106" t="n">
        <v>0</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HYPERLINK("https://creighton-primo.hosted.exlibrisgroup.com/primo-explore/search?tab=default_tab&amp;search_scope=EVERYTHING&amp;vid=01CRU&amp;lang=en_US&amp;offset=0&amp;query=any,contains,991001568619702656","Catalog Record")</f>
        <v/>
      </c>
      <c r="AT106">
        <f>HYPERLINK("http://www.worldcat.org/oclc/34912556","WorldCat Record")</f>
        <v/>
      </c>
      <c r="AU106" t="inlineStr">
        <is>
          <t>28396344:eng</t>
        </is>
      </c>
      <c r="AV106" t="inlineStr">
        <is>
          <t>34912556</t>
        </is>
      </c>
      <c r="AW106" t="inlineStr">
        <is>
          <t>991001568619702656</t>
        </is>
      </c>
      <c r="AX106" t="inlineStr">
        <is>
          <t>991001568619702656</t>
        </is>
      </c>
      <c r="AY106" t="inlineStr">
        <is>
          <t>2259129360002656</t>
        </is>
      </c>
      <c r="AZ106" t="inlineStr">
        <is>
          <t>BOOK</t>
        </is>
      </c>
      <c r="BB106" t="inlineStr">
        <is>
          <t>9780944838709</t>
        </is>
      </c>
      <c r="BC106" t="inlineStr">
        <is>
          <t>30001004091049</t>
        </is>
      </c>
      <c r="BD106" t="inlineStr">
        <is>
          <t>893460708</t>
        </is>
      </c>
    </row>
    <row r="107">
      <c r="A107" t="inlineStr">
        <is>
          <t>No</t>
        </is>
      </c>
      <c r="B107" t="inlineStr">
        <is>
          <t>QZ39 E84 2001</t>
        </is>
      </c>
      <c r="C107" t="inlineStr">
        <is>
          <t>0                      QZ 0039000E  84          2001</t>
        </is>
      </c>
      <c r="D107" t="inlineStr">
        <is>
          <t>Ethnic diseases sourcebook / edited by Joyce Brennfleck Shannon.</t>
        </is>
      </c>
      <c r="F107" t="inlineStr">
        <is>
          <t>No</t>
        </is>
      </c>
      <c r="G107" t="inlineStr">
        <is>
          <t>1</t>
        </is>
      </c>
      <c r="H107" t="inlineStr">
        <is>
          <t>No</t>
        </is>
      </c>
      <c r="I107" t="inlineStr">
        <is>
          <t>No</t>
        </is>
      </c>
      <c r="J107" t="inlineStr">
        <is>
          <t>0</t>
        </is>
      </c>
      <c r="L107" t="inlineStr">
        <is>
          <t>Detroit, MI : Omnigraphics, c2001.</t>
        </is>
      </c>
      <c r="M107" t="inlineStr">
        <is>
          <t>2001</t>
        </is>
      </c>
      <c r="N107" t="inlineStr">
        <is>
          <t>1st ed.</t>
        </is>
      </c>
      <c r="O107" t="inlineStr">
        <is>
          <t>eng</t>
        </is>
      </c>
      <c r="P107" t="inlineStr">
        <is>
          <t>miu</t>
        </is>
      </c>
      <c r="Q107" t="inlineStr">
        <is>
          <t>Health reference series</t>
        </is>
      </c>
      <c r="R107" t="inlineStr">
        <is>
          <t xml:space="preserve">QZ </t>
        </is>
      </c>
      <c r="S107" t="n">
        <v>2</v>
      </c>
      <c r="T107" t="n">
        <v>2</v>
      </c>
      <c r="U107" t="inlineStr">
        <is>
          <t>2004-06-06</t>
        </is>
      </c>
      <c r="V107" t="inlineStr">
        <is>
          <t>2004-06-06</t>
        </is>
      </c>
      <c r="W107" t="inlineStr">
        <is>
          <t>2004-06-03</t>
        </is>
      </c>
      <c r="X107" t="inlineStr">
        <is>
          <t>2004-06-03</t>
        </is>
      </c>
      <c r="Y107" t="n">
        <v>365</v>
      </c>
      <c r="Z107" t="n">
        <v>355</v>
      </c>
      <c r="AA107" t="n">
        <v>360</v>
      </c>
      <c r="AB107" t="n">
        <v>2</v>
      </c>
      <c r="AC107" t="n">
        <v>2</v>
      </c>
      <c r="AD107" t="n">
        <v>6</v>
      </c>
      <c r="AE107" t="n">
        <v>6</v>
      </c>
      <c r="AF107" t="n">
        <v>1</v>
      </c>
      <c r="AG107" t="n">
        <v>1</v>
      </c>
      <c r="AH107" t="n">
        <v>2</v>
      </c>
      <c r="AI107" t="n">
        <v>2</v>
      </c>
      <c r="AJ107" t="n">
        <v>3</v>
      </c>
      <c r="AK107" t="n">
        <v>3</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HYPERLINK("https://creighton-primo.hosted.exlibrisgroup.com/primo-explore/search?tab=default_tab&amp;search_scope=EVERYTHING&amp;vid=01CRU&amp;lang=en_US&amp;offset=0&amp;query=any,contains,991000370699702656","Catalog Record")</f>
        <v/>
      </c>
      <c r="AT107">
        <f>HYPERLINK("http://www.worldcat.org/oclc/45308872","WorldCat Record")</f>
        <v/>
      </c>
      <c r="AU107" t="inlineStr">
        <is>
          <t>5612344956:eng</t>
        </is>
      </c>
      <c r="AV107" t="inlineStr">
        <is>
          <t>45308872</t>
        </is>
      </c>
      <c r="AW107" t="inlineStr">
        <is>
          <t>991000370699702656</t>
        </is>
      </c>
      <c r="AX107" t="inlineStr">
        <is>
          <t>991000370699702656</t>
        </is>
      </c>
      <c r="AY107" t="inlineStr">
        <is>
          <t>2272308460002656</t>
        </is>
      </c>
      <c r="AZ107" t="inlineStr">
        <is>
          <t>BOOK</t>
        </is>
      </c>
      <c r="BB107" t="inlineStr">
        <is>
          <t>9780780803367</t>
        </is>
      </c>
      <c r="BC107" t="inlineStr">
        <is>
          <t>30001004920213</t>
        </is>
      </c>
      <c r="BD107" t="inlineStr">
        <is>
          <t>893354252</t>
        </is>
      </c>
    </row>
    <row r="108">
      <c r="A108" t="inlineStr">
        <is>
          <t>No</t>
        </is>
      </c>
      <c r="B108" t="inlineStr">
        <is>
          <t>QZ 41 A312 2002</t>
        </is>
      </c>
      <c r="C108" t="inlineStr">
        <is>
          <t>0                      QZ 0041000A  312         2002</t>
        </is>
      </c>
      <c r="D108" t="inlineStr">
        <is>
          <t>AJCC cancer staging manual / American Joint Committee on Cancer.</t>
        </is>
      </c>
      <c r="F108" t="inlineStr">
        <is>
          <t>No</t>
        </is>
      </c>
      <c r="G108" t="inlineStr">
        <is>
          <t>1</t>
        </is>
      </c>
      <c r="H108" t="inlineStr">
        <is>
          <t>No</t>
        </is>
      </c>
      <c r="I108" t="inlineStr">
        <is>
          <t>Yes</t>
        </is>
      </c>
      <c r="J108" t="inlineStr">
        <is>
          <t>0</t>
        </is>
      </c>
      <c r="L108" t="inlineStr">
        <is>
          <t>New York : Springer-Verlag, c2002.</t>
        </is>
      </c>
      <c r="M108" t="inlineStr">
        <is>
          <t>2002</t>
        </is>
      </c>
      <c r="N108" t="inlineStr">
        <is>
          <t>6th ed. / editors, Frederick L. Greene ... [et al.].</t>
        </is>
      </c>
      <c r="O108" t="inlineStr">
        <is>
          <t>eng</t>
        </is>
      </c>
      <c r="P108" t="inlineStr">
        <is>
          <t>nyu</t>
        </is>
      </c>
      <c r="R108" t="inlineStr">
        <is>
          <t xml:space="preserve">QZ </t>
        </is>
      </c>
      <c r="S108" t="n">
        <v>2</v>
      </c>
      <c r="T108" t="n">
        <v>2</v>
      </c>
      <c r="U108" t="inlineStr">
        <is>
          <t>2009-02-02</t>
        </is>
      </c>
      <c r="V108" t="inlineStr">
        <is>
          <t>2009-02-02</t>
        </is>
      </c>
      <c r="W108" t="inlineStr">
        <is>
          <t>2004-09-13</t>
        </is>
      </c>
      <c r="X108" t="inlineStr">
        <is>
          <t>2004-09-13</t>
        </is>
      </c>
      <c r="Y108" t="n">
        <v>217</v>
      </c>
      <c r="Z108" t="n">
        <v>181</v>
      </c>
      <c r="AA108" t="n">
        <v>418</v>
      </c>
      <c r="AB108" t="n">
        <v>1</v>
      </c>
      <c r="AC108" t="n">
        <v>2</v>
      </c>
      <c r="AD108" t="n">
        <v>3</v>
      </c>
      <c r="AE108" t="n">
        <v>7</v>
      </c>
      <c r="AF108" t="n">
        <v>1</v>
      </c>
      <c r="AG108" t="n">
        <v>2</v>
      </c>
      <c r="AH108" t="n">
        <v>1</v>
      </c>
      <c r="AI108" t="n">
        <v>3</v>
      </c>
      <c r="AJ108" t="n">
        <v>1</v>
      </c>
      <c r="AK108" t="n">
        <v>2</v>
      </c>
      <c r="AL108" t="n">
        <v>0</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HYPERLINK("https://creighton-primo.hosted.exlibrisgroup.com/primo-explore/search?tab=default_tab&amp;search_scope=EVERYTHING&amp;vid=01CRU&amp;lang=en_US&amp;offset=0&amp;query=any,contains,991000387359702656","Catalog Record")</f>
        <v/>
      </c>
      <c r="AT108">
        <f>HYPERLINK("http://www.worldcat.org/oclc/47839001","WorldCat Record")</f>
        <v/>
      </c>
      <c r="AU108" t="inlineStr">
        <is>
          <t>1152013410:eng</t>
        </is>
      </c>
      <c r="AV108" t="inlineStr">
        <is>
          <t>47839001</t>
        </is>
      </c>
      <c r="AW108" t="inlineStr">
        <is>
          <t>991000387359702656</t>
        </is>
      </c>
      <c r="AX108" t="inlineStr">
        <is>
          <t>991000387359702656</t>
        </is>
      </c>
      <c r="AY108" t="inlineStr">
        <is>
          <t>2264493690002656</t>
        </is>
      </c>
      <c r="AZ108" t="inlineStr">
        <is>
          <t>BOOK</t>
        </is>
      </c>
      <c r="BB108" t="inlineStr">
        <is>
          <t>9780387952710</t>
        </is>
      </c>
      <c r="BC108" t="inlineStr">
        <is>
          <t>30001004505949</t>
        </is>
      </c>
      <c r="BD108" t="inlineStr">
        <is>
          <t>893275024</t>
        </is>
      </c>
    </row>
    <row r="109">
      <c r="A109" t="inlineStr">
        <is>
          <t>No</t>
        </is>
      </c>
      <c r="B109" t="inlineStr">
        <is>
          <t>QZ 42 D7945 1990</t>
        </is>
      </c>
      <c r="C109" t="inlineStr">
        <is>
          <t>0                      QZ 0042000D  7945        1990</t>
        </is>
      </c>
      <c r="D109" t="inlineStr">
        <is>
          <t>Drug toxicity and metabolism in pediatrics / editor, Sam Kacew.</t>
        </is>
      </c>
      <c r="F109" t="inlineStr">
        <is>
          <t>No</t>
        </is>
      </c>
      <c r="G109" t="inlineStr">
        <is>
          <t>1</t>
        </is>
      </c>
      <c r="H109" t="inlineStr">
        <is>
          <t>No</t>
        </is>
      </c>
      <c r="I109" t="inlineStr">
        <is>
          <t>No</t>
        </is>
      </c>
      <c r="J109" t="inlineStr">
        <is>
          <t>0</t>
        </is>
      </c>
      <c r="L109" t="inlineStr">
        <is>
          <t>Boca Raton, Fla. : CRC Press, c1990.</t>
        </is>
      </c>
      <c r="M109" t="inlineStr">
        <is>
          <t>1990</t>
        </is>
      </c>
      <c r="O109" t="inlineStr">
        <is>
          <t>eng</t>
        </is>
      </c>
      <c r="P109" t="inlineStr">
        <is>
          <t>xxu</t>
        </is>
      </c>
      <c r="R109" t="inlineStr">
        <is>
          <t xml:space="preserve">QZ </t>
        </is>
      </c>
      <c r="S109" t="n">
        <v>3</v>
      </c>
      <c r="T109" t="n">
        <v>3</v>
      </c>
      <c r="U109" t="inlineStr">
        <is>
          <t>1997-05-09</t>
        </is>
      </c>
      <c r="V109" t="inlineStr">
        <is>
          <t>1997-05-09</t>
        </is>
      </c>
      <c r="W109" t="inlineStr">
        <is>
          <t>1990-08-09</t>
        </is>
      </c>
      <c r="X109" t="inlineStr">
        <is>
          <t>1990-08-09</t>
        </is>
      </c>
      <c r="Y109" t="n">
        <v>96</v>
      </c>
      <c r="Z109" t="n">
        <v>74</v>
      </c>
      <c r="AA109" t="n">
        <v>107</v>
      </c>
      <c r="AB109" t="n">
        <v>2</v>
      </c>
      <c r="AC109" t="n">
        <v>2</v>
      </c>
      <c r="AD109" t="n">
        <v>3</v>
      </c>
      <c r="AE109" t="n">
        <v>3</v>
      </c>
      <c r="AF109" t="n">
        <v>1</v>
      </c>
      <c r="AG109" t="n">
        <v>1</v>
      </c>
      <c r="AH109" t="n">
        <v>0</v>
      </c>
      <c r="AI109" t="n">
        <v>0</v>
      </c>
      <c r="AJ109" t="n">
        <v>1</v>
      </c>
      <c r="AK109" t="n">
        <v>1</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HYPERLINK("https://creighton-primo.hosted.exlibrisgroup.com/primo-explore/search?tab=default_tab&amp;search_scope=EVERYTHING&amp;vid=01CRU&amp;lang=en_US&amp;offset=0&amp;query=any,contains,991001452469702656","Catalog Record")</f>
        <v/>
      </c>
      <c r="AT109">
        <f>HYPERLINK("http://www.worldcat.org/oclc/20057211","WorldCat Record")</f>
        <v/>
      </c>
      <c r="AU109" t="inlineStr">
        <is>
          <t>21227019:eng</t>
        </is>
      </c>
      <c r="AV109" t="inlineStr">
        <is>
          <t>20057211</t>
        </is>
      </c>
      <c r="AW109" t="inlineStr">
        <is>
          <t>991001452469702656</t>
        </is>
      </c>
      <c r="AX109" t="inlineStr">
        <is>
          <t>991001452469702656</t>
        </is>
      </c>
      <c r="AY109" t="inlineStr">
        <is>
          <t>2265567310002656</t>
        </is>
      </c>
      <c r="AZ109" t="inlineStr">
        <is>
          <t>BOOK</t>
        </is>
      </c>
      <c r="BB109" t="inlineStr">
        <is>
          <t>9780849345647</t>
        </is>
      </c>
      <c r="BC109" t="inlineStr">
        <is>
          <t>30001001883612</t>
        </is>
      </c>
      <c r="BD109" t="inlineStr">
        <is>
          <t>893121514</t>
        </is>
      </c>
    </row>
    <row r="110">
      <c r="A110" t="inlineStr">
        <is>
          <t>No</t>
        </is>
      </c>
      <c r="B110" t="inlineStr">
        <is>
          <t>QZ 42 I1144 1998</t>
        </is>
      </c>
      <c r="C110" t="inlineStr">
        <is>
          <t>0                      QZ 0042000I  1144        1998</t>
        </is>
      </c>
      <c r="D110" t="inlineStr">
        <is>
          <t>Iatrogenic neurology / [edited by] Jose Biller.</t>
        </is>
      </c>
      <c r="F110" t="inlineStr">
        <is>
          <t>No</t>
        </is>
      </c>
      <c r="G110" t="inlineStr">
        <is>
          <t>1</t>
        </is>
      </c>
      <c r="H110" t="inlineStr">
        <is>
          <t>No</t>
        </is>
      </c>
      <c r="I110" t="inlineStr">
        <is>
          <t>No</t>
        </is>
      </c>
      <c r="J110" t="inlineStr">
        <is>
          <t>0</t>
        </is>
      </c>
      <c r="L110" t="inlineStr">
        <is>
          <t>Boston : Butterworth-Heinemann, c1998.</t>
        </is>
      </c>
      <c r="M110" t="inlineStr">
        <is>
          <t>1998</t>
        </is>
      </c>
      <c r="O110" t="inlineStr">
        <is>
          <t>eng</t>
        </is>
      </c>
      <c r="P110" t="inlineStr">
        <is>
          <t>mau</t>
        </is>
      </c>
      <c r="R110" t="inlineStr">
        <is>
          <t xml:space="preserve">QZ </t>
        </is>
      </c>
      <c r="S110" t="n">
        <v>1</v>
      </c>
      <c r="T110" t="n">
        <v>1</v>
      </c>
      <c r="U110" t="inlineStr">
        <is>
          <t>1998-11-03</t>
        </is>
      </c>
      <c r="V110" t="inlineStr">
        <is>
          <t>1998-11-03</t>
        </is>
      </c>
      <c r="W110" t="inlineStr">
        <is>
          <t>1998-11-03</t>
        </is>
      </c>
      <c r="X110" t="inlineStr">
        <is>
          <t>1998-11-03</t>
        </is>
      </c>
      <c r="Y110" t="n">
        <v>154</v>
      </c>
      <c r="Z110" t="n">
        <v>116</v>
      </c>
      <c r="AA110" t="n">
        <v>123</v>
      </c>
      <c r="AB110" t="n">
        <v>1</v>
      </c>
      <c r="AC110" t="n">
        <v>1</v>
      </c>
      <c r="AD110" t="n">
        <v>2</v>
      </c>
      <c r="AE110" t="n">
        <v>2</v>
      </c>
      <c r="AF110" t="n">
        <v>0</v>
      </c>
      <c r="AG110" t="n">
        <v>0</v>
      </c>
      <c r="AH110" t="n">
        <v>1</v>
      </c>
      <c r="AI110" t="n">
        <v>1</v>
      </c>
      <c r="AJ110" t="n">
        <v>2</v>
      </c>
      <c r="AK110" t="n">
        <v>2</v>
      </c>
      <c r="AL110" t="n">
        <v>0</v>
      </c>
      <c r="AM110" t="n">
        <v>0</v>
      </c>
      <c r="AN110" t="n">
        <v>0</v>
      </c>
      <c r="AO110" t="n">
        <v>0</v>
      </c>
      <c r="AP110" t="inlineStr">
        <is>
          <t>No</t>
        </is>
      </c>
      <c r="AQ110" t="inlineStr">
        <is>
          <t>Yes</t>
        </is>
      </c>
      <c r="AR110">
        <f>HYPERLINK("http://catalog.hathitrust.org/Record/003250243","HathiTrust Record")</f>
        <v/>
      </c>
      <c r="AS110">
        <f>HYPERLINK("https://creighton-primo.hosted.exlibrisgroup.com/primo-explore/search?tab=default_tab&amp;search_scope=EVERYTHING&amp;vid=01CRU&amp;lang=en_US&amp;offset=0&amp;query=any,contains,991001565969702656","Catalog Record")</f>
        <v/>
      </c>
      <c r="AT110">
        <f>HYPERLINK("http://www.worldcat.org/oclc/37580705","WorldCat Record")</f>
        <v/>
      </c>
      <c r="AU110" t="inlineStr">
        <is>
          <t>585843:eng</t>
        </is>
      </c>
      <c r="AV110" t="inlineStr">
        <is>
          <t>37580705</t>
        </is>
      </c>
      <c r="AW110" t="inlineStr">
        <is>
          <t>991001565969702656</t>
        </is>
      </c>
      <c r="AX110" t="inlineStr">
        <is>
          <t>991001565969702656</t>
        </is>
      </c>
      <c r="AY110" t="inlineStr">
        <is>
          <t>2258432070002656</t>
        </is>
      </c>
      <c r="AZ110" t="inlineStr">
        <is>
          <t>BOOK</t>
        </is>
      </c>
      <c r="BB110" t="inlineStr">
        <is>
          <t>9780750698405</t>
        </is>
      </c>
      <c r="BC110" t="inlineStr">
        <is>
          <t>30001004092104</t>
        </is>
      </c>
      <c r="BD110" t="inlineStr">
        <is>
          <t>893633213</t>
        </is>
      </c>
    </row>
    <row r="111">
      <c r="A111" t="inlineStr">
        <is>
          <t>No</t>
        </is>
      </c>
      <c r="B111" t="inlineStr">
        <is>
          <t>QZ 42 P297 1982</t>
        </is>
      </c>
      <c r="C111" t="inlineStr">
        <is>
          <t>0                      QZ 0042000P  297         1982</t>
        </is>
      </c>
      <c r="D111" t="inlineStr">
        <is>
          <t>Pathology of drug-induced and toxic diseases / edited by Robert H. Riddell.</t>
        </is>
      </c>
      <c r="F111" t="inlineStr">
        <is>
          <t>No</t>
        </is>
      </c>
      <c r="G111" t="inlineStr">
        <is>
          <t>1</t>
        </is>
      </c>
      <c r="H111" t="inlineStr">
        <is>
          <t>No</t>
        </is>
      </c>
      <c r="I111" t="inlineStr">
        <is>
          <t>No</t>
        </is>
      </c>
      <c r="J111" t="inlineStr">
        <is>
          <t>0</t>
        </is>
      </c>
      <c r="L111" t="inlineStr">
        <is>
          <t>New York : Churchill Livingstone, c1982.</t>
        </is>
      </c>
      <c r="M111" t="inlineStr">
        <is>
          <t>1982</t>
        </is>
      </c>
      <c r="O111" t="inlineStr">
        <is>
          <t>eng</t>
        </is>
      </c>
      <c r="P111" t="inlineStr">
        <is>
          <t>xxu</t>
        </is>
      </c>
      <c r="R111" t="inlineStr">
        <is>
          <t xml:space="preserve">QZ </t>
        </is>
      </c>
      <c r="S111" t="n">
        <v>1</v>
      </c>
      <c r="T111" t="n">
        <v>1</v>
      </c>
      <c r="U111" t="inlineStr">
        <is>
          <t>1989-02-06</t>
        </is>
      </c>
      <c r="V111" t="inlineStr">
        <is>
          <t>1989-02-06</t>
        </is>
      </c>
      <c r="W111" t="inlineStr">
        <is>
          <t>1988-02-12</t>
        </is>
      </c>
      <c r="X111" t="inlineStr">
        <is>
          <t>1988-02-12</t>
        </is>
      </c>
      <c r="Y111" t="n">
        <v>194</v>
      </c>
      <c r="Z111" t="n">
        <v>136</v>
      </c>
      <c r="AA111" t="n">
        <v>138</v>
      </c>
      <c r="AB111" t="n">
        <v>1</v>
      </c>
      <c r="AC111" t="n">
        <v>1</v>
      </c>
      <c r="AD111" t="n">
        <v>0</v>
      </c>
      <c r="AE111" t="n">
        <v>0</v>
      </c>
      <c r="AF111" t="n">
        <v>0</v>
      </c>
      <c r="AG111" t="n">
        <v>0</v>
      </c>
      <c r="AH111" t="n">
        <v>0</v>
      </c>
      <c r="AI111" t="n">
        <v>0</v>
      </c>
      <c r="AJ111" t="n">
        <v>0</v>
      </c>
      <c r="AK111" t="n">
        <v>0</v>
      </c>
      <c r="AL111" t="n">
        <v>0</v>
      </c>
      <c r="AM111" t="n">
        <v>0</v>
      </c>
      <c r="AN111" t="n">
        <v>0</v>
      </c>
      <c r="AO111" t="n">
        <v>0</v>
      </c>
      <c r="AP111" t="inlineStr">
        <is>
          <t>No</t>
        </is>
      </c>
      <c r="AQ111" t="inlineStr">
        <is>
          <t>Yes</t>
        </is>
      </c>
      <c r="AR111">
        <f>HYPERLINK("http://catalog.hathitrust.org/Record/000112304","HathiTrust Record")</f>
        <v/>
      </c>
      <c r="AS111">
        <f>HYPERLINK("https://creighton-primo.hosted.exlibrisgroup.com/primo-explore/search?tab=default_tab&amp;search_scope=EVERYTHING&amp;vid=01CRU&amp;lang=en_US&amp;offset=0&amp;query=any,contains,991001089499702656","Catalog Record")</f>
        <v/>
      </c>
      <c r="AT111">
        <f>HYPERLINK("http://www.worldcat.org/oclc/8306151","WorldCat Record")</f>
        <v/>
      </c>
      <c r="AU111" t="inlineStr">
        <is>
          <t>482434:eng</t>
        </is>
      </c>
      <c r="AV111" t="inlineStr">
        <is>
          <t>8306151</t>
        </is>
      </c>
      <c r="AW111" t="inlineStr">
        <is>
          <t>991001089499702656</t>
        </is>
      </c>
      <c r="AX111" t="inlineStr">
        <is>
          <t>991001089499702656</t>
        </is>
      </c>
      <c r="AY111" t="inlineStr">
        <is>
          <t>2265208920002656</t>
        </is>
      </c>
      <c r="AZ111" t="inlineStr">
        <is>
          <t>BOOK</t>
        </is>
      </c>
      <c r="BB111" t="inlineStr">
        <is>
          <t>9780443080838</t>
        </is>
      </c>
      <c r="BC111" t="inlineStr">
        <is>
          <t>30001000261661</t>
        </is>
      </c>
      <c r="BD111" t="inlineStr">
        <is>
          <t>893287212</t>
        </is>
      </c>
    </row>
    <row r="112">
      <c r="A112" t="inlineStr">
        <is>
          <t>No</t>
        </is>
      </c>
      <c r="B112" t="inlineStr">
        <is>
          <t>QZ 42 P536 1994</t>
        </is>
      </c>
      <c r="C112" t="inlineStr">
        <is>
          <t>0                      QZ 0042000P  536         1994</t>
        </is>
      </c>
      <c r="D112" t="inlineStr">
        <is>
          <t>Pharmacoepidemiology / edited by Brian L. Strom.</t>
        </is>
      </c>
      <c r="F112" t="inlineStr">
        <is>
          <t>No</t>
        </is>
      </c>
      <c r="G112" t="inlineStr">
        <is>
          <t>1</t>
        </is>
      </c>
      <c r="H112" t="inlineStr">
        <is>
          <t>No</t>
        </is>
      </c>
      <c r="I112" t="inlineStr">
        <is>
          <t>No</t>
        </is>
      </c>
      <c r="J112" t="inlineStr">
        <is>
          <t>1</t>
        </is>
      </c>
      <c r="L112" t="inlineStr">
        <is>
          <t>Chichester ; New York : J. Wiley, c1994, reprinted 1995.</t>
        </is>
      </c>
      <c r="M112" t="inlineStr">
        <is>
          <t>1994</t>
        </is>
      </c>
      <c r="N112" t="inlineStr">
        <is>
          <t>2nd ed.</t>
        </is>
      </c>
      <c r="O112" t="inlineStr">
        <is>
          <t>eng</t>
        </is>
      </c>
      <c r="P112" t="inlineStr">
        <is>
          <t>enk</t>
        </is>
      </c>
      <c r="R112" t="inlineStr">
        <is>
          <t xml:space="preserve">QZ </t>
        </is>
      </c>
      <c r="S112" t="n">
        <v>3</v>
      </c>
      <c r="T112" t="n">
        <v>3</v>
      </c>
      <c r="U112" t="inlineStr">
        <is>
          <t>1997-10-08</t>
        </is>
      </c>
      <c r="V112" t="inlineStr">
        <is>
          <t>1997-10-08</t>
        </is>
      </c>
      <c r="W112" t="inlineStr">
        <is>
          <t>1995-08-31</t>
        </is>
      </c>
      <c r="X112" t="inlineStr">
        <is>
          <t>1995-08-31</t>
        </is>
      </c>
      <c r="Y112" t="n">
        <v>156</v>
      </c>
      <c r="Z112" t="n">
        <v>92</v>
      </c>
      <c r="AA112" t="n">
        <v>1666</v>
      </c>
      <c r="AB112" t="n">
        <v>1</v>
      </c>
      <c r="AC112" t="n">
        <v>17</v>
      </c>
      <c r="AD112" t="n">
        <v>3</v>
      </c>
      <c r="AE112" t="n">
        <v>52</v>
      </c>
      <c r="AF112" t="n">
        <v>1</v>
      </c>
      <c r="AG112" t="n">
        <v>16</v>
      </c>
      <c r="AH112" t="n">
        <v>2</v>
      </c>
      <c r="AI112" t="n">
        <v>12</v>
      </c>
      <c r="AJ112" t="n">
        <v>1</v>
      </c>
      <c r="AK112" t="n">
        <v>15</v>
      </c>
      <c r="AL112" t="n">
        <v>0</v>
      </c>
      <c r="AM112" t="n">
        <v>15</v>
      </c>
      <c r="AN112" t="n">
        <v>0</v>
      </c>
      <c r="AO112" t="n">
        <v>2</v>
      </c>
      <c r="AP112" t="inlineStr">
        <is>
          <t>No</t>
        </is>
      </c>
      <c r="AQ112" t="inlineStr">
        <is>
          <t>Yes</t>
        </is>
      </c>
      <c r="AR112">
        <f>HYPERLINK("http://catalog.hathitrust.org/Record/002884782","HathiTrust Record")</f>
        <v/>
      </c>
      <c r="AS112">
        <f>HYPERLINK("https://creighton-primo.hosted.exlibrisgroup.com/primo-explore/search?tab=default_tab&amp;search_scope=EVERYTHING&amp;vid=01CRU&amp;lang=en_US&amp;offset=0&amp;query=any,contains,991001490489702656","Catalog Record")</f>
        <v/>
      </c>
      <c r="AT112">
        <f>HYPERLINK("http://www.worldcat.org/oclc/29912261","WorldCat Record")</f>
        <v/>
      </c>
      <c r="AU112" t="inlineStr">
        <is>
          <t>864917745:eng</t>
        </is>
      </c>
      <c r="AV112" t="inlineStr">
        <is>
          <t>29912261</t>
        </is>
      </c>
      <c r="AW112" t="inlineStr">
        <is>
          <t>991001490489702656</t>
        </is>
      </c>
      <c r="AX112" t="inlineStr">
        <is>
          <t>991001490489702656</t>
        </is>
      </c>
      <c r="AY112" t="inlineStr">
        <is>
          <t>2255595390002656</t>
        </is>
      </c>
      <c r="AZ112" t="inlineStr">
        <is>
          <t>BOOK</t>
        </is>
      </c>
      <c r="BB112" t="inlineStr">
        <is>
          <t>9780471940586</t>
        </is>
      </c>
      <c r="BC112" t="inlineStr">
        <is>
          <t>30001003260363</t>
        </is>
      </c>
      <c r="BD112" t="inlineStr">
        <is>
          <t>893638385</t>
        </is>
      </c>
    </row>
    <row r="113">
      <c r="A113" t="inlineStr">
        <is>
          <t>No</t>
        </is>
      </c>
      <c r="B113" t="inlineStr">
        <is>
          <t>QZ 42 S532m 1998</t>
        </is>
      </c>
      <c r="C113" t="inlineStr">
        <is>
          <t>0                      QZ 0042000S  532m        1998</t>
        </is>
      </c>
      <c r="D113" t="inlineStr">
        <is>
          <t>Medical harm : historical, conceptual, and ethical dimensions of iatrogenic illness / Virginia A. Sharpe, Alan I. Faden.</t>
        </is>
      </c>
      <c r="F113" t="inlineStr">
        <is>
          <t>No</t>
        </is>
      </c>
      <c r="G113" t="inlineStr">
        <is>
          <t>1</t>
        </is>
      </c>
      <c r="H113" t="inlineStr">
        <is>
          <t>No</t>
        </is>
      </c>
      <c r="I113" t="inlineStr">
        <is>
          <t>No</t>
        </is>
      </c>
      <c r="J113" t="inlineStr">
        <is>
          <t>0</t>
        </is>
      </c>
      <c r="K113" t="inlineStr">
        <is>
          <t>Sharpe, Virginia A. (Virginia Ashby), 1959-</t>
        </is>
      </c>
      <c r="L113" t="inlineStr">
        <is>
          <t>Cambridge ; New York, NY, : Cambridge University Press, c1998.</t>
        </is>
      </c>
      <c r="M113" t="inlineStr">
        <is>
          <t>1998</t>
        </is>
      </c>
      <c r="O113" t="inlineStr">
        <is>
          <t>eng</t>
        </is>
      </c>
      <c r="P113" t="inlineStr">
        <is>
          <t>enk</t>
        </is>
      </c>
      <c r="R113" t="inlineStr">
        <is>
          <t xml:space="preserve">QZ </t>
        </is>
      </c>
      <c r="S113" t="n">
        <v>6</v>
      </c>
      <c r="T113" t="n">
        <v>6</v>
      </c>
      <c r="U113" t="inlineStr">
        <is>
          <t>2001-03-10</t>
        </is>
      </c>
      <c r="V113" t="inlineStr">
        <is>
          <t>2001-03-10</t>
        </is>
      </c>
      <c r="W113" t="inlineStr">
        <is>
          <t>1998-10-01</t>
        </is>
      </c>
      <c r="X113" t="inlineStr">
        <is>
          <t>1998-10-01</t>
        </is>
      </c>
      <c r="Y113" t="n">
        <v>361</v>
      </c>
      <c r="Z113" t="n">
        <v>271</v>
      </c>
      <c r="AA113" t="n">
        <v>287</v>
      </c>
      <c r="AB113" t="n">
        <v>1</v>
      </c>
      <c r="AC113" t="n">
        <v>1</v>
      </c>
      <c r="AD113" t="n">
        <v>14</v>
      </c>
      <c r="AE113" t="n">
        <v>14</v>
      </c>
      <c r="AF113" t="n">
        <v>3</v>
      </c>
      <c r="AG113" t="n">
        <v>3</v>
      </c>
      <c r="AH113" t="n">
        <v>5</v>
      </c>
      <c r="AI113" t="n">
        <v>5</v>
      </c>
      <c r="AJ113" t="n">
        <v>8</v>
      </c>
      <c r="AK113" t="n">
        <v>8</v>
      </c>
      <c r="AL113" t="n">
        <v>0</v>
      </c>
      <c r="AM113" t="n">
        <v>0</v>
      </c>
      <c r="AN113" t="n">
        <v>1</v>
      </c>
      <c r="AO113" t="n">
        <v>1</v>
      </c>
      <c r="AP113" t="inlineStr">
        <is>
          <t>No</t>
        </is>
      </c>
      <c r="AQ113" t="inlineStr">
        <is>
          <t>No</t>
        </is>
      </c>
      <c r="AS113">
        <f>HYPERLINK("https://creighton-primo.hosted.exlibrisgroup.com/primo-explore/search?tab=default_tab&amp;search_scope=EVERYTHING&amp;vid=01CRU&amp;lang=en_US&amp;offset=0&amp;query=any,contains,991000826149702656","Catalog Record")</f>
        <v/>
      </c>
      <c r="AT113">
        <f>HYPERLINK("http://www.worldcat.org/oclc/36729022","WorldCat Record")</f>
        <v/>
      </c>
      <c r="AU113" t="inlineStr">
        <is>
          <t>891352628:eng</t>
        </is>
      </c>
      <c r="AV113" t="inlineStr">
        <is>
          <t>36729022</t>
        </is>
      </c>
      <c r="AW113" t="inlineStr">
        <is>
          <t>991000826149702656</t>
        </is>
      </c>
      <c r="AX113" t="inlineStr">
        <is>
          <t>991000826149702656</t>
        </is>
      </c>
      <c r="AY113" t="inlineStr">
        <is>
          <t>2258223020002656</t>
        </is>
      </c>
      <c r="AZ113" t="inlineStr">
        <is>
          <t>BOOK</t>
        </is>
      </c>
      <c r="BB113" t="inlineStr">
        <is>
          <t>9780521571333</t>
        </is>
      </c>
      <c r="BC113" t="inlineStr">
        <is>
          <t>30001004092807</t>
        </is>
      </c>
      <c r="BD113" t="inlineStr">
        <is>
          <t>893557298</t>
        </is>
      </c>
    </row>
    <row r="114">
      <c r="A114" t="inlineStr">
        <is>
          <t>No</t>
        </is>
      </c>
      <c r="B114" t="inlineStr">
        <is>
          <t>QZ 42 T355 1998</t>
        </is>
      </c>
      <c r="C114" t="inlineStr">
        <is>
          <t>0                      QZ 0042000T  355         1998</t>
        </is>
      </c>
      <c r="D114" t="inlineStr">
        <is>
          <t>Davies's textbook of adverse drug reactions / edited by D.M. Davies, R.E. Ferner, H. de Glanville.</t>
        </is>
      </c>
      <c r="F114" t="inlineStr">
        <is>
          <t>No</t>
        </is>
      </c>
      <c r="G114" t="inlineStr">
        <is>
          <t>1</t>
        </is>
      </c>
      <c r="H114" t="inlineStr">
        <is>
          <t>No</t>
        </is>
      </c>
      <c r="I114" t="inlineStr">
        <is>
          <t>No</t>
        </is>
      </c>
      <c r="J114" t="inlineStr">
        <is>
          <t>0</t>
        </is>
      </c>
      <c r="L114" t="inlineStr">
        <is>
          <t>London ; New York : Chapman &amp; Hall Medical, 1998.</t>
        </is>
      </c>
      <c r="M114" t="inlineStr">
        <is>
          <t>1998</t>
        </is>
      </c>
      <c r="N114" t="inlineStr">
        <is>
          <t>5th ed.</t>
        </is>
      </c>
      <c r="O114" t="inlineStr">
        <is>
          <t>eng</t>
        </is>
      </c>
      <c r="P114" t="inlineStr">
        <is>
          <t>enk</t>
        </is>
      </c>
      <c r="R114" t="inlineStr">
        <is>
          <t xml:space="preserve">QZ </t>
        </is>
      </c>
      <c r="S114" t="n">
        <v>81</v>
      </c>
      <c r="T114" t="n">
        <v>81</v>
      </c>
      <c r="U114" t="inlineStr">
        <is>
          <t>2004-07-14</t>
        </is>
      </c>
      <c r="V114" t="inlineStr">
        <is>
          <t>2004-07-14</t>
        </is>
      </c>
      <c r="W114" t="inlineStr">
        <is>
          <t>1999-05-06</t>
        </is>
      </c>
      <c r="X114" t="inlineStr">
        <is>
          <t>1999-05-06</t>
        </is>
      </c>
      <c r="Y114" t="n">
        <v>113</v>
      </c>
      <c r="Z114" t="n">
        <v>82</v>
      </c>
      <c r="AA114" t="n">
        <v>83</v>
      </c>
      <c r="AB114" t="n">
        <v>1</v>
      </c>
      <c r="AC114" t="n">
        <v>1</v>
      </c>
      <c r="AD114" t="n">
        <v>3</v>
      </c>
      <c r="AE114" t="n">
        <v>3</v>
      </c>
      <c r="AF114" t="n">
        <v>1</v>
      </c>
      <c r="AG114" t="n">
        <v>1</v>
      </c>
      <c r="AH114" t="n">
        <v>2</v>
      </c>
      <c r="AI114" t="n">
        <v>2</v>
      </c>
      <c r="AJ114" t="n">
        <v>1</v>
      </c>
      <c r="AK114" t="n">
        <v>1</v>
      </c>
      <c r="AL114" t="n">
        <v>0</v>
      </c>
      <c r="AM114" t="n">
        <v>0</v>
      </c>
      <c r="AN114" t="n">
        <v>0</v>
      </c>
      <c r="AO114" t="n">
        <v>0</v>
      </c>
      <c r="AP114" t="inlineStr">
        <is>
          <t>No</t>
        </is>
      </c>
      <c r="AQ114" t="inlineStr">
        <is>
          <t>Yes</t>
        </is>
      </c>
      <c r="AR114">
        <f>HYPERLINK("http://catalog.hathitrust.org/Record/004021448","HathiTrust Record")</f>
        <v/>
      </c>
      <c r="AS114">
        <f>HYPERLINK("https://creighton-primo.hosted.exlibrisgroup.com/primo-explore/search?tab=default_tab&amp;search_scope=EVERYTHING&amp;vid=01CRU&amp;lang=en_US&amp;offset=0&amp;query=any,contains,991000786509702656","Catalog Record")</f>
        <v/>
      </c>
      <c r="AT114">
        <f>HYPERLINK("http://www.worldcat.org/oclc/41114495","WorldCat Record")</f>
        <v/>
      </c>
      <c r="AU114" t="inlineStr">
        <is>
          <t>3856931004:eng</t>
        </is>
      </c>
      <c r="AV114" t="inlineStr">
        <is>
          <t>41114495</t>
        </is>
      </c>
      <c r="AW114" t="inlineStr">
        <is>
          <t>991000786509702656</t>
        </is>
      </c>
      <c r="AX114" t="inlineStr">
        <is>
          <t>991000786509702656</t>
        </is>
      </c>
      <c r="AY114" t="inlineStr">
        <is>
          <t>2258549230002656</t>
        </is>
      </c>
      <c r="AZ114" t="inlineStr">
        <is>
          <t>BOOK</t>
        </is>
      </c>
      <c r="BB114" t="inlineStr">
        <is>
          <t>9780412824807</t>
        </is>
      </c>
      <c r="BC114" t="inlineStr">
        <is>
          <t>30001004073815</t>
        </is>
      </c>
      <c r="BD114" t="inlineStr">
        <is>
          <t>893726806</t>
        </is>
      </c>
    </row>
    <row r="115">
      <c r="A115" t="inlineStr">
        <is>
          <t>No</t>
        </is>
      </c>
      <c r="B115" t="inlineStr">
        <is>
          <t>QZ 45 L754 1986</t>
        </is>
      </c>
      <c r="C115" t="inlineStr">
        <is>
          <t>0                      QZ 0045000L  754         1986</t>
        </is>
      </c>
      <c r="D115" t="inlineStr">
        <is>
          <t>Linear growth retardation in less developed countries / editor, John C. Waterlow.</t>
        </is>
      </c>
      <c r="E115" t="inlineStr">
        <is>
          <t>V. 14</t>
        </is>
      </c>
      <c r="F115" t="inlineStr">
        <is>
          <t>No</t>
        </is>
      </c>
      <c r="G115" t="inlineStr">
        <is>
          <t>1</t>
        </is>
      </c>
      <c r="H115" t="inlineStr">
        <is>
          <t>No</t>
        </is>
      </c>
      <c r="I115" t="inlineStr">
        <is>
          <t>No</t>
        </is>
      </c>
      <c r="J115" t="inlineStr">
        <is>
          <t>0</t>
        </is>
      </c>
      <c r="L115" t="inlineStr">
        <is>
          <t>Vevey : Nestlé Nutrition ; New York : Raven Press, c1988.</t>
        </is>
      </c>
      <c r="M115" t="inlineStr">
        <is>
          <t>1988</t>
        </is>
      </c>
      <c r="O115" t="inlineStr">
        <is>
          <t>eng</t>
        </is>
      </c>
      <c r="P115" t="inlineStr">
        <is>
          <t xml:space="preserve">sz </t>
        </is>
      </c>
      <c r="Q115" t="inlineStr">
        <is>
          <t>Nestlé Nutrition workshop series ; v. 14</t>
        </is>
      </c>
      <c r="R115" t="inlineStr">
        <is>
          <t xml:space="preserve">QZ </t>
        </is>
      </c>
      <c r="S115" t="n">
        <v>1</v>
      </c>
      <c r="T115" t="n">
        <v>1</v>
      </c>
      <c r="U115" t="inlineStr">
        <is>
          <t>1992-05-07</t>
        </is>
      </c>
      <c r="V115" t="inlineStr">
        <is>
          <t>1992-05-07</t>
        </is>
      </c>
      <c r="W115" t="inlineStr">
        <is>
          <t>1992-04-29</t>
        </is>
      </c>
      <c r="X115" t="inlineStr">
        <is>
          <t>1992-04-29</t>
        </is>
      </c>
      <c r="Y115" t="n">
        <v>172</v>
      </c>
      <c r="Z115" t="n">
        <v>119</v>
      </c>
      <c r="AA115" t="n">
        <v>120</v>
      </c>
      <c r="AB115" t="n">
        <v>2</v>
      </c>
      <c r="AC115" t="n">
        <v>2</v>
      </c>
      <c r="AD115" t="n">
        <v>3</v>
      </c>
      <c r="AE115" t="n">
        <v>3</v>
      </c>
      <c r="AF115" t="n">
        <v>0</v>
      </c>
      <c r="AG115" t="n">
        <v>0</v>
      </c>
      <c r="AH115" t="n">
        <v>1</v>
      </c>
      <c r="AI115" t="n">
        <v>1</v>
      </c>
      <c r="AJ115" t="n">
        <v>1</v>
      </c>
      <c r="AK115" t="n">
        <v>1</v>
      </c>
      <c r="AL115" t="n">
        <v>1</v>
      </c>
      <c r="AM115" t="n">
        <v>1</v>
      </c>
      <c r="AN115" t="n">
        <v>0</v>
      </c>
      <c r="AO115" t="n">
        <v>0</v>
      </c>
      <c r="AP115" t="inlineStr">
        <is>
          <t>No</t>
        </is>
      </c>
      <c r="AQ115" t="inlineStr">
        <is>
          <t>Yes</t>
        </is>
      </c>
      <c r="AR115">
        <f>HYPERLINK("http://catalog.hathitrust.org/Record/000928426","HathiTrust Record")</f>
        <v/>
      </c>
      <c r="AS115">
        <f>HYPERLINK("https://creighton-primo.hosted.exlibrisgroup.com/primo-explore/search?tab=default_tab&amp;search_scope=EVERYTHING&amp;vid=01CRU&amp;lang=en_US&amp;offset=0&amp;query=any,contains,991001303509702656","Catalog Record")</f>
        <v/>
      </c>
      <c r="AT115">
        <f>HYPERLINK("http://www.worldcat.org/oclc/17201034","WorldCat Record")</f>
        <v/>
      </c>
      <c r="AU115" t="inlineStr">
        <is>
          <t>363424609:eng</t>
        </is>
      </c>
      <c r="AV115" t="inlineStr">
        <is>
          <t>17201034</t>
        </is>
      </c>
      <c r="AW115" t="inlineStr">
        <is>
          <t>991001303509702656</t>
        </is>
      </c>
      <c r="AX115" t="inlineStr">
        <is>
          <t>991001303509702656</t>
        </is>
      </c>
      <c r="AY115" t="inlineStr">
        <is>
          <t>2259363540002656</t>
        </is>
      </c>
      <c r="AZ115" t="inlineStr">
        <is>
          <t>BOOK</t>
        </is>
      </c>
      <c r="BB115" t="inlineStr">
        <is>
          <t>9780881673784</t>
        </is>
      </c>
      <c r="BC115" t="inlineStr">
        <is>
          <t>30001002412759</t>
        </is>
      </c>
      <c r="BD115" t="inlineStr">
        <is>
          <t>893632934</t>
        </is>
      </c>
    </row>
    <row r="116">
      <c r="A116" t="inlineStr">
        <is>
          <t>No</t>
        </is>
      </c>
      <c r="B116" t="inlineStr">
        <is>
          <t>QZ 50 A846 1994</t>
        </is>
      </c>
      <c r="C116" t="inlineStr">
        <is>
          <t>0                      QZ 0050000A  846         1994</t>
        </is>
      </c>
      <c r="D116" t="inlineStr">
        <is>
          <t>Assessing genetic risks : implications for health and social policy / Lori B. Andrews ... [et al.], editors.</t>
        </is>
      </c>
      <c r="F116" t="inlineStr">
        <is>
          <t>No</t>
        </is>
      </c>
      <c r="G116" t="inlineStr">
        <is>
          <t>1</t>
        </is>
      </c>
      <c r="H116" t="inlineStr">
        <is>
          <t>No</t>
        </is>
      </c>
      <c r="I116" t="inlineStr">
        <is>
          <t>No</t>
        </is>
      </c>
      <c r="J116" t="inlineStr">
        <is>
          <t>2</t>
        </is>
      </c>
      <c r="L116" t="inlineStr">
        <is>
          <t>Washington, D.C. : National Academy Press, c1994.</t>
        </is>
      </c>
      <c r="M116" t="inlineStr">
        <is>
          <t>1994</t>
        </is>
      </c>
      <c r="O116" t="inlineStr">
        <is>
          <t>eng</t>
        </is>
      </c>
      <c r="P116" t="inlineStr">
        <is>
          <t>dcu</t>
        </is>
      </c>
      <c r="R116" t="inlineStr">
        <is>
          <t xml:space="preserve">QZ </t>
        </is>
      </c>
      <c r="S116" t="n">
        <v>14</v>
      </c>
      <c r="T116" t="n">
        <v>14</v>
      </c>
      <c r="U116" t="inlineStr">
        <is>
          <t>2003-03-28</t>
        </is>
      </c>
      <c r="V116" t="inlineStr">
        <is>
          <t>2003-03-28</t>
        </is>
      </c>
      <c r="W116" t="inlineStr">
        <is>
          <t>1994-06-20</t>
        </is>
      </c>
      <c r="X116" t="inlineStr">
        <is>
          <t>1994-06-20</t>
        </is>
      </c>
      <c r="Y116" t="n">
        <v>612</v>
      </c>
      <c r="Z116" t="n">
        <v>532</v>
      </c>
      <c r="AA116" t="n">
        <v>1888</v>
      </c>
      <c r="AB116" t="n">
        <v>2</v>
      </c>
      <c r="AC116" t="n">
        <v>16</v>
      </c>
      <c r="AD116" t="n">
        <v>26</v>
      </c>
      <c r="AE116" t="n">
        <v>63</v>
      </c>
      <c r="AF116" t="n">
        <v>9</v>
      </c>
      <c r="AG116" t="n">
        <v>21</v>
      </c>
      <c r="AH116" t="n">
        <v>4</v>
      </c>
      <c r="AI116" t="n">
        <v>10</v>
      </c>
      <c r="AJ116" t="n">
        <v>13</v>
      </c>
      <c r="AK116" t="n">
        <v>23</v>
      </c>
      <c r="AL116" t="n">
        <v>1</v>
      </c>
      <c r="AM116" t="n">
        <v>13</v>
      </c>
      <c r="AN116" t="n">
        <v>7</v>
      </c>
      <c r="AO116" t="n">
        <v>7</v>
      </c>
      <c r="AP116" t="inlineStr">
        <is>
          <t>No</t>
        </is>
      </c>
      <c r="AQ116" t="inlineStr">
        <is>
          <t>No</t>
        </is>
      </c>
      <c r="AS116">
        <f>HYPERLINK("https://creighton-primo.hosted.exlibrisgroup.com/primo-explore/search?tab=default_tab&amp;search_scope=EVERYTHING&amp;vid=01CRU&amp;lang=en_US&amp;offset=0&amp;query=any,contains,991000670689702656","Catalog Record")</f>
        <v/>
      </c>
      <c r="AT116">
        <f>HYPERLINK("http://www.worldcat.org/oclc/29564578","WorldCat Record")</f>
        <v/>
      </c>
      <c r="AU116" t="inlineStr">
        <is>
          <t>1039131509:eng</t>
        </is>
      </c>
      <c r="AV116" t="inlineStr">
        <is>
          <t>29564578</t>
        </is>
      </c>
      <c r="AW116" t="inlineStr">
        <is>
          <t>991000670689702656</t>
        </is>
      </c>
      <c r="AX116" t="inlineStr">
        <is>
          <t>991000670689702656</t>
        </is>
      </c>
      <c r="AY116" t="inlineStr">
        <is>
          <t>2255519150002656</t>
        </is>
      </c>
      <c r="AZ116" t="inlineStr">
        <is>
          <t>BOOK</t>
        </is>
      </c>
      <c r="BB116" t="inlineStr">
        <is>
          <t>9780309047982</t>
        </is>
      </c>
      <c r="BC116" t="inlineStr">
        <is>
          <t>30001002695932</t>
        </is>
      </c>
      <c r="BD116" t="inlineStr">
        <is>
          <t>893642316</t>
        </is>
      </c>
    </row>
    <row r="117">
      <c r="A117" t="inlineStr">
        <is>
          <t>No</t>
        </is>
      </c>
      <c r="B117" t="inlineStr">
        <is>
          <t>QZ 50 C678c 1984</t>
        </is>
      </c>
      <c r="C117" t="inlineStr">
        <is>
          <t>0                      QZ 0050000C  678c        1984</t>
        </is>
      </c>
      <c r="D117" t="inlineStr">
        <is>
          <t>Clinical genetics in nursing practice / Felissa L. Cohen.</t>
        </is>
      </c>
      <c r="F117" t="inlineStr">
        <is>
          <t>No</t>
        </is>
      </c>
      <c r="G117" t="inlineStr">
        <is>
          <t>1</t>
        </is>
      </c>
      <c r="H117" t="inlineStr">
        <is>
          <t>No</t>
        </is>
      </c>
      <c r="I117" t="inlineStr">
        <is>
          <t>Yes</t>
        </is>
      </c>
      <c r="J117" t="inlineStr">
        <is>
          <t>1</t>
        </is>
      </c>
      <c r="K117" t="inlineStr">
        <is>
          <t>Lashley, Felissa R., 1941-</t>
        </is>
      </c>
      <c r="L117" t="inlineStr">
        <is>
          <t>Philadelphia : Lippincott, c1984.</t>
        </is>
      </c>
      <c r="M117" t="inlineStr">
        <is>
          <t>1984</t>
        </is>
      </c>
      <c r="O117" t="inlineStr">
        <is>
          <t>eng</t>
        </is>
      </c>
      <c r="P117" t="inlineStr">
        <is>
          <t>xxu</t>
        </is>
      </c>
      <c r="R117" t="inlineStr">
        <is>
          <t xml:space="preserve">QZ </t>
        </is>
      </c>
      <c r="S117" t="n">
        <v>3</v>
      </c>
      <c r="T117" t="n">
        <v>3</v>
      </c>
      <c r="U117" t="inlineStr">
        <is>
          <t>1995-11-26</t>
        </is>
      </c>
      <c r="V117" t="inlineStr">
        <is>
          <t>1995-11-26</t>
        </is>
      </c>
      <c r="W117" t="inlineStr">
        <is>
          <t>1987-10-03</t>
        </is>
      </c>
      <c r="X117" t="inlineStr">
        <is>
          <t>1987-10-03</t>
        </is>
      </c>
      <c r="Y117" t="n">
        <v>193</v>
      </c>
      <c r="Z117" t="n">
        <v>165</v>
      </c>
      <c r="AA117" t="n">
        <v>539</v>
      </c>
      <c r="AB117" t="n">
        <v>1</v>
      </c>
      <c r="AC117" t="n">
        <v>2</v>
      </c>
      <c r="AD117" t="n">
        <v>7</v>
      </c>
      <c r="AE117" t="n">
        <v>21</v>
      </c>
      <c r="AF117" t="n">
        <v>3</v>
      </c>
      <c r="AG117" t="n">
        <v>9</v>
      </c>
      <c r="AH117" t="n">
        <v>1</v>
      </c>
      <c r="AI117" t="n">
        <v>3</v>
      </c>
      <c r="AJ117" t="n">
        <v>5</v>
      </c>
      <c r="AK117" t="n">
        <v>11</v>
      </c>
      <c r="AL117" t="n">
        <v>0</v>
      </c>
      <c r="AM117" t="n">
        <v>1</v>
      </c>
      <c r="AN117" t="n">
        <v>0</v>
      </c>
      <c r="AO117" t="n">
        <v>0</v>
      </c>
      <c r="AP117" t="inlineStr">
        <is>
          <t>No</t>
        </is>
      </c>
      <c r="AQ117" t="inlineStr">
        <is>
          <t>Yes</t>
        </is>
      </c>
      <c r="AR117">
        <f>HYPERLINK("http://catalog.hathitrust.org/Record/000325893","HathiTrust Record")</f>
        <v/>
      </c>
      <c r="AS117">
        <f>HYPERLINK("https://creighton-primo.hosted.exlibrisgroup.com/primo-explore/search?tab=default_tab&amp;search_scope=EVERYTHING&amp;vid=01CRU&amp;lang=en_US&amp;offset=0&amp;query=any,contains,991000757119702656","Catalog Record")</f>
        <v/>
      </c>
      <c r="AT117">
        <f>HYPERLINK("http://www.worldcat.org/oclc/9945290","WorldCat Record")</f>
        <v/>
      </c>
      <c r="AU117" t="inlineStr">
        <is>
          <t>966119:eng</t>
        </is>
      </c>
      <c r="AV117" t="inlineStr">
        <is>
          <t>9945290</t>
        </is>
      </c>
      <c r="AW117" t="inlineStr">
        <is>
          <t>991000757119702656</t>
        </is>
      </c>
      <c r="AX117" t="inlineStr">
        <is>
          <t>991000757119702656</t>
        </is>
      </c>
      <c r="AY117" t="inlineStr">
        <is>
          <t>2264832740002656</t>
        </is>
      </c>
      <c r="AZ117" t="inlineStr">
        <is>
          <t>BOOK</t>
        </is>
      </c>
      <c r="BB117" t="inlineStr">
        <is>
          <t>9780397544073</t>
        </is>
      </c>
      <c r="BC117" t="inlineStr">
        <is>
          <t>30001000053639</t>
        </is>
      </c>
      <c r="BD117" t="inlineStr">
        <is>
          <t>893540432</t>
        </is>
      </c>
    </row>
    <row r="118">
      <c r="A118" t="inlineStr">
        <is>
          <t>No</t>
        </is>
      </c>
      <c r="B118" t="inlineStr">
        <is>
          <t>QZ 50 C752e 1993</t>
        </is>
      </c>
      <c r="C118" t="inlineStr">
        <is>
          <t>0                      QZ 0050000C  752e        1993</t>
        </is>
      </c>
      <c r="D118" t="inlineStr">
        <is>
          <t>Essential medical genetics / J.M. Connor, M.A. Ferguson-Smith.</t>
        </is>
      </c>
      <c r="F118" t="inlineStr">
        <is>
          <t>No</t>
        </is>
      </c>
      <c r="G118" t="inlineStr">
        <is>
          <t>1</t>
        </is>
      </c>
      <c r="H118" t="inlineStr">
        <is>
          <t>No</t>
        </is>
      </c>
      <c r="I118" t="inlineStr">
        <is>
          <t>No</t>
        </is>
      </c>
      <c r="J118" t="inlineStr">
        <is>
          <t>0</t>
        </is>
      </c>
      <c r="K118" t="inlineStr">
        <is>
          <t>Connor, J. M. (James Michael), 1951-</t>
        </is>
      </c>
      <c r="L118" t="inlineStr">
        <is>
          <t>Oxford ; Boston : Blackwell Scientific Publications, c1993.</t>
        </is>
      </c>
      <c r="M118" t="inlineStr">
        <is>
          <t>1993</t>
        </is>
      </c>
      <c r="N118" t="inlineStr">
        <is>
          <t>4th ed.</t>
        </is>
      </c>
      <c r="O118" t="inlineStr">
        <is>
          <t>eng</t>
        </is>
      </c>
      <c r="P118" t="inlineStr">
        <is>
          <t>enk</t>
        </is>
      </c>
      <c r="R118" t="inlineStr">
        <is>
          <t xml:space="preserve">QZ </t>
        </is>
      </c>
      <c r="S118" t="n">
        <v>25</v>
      </c>
      <c r="T118" t="n">
        <v>25</v>
      </c>
      <c r="U118" t="inlineStr">
        <is>
          <t>2001-10-01</t>
        </is>
      </c>
      <c r="V118" t="inlineStr">
        <is>
          <t>2001-10-01</t>
        </is>
      </c>
      <c r="W118" t="inlineStr">
        <is>
          <t>1993-08-19</t>
        </is>
      </c>
      <c r="X118" t="inlineStr">
        <is>
          <t>1993-08-19</t>
        </is>
      </c>
      <c r="Y118" t="n">
        <v>168</v>
      </c>
      <c r="Z118" t="n">
        <v>74</v>
      </c>
      <c r="AA118" t="n">
        <v>625</v>
      </c>
      <c r="AB118" t="n">
        <v>2</v>
      </c>
      <c r="AC118" t="n">
        <v>6</v>
      </c>
      <c r="AD118" t="n">
        <v>2</v>
      </c>
      <c r="AE118" t="n">
        <v>26</v>
      </c>
      <c r="AF118" t="n">
        <v>0</v>
      </c>
      <c r="AG118" t="n">
        <v>9</v>
      </c>
      <c r="AH118" t="n">
        <v>0</v>
      </c>
      <c r="AI118" t="n">
        <v>6</v>
      </c>
      <c r="AJ118" t="n">
        <v>1</v>
      </c>
      <c r="AK118" t="n">
        <v>10</v>
      </c>
      <c r="AL118" t="n">
        <v>1</v>
      </c>
      <c r="AM118" t="n">
        <v>5</v>
      </c>
      <c r="AN118" t="n">
        <v>0</v>
      </c>
      <c r="AO118" t="n">
        <v>1</v>
      </c>
      <c r="AP118" t="inlineStr">
        <is>
          <t>No</t>
        </is>
      </c>
      <c r="AQ118" t="inlineStr">
        <is>
          <t>No</t>
        </is>
      </c>
      <c r="AS118">
        <f>HYPERLINK("https://creighton-primo.hosted.exlibrisgroup.com/primo-explore/search?tab=default_tab&amp;search_scope=EVERYTHING&amp;vid=01CRU&amp;lang=en_US&amp;offset=0&amp;query=any,contains,991001502379702656","Catalog Record")</f>
        <v/>
      </c>
      <c r="AT118">
        <f>HYPERLINK("http://www.worldcat.org/oclc/27147628","WorldCat Record")</f>
        <v/>
      </c>
      <c r="AU118" t="inlineStr">
        <is>
          <t>345225:eng</t>
        </is>
      </c>
      <c r="AV118" t="inlineStr">
        <is>
          <t>27147628</t>
        </is>
      </c>
      <c r="AW118" t="inlineStr">
        <is>
          <t>991001502379702656</t>
        </is>
      </c>
      <c r="AX118" t="inlineStr">
        <is>
          <t>991001502379702656</t>
        </is>
      </c>
      <c r="AY118" t="inlineStr">
        <is>
          <t>2255968920002656</t>
        </is>
      </c>
      <c r="AZ118" t="inlineStr">
        <is>
          <t>BOOK</t>
        </is>
      </c>
      <c r="BB118" t="inlineStr">
        <is>
          <t>9780632032280</t>
        </is>
      </c>
      <c r="BC118" t="inlineStr">
        <is>
          <t>30001002594911</t>
        </is>
      </c>
      <c r="BD118" t="inlineStr">
        <is>
          <t>893546768</t>
        </is>
      </c>
    </row>
    <row r="119">
      <c r="A119" t="inlineStr">
        <is>
          <t>No</t>
        </is>
      </c>
      <c r="B119" t="inlineStr">
        <is>
          <t>QZ50 C934 1996</t>
        </is>
      </c>
      <c r="C119" t="inlineStr">
        <is>
          <t>0                      QZ 0050000C  934         1996</t>
        </is>
      </c>
      <c r="D119" t="inlineStr">
        <is>
          <t>Critical decisions : genetic testing and its implications / National Conference of Catholic Bishops Committee on Science and Human Values.</t>
        </is>
      </c>
      <c r="F119" t="inlineStr">
        <is>
          <t>No</t>
        </is>
      </c>
      <c r="G119" t="inlineStr">
        <is>
          <t>1</t>
        </is>
      </c>
      <c r="H119" t="inlineStr">
        <is>
          <t>No</t>
        </is>
      </c>
      <c r="I119" t="inlineStr">
        <is>
          <t>No</t>
        </is>
      </c>
      <c r="J119" t="inlineStr">
        <is>
          <t>0</t>
        </is>
      </c>
      <c r="L119" t="inlineStr">
        <is>
          <t>Washington, D.C. : United States Catholic Conference, c1996</t>
        </is>
      </c>
      <c r="M119" t="inlineStr">
        <is>
          <t>1996</t>
        </is>
      </c>
      <c r="O119" t="inlineStr">
        <is>
          <t>eng</t>
        </is>
      </c>
      <c r="P119" t="inlineStr">
        <is>
          <t>dcu</t>
        </is>
      </c>
      <c r="Q119" t="inlineStr">
        <is>
          <t>Publication (United States Catholic Conference)</t>
        </is>
      </c>
      <c r="R119" t="inlineStr">
        <is>
          <t xml:space="preserve">QZ </t>
        </is>
      </c>
      <c r="S119" t="n">
        <v>1</v>
      </c>
      <c r="T119" t="n">
        <v>1</v>
      </c>
      <c r="U119" t="inlineStr">
        <is>
          <t>2003-02-04</t>
        </is>
      </c>
      <c r="V119" t="inlineStr">
        <is>
          <t>2003-02-04</t>
        </is>
      </c>
      <c r="W119" t="inlineStr">
        <is>
          <t>2002-07-11</t>
        </is>
      </c>
      <c r="X119" t="inlineStr">
        <is>
          <t>2002-07-11</t>
        </is>
      </c>
      <c r="Y119" t="n">
        <v>16</v>
      </c>
      <c r="Z119" t="n">
        <v>16</v>
      </c>
      <c r="AA119" t="n">
        <v>18</v>
      </c>
      <c r="AB119" t="n">
        <v>1</v>
      </c>
      <c r="AC119" t="n">
        <v>1</v>
      </c>
      <c r="AD119" t="n">
        <v>1</v>
      </c>
      <c r="AE119" t="n">
        <v>1</v>
      </c>
      <c r="AF119" t="n">
        <v>0</v>
      </c>
      <c r="AG119" t="n">
        <v>0</v>
      </c>
      <c r="AH119" t="n">
        <v>1</v>
      </c>
      <c r="AI119" t="n">
        <v>1</v>
      </c>
      <c r="AJ119" t="n">
        <v>1</v>
      </c>
      <c r="AK119" t="n">
        <v>1</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HYPERLINK("https://creighton-primo.hosted.exlibrisgroup.com/primo-explore/search?tab=default_tab&amp;search_scope=EVERYTHING&amp;vid=01CRU&amp;lang=en_US&amp;offset=0&amp;query=any,contains,991000324779702656","Catalog Record")</f>
        <v/>
      </c>
      <c r="AT119">
        <f>HYPERLINK("http://www.worldcat.org/oclc/38024428","WorldCat Record")</f>
        <v/>
      </c>
      <c r="AU119" t="inlineStr">
        <is>
          <t>41974424:eng</t>
        </is>
      </c>
      <c r="AV119" t="inlineStr">
        <is>
          <t>38024428</t>
        </is>
      </c>
      <c r="AW119" t="inlineStr">
        <is>
          <t>991000324779702656</t>
        </is>
      </c>
      <c r="AX119" t="inlineStr">
        <is>
          <t>991000324779702656</t>
        </is>
      </c>
      <c r="AY119" t="inlineStr">
        <is>
          <t>2264187280002656</t>
        </is>
      </c>
      <c r="AZ119" t="inlineStr">
        <is>
          <t>BOOK</t>
        </is>
      </c>
      <c r="BB119" t="inlineStr">
        <is>
          <t>9781574551129</t>
        </is>
      </c>
      <c r="BC119" t="inlineStr">
        <is>
          <t>30001004238194</t>
        </is>
      </c>
      <c r="BD119" t="inlineStr">
        <is>
          <t>893447191</t>
        </is>
      </c>
    </row>
    <row r="120">
      <c r="A120" t="inlineStr">
        <is>
          <t>No</t>
        </is>
      </c>
      <c r="B120" t="inlineStr">
        <is>
          <t>QZ50 C967 1996</t>
        </is>
      </c>
      <c r="C120" t="inlineStr">
        <is>
          <t>0                      QZ 0050000C  967         1996</t>
        </is>
      </c>
      <c r="D120" t="inlineStr">
        <is>
          <t>Cultural and ethnic diversity : a guide for genetics professionals / edited by Nancy L. Fisher.</t>
        </is>
      </c>
      <c r="F120" t="inlineStr">
        <is>
          <t>No</t>
        </is>
      </c>
      <c r="G120" t="inlineStr">
        <is>
          <t>1</t>
        </is>
      </c>
      <c r="H120" t="inlineStr">
        <is>
          <t>No</t>
        </is>
      </c>
      <c r="I120" t="inlineStr">
        <is>
          <t>No</t>
        </is>
      </c>
      <c r="J120" t="inlineStr">
        <is>
          <t>0</t>
        </is>
      </c>
      <c r="L120" t="inlineStr">
        <is>
          <t>Baltimore : Johns Hopkins University Press, 1996.</t>
        </is>
      </c>
      <c r="M120" t="inlineStr">
        <is>
          <t>1996</t>
        </is>
      </c>
      <c r="O120" t="inlineStr">
        <is>
          <t>eng</t>
        </is>
      </c>
      <c r="P120" t="inlineStr">
        <is>
          <t>mdu</t>
        </is>
      </c>
      <c r="R120" t="inlineStr">
        <is>
          <t xml:space="preserve">QZ </t>
        </is>
      </c>
      <c r="S120" t="n">
        <v>0</v>
      </c>
      <c r="T120" t="n">
        <v>0</v>
      </c>
      <c r="U120" t="inlineStr">
        <is>
          <t>2004-06-06</t>
        </is>
      </c>
      <c r="V120" t="inlineStr">
        <is>
          <t>2004-06-06</t>
        </is>
      </c>
      <c r="W120" t="inlineStr">
        <is>
          <t>2004-06-06</t>
        </is>
      </c>
      <c r="X120" t="inlineStr">
        <is>
          <t>2004-06-06</t>
        </is>
      </c>
      <c r="Y120" t="n">
        <v>344</v>
      </c>
      <c r="Z120" t="n">
        <v>306</v>
      </c>
      <c r="AA120" t="n">
        <v>311</v>
      </c>
      <c r="AB120" t="n">
        <v>3</v>
      </c>
      <c r="AC120" t="n">
        <v>3</v>
      </c>
      <c r="AD120" t="n">
        <v>20</v>
      </c>
      <c r="AE120" t="n">
        <v>20</v>
      </c>
      <c r="AF120" t="n">
        <v>8</v>
      </c>
      <c r="AG120" t="n">
        <v>8</v>
      </c>
      <c r="AH120" t="n">
        <v>4</v>
      </c>
      <c r="AI120" t="n">
        <v>4</v>
      </c>
      <c r="AJ120" t="n">
        <v>12</v>
      </c>
      <c r="AK120" t="n">
        <v>12</v>
      </c>
      <c r="AL120" t="n">
        <v>2</v>
      </c>
      <c r="AM120" t="n">
        <v>2</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HYPERLINK("https://creighton-primo.hosted.exlibrisgroup.com/primo-explore/search?tab=default_tab&amp;search_scope=EVERYTHING&amp;vid=01CRU&amp;lang=en_US&amp;offset=0&amp;query=any,contains,991000372919702656","Catalog Record")</f>
        <v/>
      </c>
      <c r="AT120">
        <f>HYPERLINK("http://www.worldcat.org/oclc/34409960","WorldCat Record")</f>
        <v/>
      </c>
      <c r="AU120" t="inlineStr">
        <is>
          <t>39345662:eng</t>
        </is>
      </c>
      <c r="AV120" t="inlineStr">
        <is>
          <t>34409960</t>
        </is>
      </c>
      <c r="AW120" t="inlineStr">
        <is>
          <t>991000372919702656</t>
        </is>
      </c>
      <c r="AX120" t="inlineStr">
        <is>
          <t>991000372919702656</t>
        </is>
      </c>
      <c r="AY120" t="inlineStr">
        <is>
          <t>2256022490002656</t>
        </is>
      </c>
      <c r="AZ120" t="inlineStr">
        <is>
          <t>BOOK</t>
        </is>
      </c>
      <c r="BB120" t="inlineStr">
        <is>
          <t>9780801853463</t>
        </is>
      </c>
      <c r="BC120" t="inlineStr">
        <is>
          <t>30001004509883</t>
        </is>
      </c>
      <c r="BD120" t="inlineStr">
        <is>
          <t>893269415</t>
        </is>
      </c>
    </row>
    <row r="121">
      <c r="A121" t="inlineStr">
        <is>
          <t>No</t>
        </is>
      </c>
      <c r="B121" t="inlineStr">
        <is>
          <t>QZ 50 C968g 1994</t>
        </is>
      </c>
      <c r="C121" t="inlineStr">
        <is>
          <t>0                      QZ 0050000C  968g        1994</t>
        </is>
      </c>
      <c r="D121" t="inlineStr">
        <is>
          <t>Gene therapy : a handbook for physicians / Kenneth W. Culver.</t>
        </is>
      </c>
      <c r="F121" t="inlineStr">
        <is>
          <t>No</t>
        </is>
      </c>
      <c r="G121" t="inlineStr">
        <is>
          <t>1</t>
        </is>
      </c>
      <c r="H121" t="inlineStr">
        <is>
          <t>No</t>
        </is>
      </c>
      <c r="I121" t="inlineStr">
        <is>
          <t>No</t>
        </is>
      </c>
      <c r="J121" t="inlineStr">
        <is>
          <t>0</t>
        </is>
      </c>
      <c r="K121" t="inlineStr">
        <is>
          <t>Culver, Kenneth W.</t>
        </is>
      </c>
      <c r="L121" t="inlineStr">
        <is>
          <t>New York, NY : Liebert, c1994.</t>
        </is>
      </c>
      <c r="M121" t="inlineStr">
        <is>
          <t>1994</t>
        </is>
      </c>
      <c r="O121" t="inlineStr">
        <is>
          <t>eng</t>
        </is>
      </c>
      <c r="P121" t="inlineStr">
        <is>
          <t>xxu</t>
        </is>
      </c>
      <c r="R121" t="inlineStr">
        <is>
          <t xml:space="preserve">QZ </t>
        </is>
      </c>
      <c r="S121" t="n">
        <v>7</v>
      </c>
      <c r="T121" t="n">
        <v>7</v>
      </c>
      <c r="U121" t="inlineStr">
        <is>
          <t>2002-02-08</t>
        </is>
      </c>
      <c r="V121" t="inlineStr">
        <is>
          <t>2002-02-08</t>
        </is>
      </c>
      <c r="W121" t="inlineStr">
        <is>
          <t>1997-07-02</t>
        </is>
      </c>
      <c r="X121" t="inlineStr">
        <is>
          <t>1997-07-02</t>
        </is>
      </c>
      <c r="Y121" t="n">
        <v>76</v>
      </c>
      <c r="Z121" t="n">
        <v>55</v>
      </c>
      <c r="AA121" t="n">
        <v>135</v>
      </c>
      <c r="AB121" t="n">
        <v>1</v>
      </c>
      <c r="AC121" t="n">
        <v>1</v>
      </c>
      <c r="AD121" t="n">
        <v>2</v>
      </c>
      <c r="AE121" t="n">
        <v>4</v>
      </c>
      <c r="AF121" t="n">
        <v>0</v>
      </c>
      <c r="AG121" t="n">
        <v>1</v>
      </c>
      <c r="AH121" t="n">
        <v>0</v>
      </c>
      <c r="AI121" t="n">
        <v>1</v>
      </c>
      <c r="AJ121" t="n">
        <v>2</v>
      </c>
      <c r="AK121" t="n">
        <v>2</v>
      </c>
      <c r="AL121" t="n">
        <v>0</v>
      </c>
      <c r="AM121" t="n">
        <v>0</v>
      </c>
      <c r="AN121" t="n">
        <v>0</v>
      </c>
      <c r="AO121" t="n">
        <v>0</v>
      </c>
      <c r="AP121" t="inlineStr">
        <is>
          <t>No</t>
        </is>
      </c>
      <c r="AQ121" t="inlineStr">
        <is>
          <t>Yes</t>
        </is>
      </c>
      <c r="AR121">
        <f>HYPERLINK("http://catalog.hathitrust.org/Record/002938385","HathiTrust Record")</f>
        <v/>
      </c>
      <c r="AS121">
        <f>HYPERLINK("https://creighton-primo.hosted.exlibrisgroup.com/primo-explore/search?tab=default_tab&amp;search_scope=EVERYTHING&amp;vid=01CRU&amp;lang=en_US&amp;offset=0&amp;query=any,contains,991001560249702656","Catalog Record")</f>
        <v/>
      </c>
      <c r="AT121">
        <f>HYPERLINK("http://www.worldcat.org/oclc/34663723","WorldCat Record")</f>
        <v/>
      </c>
      <c r="AU121" t="inlineStr">
        <is>
          <t>653728:eng</t>
        </is>
      </c>
      <c r="AV121" t="inlineStr">
        <is>
          <t>34663723</t>
        </is>
      </c>
      <c r="AW121" t="inlineStr">
        <is>
          <t>991001560249702656</t>
        </is>
      </c>
      <c r="AX121" t="inlineStr">
        <is>
          <t>991001560249702656</t>
        </is>
      </c>
      <c r="AY121" t="inlineStr">
        <is>
          <t>2263020730002656</t>
        </is>
      </c>
      <c r="AZ121" t="inlineStr">
        <is>
          <t>BOOK</t>
        </is>
      </c>
      <c r="BB121" t="inlineStr">
        <is>
          <t>9780913113639</t>
        </is>
      </c>
      <c r="BC121" t="inlineStr">
        <is>
          <t>30001003670835</t>
        </is>
      </c>
      <c r="BD121" t="inlineStr">
        <is>
          <t>893162153</t>
        </is>
      </c>
    </row>
    <row r="122">
      <c r="A122" t="inlineStr">
        <is>
          <t>No</t>
        </is>
      </c>
      <c r="B122" t="inlineStr">
        <is>
          <t>QZ 50 E533 1997</t>
        </is>
      </c>
      <c r="C122" t="inlineStr">
        <is>
          <t>0                      QZ 0050000E  533         1997</t>
        </is>
      </c>
      <c r="D122" t="inlineStr">
        <is>
          <t>Emery and Rimoin's principles and practice of medical genetics / edited by David L. Rimoin, J. Michael Connor, Reed E. Pyeritz.</t>
        </is>
      </c>
      <c r="E122" t="inlineStr">
        <is>
          <t>V. 2</t>
        </is>
      </c>
      <c r="F122" t="inlineStr">
        <is>
          <t>Yes</t>
        </is>
      </c>
      <c r="G122" t="inlineStr">
        <is>
          <t>1</t>
        </is>
      </c>
      <c r="H122" t="inlineStr">
        <is>
          <t>No</t>
        </is>
      </c>
      <c r="I122" t="inlineStr">
        <is>
          <t>Yes</t>
        </is>
      </c>
      <c r="J122" t="inlineStr">
        <is>
          <t>0</t>
        </is>
      </c>
      <c r="L122" t="inlineStr">
        <is>
          <t>New York : Churchill Livingstone, c1996.</t>
        </is>
      </c>
      <c r="M122" t="inlineStr">
        <is>
          <t>1996</t>
        </is>
      </c>
      <c r="N122" t="inlineStr">
        <is>
          <t>3rd ed.</t>
        </is>
      </c>
      <c r="O122" t="inlineStr">
        <is>
          <t>eng</t>
        </is>
      </c>
      <c r="P122" t="inlineStr">
        <is>
          <t>nyu</t>
        </is>
      </c>
      <c r="R122" t="inlineStr">
        <is>
          <t xml:space="preserve">QZ </t>
        </is>
      </c>
      <c r="S122" t="n">
        <v>3</v>
      </c>
      <c r="T122" t="n">
        <v>12</v>
      </c>
      <c r="U122" t="inlineStr">
        <is>
          <t>2000-01-20</t>
        </is>
      </c>
      <c r="V122" t="inlineStr">
        <is>
          <t>2001-01-27</t>
        </is>
      </c>
      <c r="W122" t="inlineStr">
        <is>
          <t>1998-03-02</t>
        </is>
      </c>
      <c r="X122" t="inlineStr">
        <is>
          <t>1998-03-02</t>
        </is>
      </c>
      <c r="Y122" t="n">
        <v>44</v>
      </c>
      <c r="Z122" t="n">
        <v>28</v>
      </c>
      <c r="AA122" t="n">
        <v>406</v>
      </c>
      <c r="AB122" t="n">
        <v>1</v>
      </c>
      <c r="AC122" t="n">
        <v>4</v>
      </c>
      <c r="AD122" t="n">
        <v>1</v>
      </c>
      <c r="AE122" t="n">
        <v>13</v>
      </c>
      <c r="AF122" t="n">
        <v>0</v>
      </c>
      <c r="AG122" t="n">
        <v>4</v>
      </c>
      <c r="AH122" t="n">
        <v>0</v>
      </c>
      <c r="AI122" t="n">
        <v>4</v>
      </c>
      <c r="AJ122" t="n">
        <v>1</v>
      </c>
      <c r="AK122" t="n">
        <v>4</v>
      </c>
      <c r="AL122" t="n">
        <v>0</v>
      </c>
      <c r="AM122" t="n">
        <v>3</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HYPERLINK("https://creighton-primo.hosted.exlibrisgroup.com/primo-explore/search?tab=default_tab&amp;search_scope=EVERYTHING&amp;vid=01CRU&amp;lang=en_US&amp;offset=0&amp;query=any,contains,991001268329702656","Catalog Record")</f>
        <v/>
      </c>
      <c r="AT122">
        <f>HYPERLINK("http://www.worldcat.org/oclc/36225806","WorldCat Record")</f>
        <v/>
      </c>
      <c r="AU122" t="inlineStr">
        <is>
          <t>502084828:eng</t>
        </is>
      </c>
      <c r="AV122" t="inlineStr">
        <is>
          <t>36225806</t>
        </is>
      </c>
      <c r="AW122" t="inlineStr">
        <is>
          <t>991001268329702656</t>
        </is>
      </c>
      <c r="AX122" t="inlineStr">
        <is>
          <t>991001268329702656</t>
        </is>
      </c>
      <c r="AY122" t="inlineStr">
        <is>
          <t>2272452870002656</t>
        </is>
      </c>
      <c r="AZ122" t="inlineStr">
        <is>
          <t>BOOK</t>
        </is>
      </c>
      <c r="BB122" t="inlineStr">
        <is>
          <t>9780443048517</t>
        </is>
      </c>
      <c r="BC122" t="inlineStr">
        <is>
          <t>30001003693936</t>
        </is>
      </c>
      <c r="BD122" t="inlineStr">
        <is>
          <t>893369275</t>
        </is>
      </c>
    </row>
    <row r="123">
      <c r="A123" t="inlineStr">
        <is>
          <t>No</t>
        </is>
      </c>
      <c r="B123" t="inlineStr">
        <is>
          <t>QZ 50 E533 1997</t>
        </is>
      </c>
      <c r="C123" t="inlineStr">
        <is>
          <t>0                      QZ 0050000E  533         1997</t>
        </is>
      </c>
      <c r="D123" t="inlineStr">
        <is>
          <t>Emery and Rimoin's principles and practice of medical genetics / edited by David L. Rimoin, J. Michael Connor, Reed E. Pyeritz.</t>
        </is>
      </c>
      <c r="E123" t="inlineStr">
        <is>
          <t>V. 1</t>
        </is>
      </c>
      <c r="F123" t="inlineStr">
        <is>
          <t>Yes</t>
        </is>
      </c>
      <c r="G123" t="inlineStr">
        <is>
          <t>1</t>
        </is>
      </c>
      <c r="H123" t="inlineStr">
        <is>
          <t>No</t>
        </is>
      </c>
      <c r="I123" t="inlineStr">
        <is>
          <t>Yes</t>
        </is>
      </c>
      <c r="J123" t="inlineStr">
        <is>
          <t>0</t>
        </is>
      </c>
      <c r="L123" t="inlineStr">
        <is>
          <t>New York : Churchill Livingstone, c1996.</t>
        </is>
      </c>
      <c r="M123" t="inlineStr">
        <is>
          <t>1996</t>
        </is>
      </c>
      <c r="N123" t="inlineStr">
        <is>
          <t>3rd ed.</t>
        </is>
      </c>
      <c r="O123" t="inlineStr">
        <is>
          <t>eng</t>
        </is>
      </c>
      <c r="P123" t="inlineStr">
        <is>
          <t>nyu</t>
        </is>
      </c>
      <c r="R123" t="inlineStr">
        <is>
          <t xml:space="preserve">QZ </t>
        </is>
      </c>
      <c r="S123" t="n">
        <v>9</v>
      </c>
      <c r="T123" t="n">
        <v>12</v>
      </c>
      <c r="U123" t="inlineStr">
        <is>
          <t>2001-01-27</t>
        </is>
      </c>
      <c r="V123" t="inlineStr">
        <is>
          <t>2001-01-27</t>
        </is>
      </c>
      <c r="W123" t="inlineStr">
        <is>
          <t>1998-03-02</t>
        </is>
      </c>
      <c r="X123" t="inlineStr">
        <is>
          <t>1998-03-02</t>
        </is>
      </c>
      <c r="Y123" t="n">
        <v>44</v>
      </c>
      <c r="Z123" t="n">
        <v>28</v>
      </c>
      <c r="AA123" t="n">
        <v>406</v>
      </c>
      <c r="AB123" t="n">
        <v>1</v>
      </c>
      <c r="AC123" t="n">
        <v>4</v>
      </c>
      <c r="AD123" t="n">
        <v>1</v>
      </c>
      <c r="AE123" t="n">
        <v>13</v>
      </c>
      <c r="AF123" t="n">
        <v>0</v>
      </c>
      <c r="AG123" t="n">
        <v>4</v>
      </c>
      <c r="AH123" t="n">
        <v>0</v>
      </c>
      <c r="AI123" t="n">
        <v>4</v>
      </c>
      <c r="AJ123" t="n">
        <v>1</v>
      </c>
      <c r="AK123" t="n">
        <v>4</v>
      </c>
      <c r="AL123" t="n">
        <v>0</v>
      </c>
      <c r="AM123" t="n">
        <v>3</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HYPERLINK("https://creighton-primo.hosted.exlibrisgroup.com/primo-explore/search?tab=default_tab&amp;search_scope=EVERYTHING&amp;vid=01CRU&amp;lang=en_US&amp;offset=0&amp;query=any,contains,991001268329702656","Catalog Record")</f>
        <v/>
      </c>
      <c r="AT123">
        <f>HYPERLINK("http://www.worldcat.org/oclc/36225806","WorldCat Record")</f>
        <v/>
      </c>
      <c r="AU123" t="inlineStr">
        <is>
          <t>502084828:eng</t>
        </is>
      </c>
      <c r="AV123" t="inlineStr">
        <is>
          <t>36225806</t>
        </is>
      </c>
      <c r="AW123" t="inlineStr">
        <is>
          <t>991001268329702656</t>
        </is>
      </c>
      <c r="AX123" t="inlineStr">
        <is>
          <t>991001268329702656</t>
        </is>
      </c>
      <c r="AY123" t="inlineStr">
        <is>
          <t>2272452870002656</t>
        </is>
      </c>
      <c r="AZ123" t="inlineStr">
        <is>
          <t>BOOK</t>
        </is>
      </c>
      <c r="BB123" t="inlineStr">
        <is>
          <t>9780443048517</t>
        </is>
      </c>
      <c r="BC123" t="inlineStr">
        <is>
          <t>30001003693928</t>
        </is>
      </c>
      <c r="BD123" t="inlineStr">
        <is>
          <t>893358406</t>
        </is>
      </c>
    </row>
    <row r="124">
      <c r="A124" t="inlineStr">
        <is>
          <t>No</t>
        </is>
      </c>
      <c r="B124" t="inlineStr">
        <is>
          <t>QZ50 E533 2002 V.1</t>
        </is>
      </c>
      <c r="C124" t="inlineStr">
        <is>
          <t>0                      QZ 0050000E  533         2002                                        V.1</t>
        </is>
      </c>
      <c r="D124" t="inlineStr">
        <is>
          <t>Emery and Rimoin's principles and practice of medical genetics / edited by David L. Rimoin ... [et al.].</t>
        </is>
      </c>
      <c r="E124" t="inlineStr">
        <is>
          <t>V. 1</t>
        </is>
      </c>
      <c r="F124" t="inlineStr">
        <is>
          <t>Yes</t>
        </is>
      </c>
      <c r="G124" t="inlineStr">
        <is>
          <t>1</t>
        </is>
      </c>
      <c r="H124" t="inlineStr">
        <is>
          <t>No</t>
        </is>
      </c>
      <c r="I124" t="inlineStr">
        <is>
          <t>Yes</t>
        </is>
      </c>
      <c r="J124" t="inlineStr">
        <is>
          <t>0</t>
        </is>
      </c>
      <c r="L124" t="inlineStr">
        <is>
          <t>New York : Churchill Livingstone, 2002.</t>
        </is>
      </c>
      <c r="M124" t="inlineStr">
        <is>
          <t>2002</t>
        </is>
      </c>
      <c r="N124" t="inlineStr">
        <is>
          <t>4th ed.</t>
        </is>
      </c>
      <c r="O124" t="inlineStr">
        <is>
          <t>eng</t>
        </is>
      </c>
      <c r="P124" t="inlineStr">
        <is>
          <t>nyu</t>
        </is>
      </c>
      <c r="R124" t="inlineStr">
        <is>
          <t xml:space="preserve">QZ </t>
        </is>
      </c>
      <c r="S124" t="n">
        <v>0</v>
      </c>
      <c r="T124" t="n">
        <v>1</v>
      </c>
      <c r="U124" t="inlineStr">
        <is>
          <t>2003-06-19</t>
        </is>
      </c>
      <c r="V124" t="inlineStr">
        <is>
          <t>2005-05-19</t>
        </is>
      </c>
      <c r="W124" t="inlineStr">
        <is>
          <t>2002-10-11</t>
        </is>
      </c>
      <c r="X124" t="inlineStr">
        <is>
          <t>2002-10-11</t>
        </is>
      </c>
      <c r="Y124" t="n">
        <v>55</v>
      </c>
      <c r="Z124" t="n">
        <v>50</v>
      </c>
      <c r="AA124" t="n">
        <v>406</v>
      </c>
      <c r="AB124" t="n">
        <v>1</v>
      </c>
      <c r="AC124" t="n">
        <v>4</v>
      </c>
      <c r="AD124" t="n">
        <v>2</v>
      </c>
      <c r="AE124" t="n">
        <v>13</v>
      </c>
      <c r="AF124" t="n">
        <v>0</v>
      </c>
      <c r="AG124" t="n">
        <v>4</v>
      </c>
      <c r="AH124" t="n">
        <v>1</v>
      </c>
      <c r="AI124" t="n">
        <v>4</v>
      </c>
      <c r="AJ124" t="n">
        <v>1</v>
      </c>
      <c r="AK124" t="n">
        <v>4</v>
      </c>
      <c r="AL124" t="n">
        <v>0</v>
      </c>
      <c r="AM124" t="n">
        <v>3</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HYPERLINK("https://creighton-primo.hosted.exlibrisgroup.com/primo-explore/search?tab=default_tab&amp;search_scope=EVERYTHING&amp;vid=01CRU&amp;lang=en_US&amp;offset=0&amp;query=any,contains,991000330649702656","Catalog Record")</f>
        <v/>
      </c>
      <c r="AT124">
        <f>HYPERLINK("http://www.worldcat.org/oclc/49035150","WorldCat Record")</f>
        <v/>
      </c>
      <c r="AU124" t="inlineStr">
        <is>
          <t>502084828:eng</t>
        </is>
      </c>
      <c r="AV124" t="inlineStr">
        <is>
          <t>49035150</t>
        </is>
      </c>
      <c r="AW124" t="inlineStr">
        <is>
          <t>991000330649702656</t>
        </is>
      </c>
      <c r="AX124" t="inlineStr">
        <is>
          <t>991000330649702656</t>
        </is>
      </c>
      <c r="AY124" t="inlineStr">
        <is>
          <t>2256416490002656</t>
        </is>
      </c>
      <c r="AZ124" t="inlineStr">
        <is>
          <t>BOOK</t>
        </is>
      </c>
      <c r="BB124" t="inlineStr">
        <is>
          <t>9789997629470</t>
        </is>
      </c>
      <c r="BC124" t="inlineStr">
        <is>
          <t>30001004440519</t>
        </is>
      </c>
      <c r="BD124" t="inlineStr">
        <is>
          <t>893274968</t>
        </is>
      </c>
    </row>
    <row r="125">
      <c r="A125" t="inlineStr">
        <is>
          <t>No</t>
        </is>
      </c>
      <c r="B125" t="inlineStr">
        <is>
          <t>QZ50 E533 2002 V.1</t>
        </is>
      </c>
      <c r="C125" t="inlineStr">
        <is>
          <t>0                      QZ 0050000E  533         2002                                        V.1</t>
        </is>
      </c>
      <c r="D125" t="inlineStr">
        <is>
          <t>Emery and Rimoin's principles and practice of medical genetics / edited by David L. Rimoin ... [et al.].</t>
        </is>
      </c>
      <c r="E125" t="inlineStr">
        <is>
          <t>V. 2</t>
        </is>
      </c>
      <c r="F125" t="inlineStr">
        <is>
          <t>Yes</t>
        </is>
      </c>
      <c r="G125" t="inlineStr">
        <is>
          <t>1</t>
        </is>
      </c>
      <c r="H125" t="inlineStr">
        <is>
          <t>No</t>
        </is>
      </c>
      <c r="I125" t="inlineStr">
        <is>
          <t>Yes</t>
        </is>
      </c>
      <c r="J125" t="inlineStr">
        <is>
          <t>0</t>
        </is>
      </c>
      <c r="L125" t="inlineStr">
        <is>
          <t>New York : Churchill Livingstone, 2002.</t>
        </is>
      </c>
      <c r="M125" t="inlineStr">
        <is>
          <t>2002</t>
        </is>
      </c>
      <c r="N125" t="inlineStr">
        <is>
          <t>4th ed.</t>
        </is>
      </c>
      <c r="O125" t="inlineStr">
        <is>
          <t>eng</t>
        </is>
      </c>
      <c r="P125" t="inlineStr">
        <is>
          <t>nyu</t>
        </is>
      </c>
      <c r="R125" t="inlineStr">
        <is>
          <t xml:space="preserve">QZ </t>
        </is>
      </c>
      <c r="S125" t="n">
        <v>1</v>
      </c>
      <c r="T125" t="n">
        <v>1</v>
      </c>
      <c r="U125" t="inlineStr">
        <is>
          <t>2005-05-19</t>
        </is>
      </c>
      <c r="V125" t="inlineStr">
        <is>
          <t>2005-05-19</t>
        </is>
      </c>
      <c r="W125" t="inlineStr">
        <is>
          <t>2002-10-11</t>
        </is>
      </c>
      <c r="X125" t="inlineStr">
        <is>
          <t>2002-10-11</t>
        </is>
      </c>
      <c r="Y125" t="n">
        <v>55</v>
      </c>
      <c r="Z125" t="n">
        <v>50</v>
      </c>
      <c r="AA125" t="n">
        <v>406</v>
      </c>
      <c r="AB125" t="n">
        <v>1</v>
      </c>
      <c r="AC125" t="n">
        <v>4</v>
      </c>
      <c r="AD125" t="n">
        <v>2</v>
      </c>
      <c r="AE125" t="n">
        <v>13</v>
      </c>
      <c r="AF125" t="n">
        <v>0</v>
      </c>
      <c r="AG125" t="n">
        <v>4</v>
      </c>
      <c r="AH125" t="n">
        <v>1</v>
      </c>
      <c r="AI125" t="n">
        <v>4</v>
      </c>
      <c r="AJ125" t="n">
        <v>1</v>
      </c>
      <c r="AK125" t="n">
        <v>4</v>
      </c>
      <c r="AL125" t="n">
        <v>0</v>
      </c>
      <c r="AM125" t="n">
        <v>3</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HYPERLINK("https://creighton-primo.hosted.exlibrisgroup.com/primo-explore/search?tab=default_tab&amp;search_scope=EVERYTHING&amp;vid=01CRU&amp;lang=en_US&amp;offset=0&amp;query=any,contains,991000330649702656","Catalog Record")</f>
        <v/>
      </c>
      <c r="AT125">
        <f>HYPERLINK("http://www.worldcat.org/oclc/49035150","WorldCat Record")</f>
        <v/>
      </c>
      <c r="AU125" t="inlineStr">
        <is>
          <t>502084828:eng</t>
        </is>
      </c>
      <c r="AV125" t="inlineStr">
        <is>
          <t>49035150</t>
        </is>
      </c>
      <c r="AW125" t="inlineStr">
        <is>
          <t>991000330649702656</t>
        </is>
      </c>
      <c r="AX125" t="inlineStr">
        <is>
          <t>991000330649702656</t>
        </is>
      </c>
      <c r="AY125" t="inlineStr">
        <is>
          <t>2256416490002656</t>
        </is>
      </c>
      <c r="AZ125" t="inlineStr">
        <is>
          <t>BOOK</t>
        </is>
      </c>
      <c r="BB125" t="inlineStr">
        <is>
          <t>9789997629470</t>
        </is>
      </c>
      <c r="BC125" t="inlineStr">
        <is>
          <t>30001004440493</t>
        </is>
      </c>
      <c r="BD125" t="inlineStr">
        <is>
          <t>893279912</t>
        </is>
      </c>
    </row>
    <row r="126">
      <c r="A126" t="inlineStr">
        <is>
          <t>No</t>
        </is>
      </c>
      <c r="B126" t="inlineStr">
        <is>
          <t>QZ50 E533 2002 V.1</t>
        </is>
      </c>
      <c r="C126" t="inlineStr">
        <is>
          <t>0                      QZ 0050000E  533         2002                                        V.1</t>
        </is>
      </c>
      <c r="D126" t="inlineStr">
        <is>
          <t>Emery and Rimoin's principles and practice of medical genetics / edited by David L. Rimoin ... [et al.].</t>
        </is>
      </c>
      <c r="E126" t="inlineStr">
        <is>
          <t>V. 3</t>
        </is>
      </c>
      <c r="F126" t="inlineStr">
        <is>
          <t>Yes</t>
        </is>
      </c>
      <c r="G126" t="inlineStr">
        <is>
          <t>1</t>
        </is>
      </c>
      <c r="H126" t="inlineStr">
        <is>
          <t>No</t>
        </is>
      </c>
      <c r="I126" t="inlineStr">
        <is>
          <t>Yes</t>
        </is>
      </c>
      <c r="J126" t="inlineStr">
        <is>
          <t>0</t>
        </is>
      </c>
      <c r="L126" t="inlineStr">
        <is>
          <t>New York : Churchill Livingstone, 2002.</t>
        </is>
      </c>
      <c r="M126" t="inlineStr">
        <is>
          <t>2002</t>
        </is>
      </c>
      <c r="N126" t="inlineStr">
        <is>
          <t>4th ed.</t>
        </is>
      </c>
      <c r="O126" t="inlineStr">
        <is>
          <t>eng</t>
        </is>
      </c>
      <c r="P126" t="inlineStr">
        <is>
          <t>nyu</t>
        </is>
      </c>
      <c r="R126" t="inlineStr">
        <is>
          <t xml:space="preserve">QZ </t>
        </is>
      </c>
      <c r="S126" t="n">
        <v>0</v>
      </c>
      <c r="T126" t="n">
        <v>1</v>
      </c>
      <c r="U126" t="inlineStr">
        <is>
          <t>2003-06-19</t>
        </is>
      </c>
      <c r="V126" t="inlineStr">
        <is>
          <t>2005-05-19</t>
        </is>
      </c>
      <c r="W126" t="inlineStr">
        <is>
          <t>2002-10-11</t>
        </is>
      </c>
      <c r="X126" t="inlineStr">
        <is>
          <t>2002-10-11</t>
        </is>
      </c>
      <c r="Y126" t="n">
        <v>55</v>
      </c>
      <c r="Z126" t="n">
        <v>50</v>
      </c>
      <c r="AA126" t="n">
        <v>406</v>
      </c>
      <c r="AB126" t="n">
        <v>1</v>
      </c>
      <c r="AC126" t="n">
        <v>4</v>
      </c>
      <c r="AD126" t="n">
        <v>2</v>
      </c>
      <c r="AE126" t="n">
        <v>13</v>
      </c>
      <c r="AF126" t="n">
        <v>0</v>
      </c>
      <c r="AG126" t="n">
        <v>4</v>
      </c>
      <c r="AH126" t="n">
        <v>1</v>
      </c>
      <c r="AI126" t="n">
        <v>4</v>
      </c>
      <c r="AJ126" t="n">
        <v>1</v>
      </c>
      <c r="AK126" t="n">
        <v>4</v>
      </c>
      <c r="AL126" t="n">
        <v>0</v>
      </c>
      <c r="AM126" t="n">
        <v>3</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HYPERLINK("https://creighton-primo.hosted.exlibrisgroup.com/primo-explore/search?tab=default_tab&amp;search_scope=EVERYTHING&amp;vid=01CRU&amp;lang=en_US&amp;offset=0&amp;query=any,contains,991000330649702656","Catalog Record")</f>
        <v/>
      </c>
      <c r="AT126">
        <f>HYPERLINK("http://www.worldcat.org/oclc/49035150","WorldCat Record")</f>
        <v/>
      </c>
      <c r="AU126" t="inlineStr">
        <is>
          <t>502084828:eng</t>
        </is>
      </c>
      <c r="AV126" t="inlineStr">
        <is>
          <t>49035150</t>
        </is>
      </c>
      <c r="AW126" t="inlineStr">
        <is>
          <t>991000330649702656</t>
        </is>
      </c>
      <c r="AX126" t="inlineStr">
        <is>
          <t>991000330649702656</t>
        </is>
      </c>
      <c r="AY126" t="inlineStr">
        <is>
          <t>2256416490002656</t>
        </is>
      </c>
      <c r="AZ126" t="inlineStr">
        <is>
          <t>BOOK</t>
        </is>
      </c>
      <c r="BB126" t="inlineStr">
        <is>
          <t>9789997629470</t>
        </is>
      </c>
      <c r="BC126" t="inlineStr">
        <is>
          <t>30001004440477</t>
        </is>
      </c>
      <c r="BD126" t="inlineStr">
        <is>
          <t>893269359</t>
        </is>
      </c>
    </row>
    <row r="127">
      <c r="A127" t="inlineStr">
        <is>
          <t>No</t>
        </is>
      </c>
      <c r="B127" t="inlineStr">
        <is>
          <t>QZ 50 E533 2007</t>
        </is>
      </c>
      <c r="C127" t="inlineStr">
        <is>
          <t>0                      QZ 0050000E  533         2007</t>
        </is>
      </c>
      <c r="D127" t="inlineStr">
        <is>
          <t>Emery's elements of medical genetics.</t>
        </is>
      </c>
      <c r="F127" t="inlineStr">
        <is>
          <t>No</t>
        </is>
      </c>
      <c r="G127" t="inlineStr">
        <is>
          <t>1</t>
        </is>
      </c>
      <c r="H127" t="inlineStr">
        <is>
          <t>No</t>
        </is>
      </c>
      <c r="I127" t="inlineStr">
        <is>
          <t>Yes</t>
        </is>
      </c>
      <c r="J127" t="inlineStr">
        <is>
          <t>1</t>
        </is>
      </c>
      <c r="K127" t="inlineStr">
        <is>
          <t>Turnpenny, Peter D.</t>
        </is>
      </c>
      <c r="L127" t="inlineStr">
        <is>
          <t>Philadelphia, PA : Churchill Livingstone/Elsevier, 2007.</t>
        </is>
      </c>
      <c r="M127" t="inlineStr">
        <is>
          <t>2007</t>
        </is>
      </c>
      <c r="N127" t="inlineStr">
        <is>
          <t>13th ed. / Peter Turnpenny, Sian Ellard.</t>
        </is>
      </c>
      <c r="O127" t="inlineStr">
        <is>
          <t>eng</t>
        </is>
      </c>
      <c r="P127" t="inlineStr">
        <is>
          <t>pau</t>
        </is>
      </c>
      <c r="R127" t="inlineStr">
        <is>
          <t xml:space="preserve">QZ </t>
        </is>
      </c>
      <c r="S127" t="n">
        <v>3</v>
      </c>
      <c r="T127" t="n">
        <v>3</v>
      </c>
      <c r="U127" t="inlineStr">
        <is>
          <t>2009-10-15</t>
        </is>
      </c>
      <c r="V127" t="inlineStr">
        <is>
          <t>2009-10-15</t>
        </is>
      </c>
      <c r="W127" t="inlineStr">
        <is>
          <t>2009-08-11</t>
        </is>
      </c>
      <c r="X127" t="inlineStr">
        <is>
          <t>2009-08-11</t>
        </is>
      </c>
      <c r="Y127" t="n">
        <v>108</v>
      </c>
      <c r="Z127" t="n">
        <v>45</v>
      </c>
      <c r="AA127" t="n">
        <v>458</v>
      </c>
      <c r="AB127" t="n">
        <v>2</v>
      </c>
      <c r="AC127" t="n">
        <v>3</v>
      </c>
      <c r="AD127" t="n">
        <v>1</v>
      </c>
      <c r="AE127" t="n">
        <v>14</v>
      </c>
      <c r="AF127" t="n">
        <v>0</v>
      </c>
      <c r="AG127" t="n">
        <v>3</v>
      </c>
      <c r="AH127" t="n">
        <v>0</v>
      </c>
      <c r="AI127" t="n">
        <v>7</v>
      </c>
      <c r="AJ127" t="n">
        <v>0</v>
      </c>
      <c r="AK127" t="n">
        <v>7</v>
      </c>
      <c r="AL127" t="n">
        <v>1</v>
      </c>
      <c r="AM127" t="n">
        <v>2</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HYPERLINK("https://creighton-primo.hosted.exlibrisgroup.com/primo-explore/search?tab=default_tab&amp;search_scope=EVERYTHING&amp;vid=01CRU&amp;lang=en_US&amp;offset=0&amp;query=any,contains,991001485619702656","Catalog Record")</f>
        <v/>
      </c>
      <c r="AT127">
        <f>HYPERLINK("http://www.worldcat.org/oclc/181902709","WorldCat Record")</f>
        <v/>
      </c>
      <c r="AU127" t="inlineStr">
        <is>
          <t>2517082833:eng</t>
        </is>
      </c>
      <c r="AV127" t="inlineStr">
        <is>
          <t>181902709</t>
        </is>
      </c>
      <c r="AW127" t="inlineStr">
        <is>
          <t>991001485619702656</t>
        </is>
      </c>
      <c r="AX127" t="inlineStr">
        <is>
          <t>991001485619702656</t>
        </is>
      </c>
      <c r="AY127" t="inlineStr">
        <is>
          <t>2267325510002656</t>
        </is>
      </c>
      <c r="AZ127" t="inlineStr">
        <is>
          <t>BOOK</t>
        </is>
      </c>
      <c r="BB127" t="inlineStr">
        <is>
          <t>9780702029172</t>
        </is>
      </c>
      <c r="BC127" t="inlineStr">
        <is>
          <t>30001004918894</t>
        </is>
      </c>
      <c r="BD127" t="inlineStr">
        <is>
          <t>893377298</t>
        </is>
      </c>
    </row>
    <row r="128">
      <c r="A128" t="inlineStr">
        <is>
          <t>No</t>
        </is>
      </c>
      <c r="B128" t="inlineStr">
        <is>
          <t>QZ50 E533 2007</t>
        </is>
      </c>
      <c r="C128" t="inlineStr">
        <is>
          <t>0                      QZ 0050000E  533         2007</t>
        </is>
      </c>
      <c r="D128" t="inlineStr">
        <is>
          <t>Emery and Rimoin's principles and practice of medical genetics.</t>
        </is>
      </c>
      <c r="E128" t="inlineStr">
        <is>
          <t>V.3</t>
        </is>
      </c>
      <c r="F128" t="inlineStr">
        <is>
          <t>Yes</t>
        </is>
      </c>
      <c r="G128" t="inlineStr">
        <is>
          <t>1</t>
        </is>
      </c>
      <c r="H128" t="inlineStr">
        <is>
          <t>No</t>
        </is>
      </c>
      <c r="I128" t="inlineStr">
        <is>
          <t>Yes</t>
        </is>
      </c>
      <c r="J128" t="inlineStr">
        <is>
          <t>0</t>
        </is>
      </c>
      <c r="L128" t="inlineStr">
        <is>
          <t>Philadelphia, Pa. : Churchill Livingstone Elsevier, c2007.</t>
        </is>
      </c>
      <c r="M128" t="inlineStr">
        <is>
          <t>2007</t>
        </is>
      </c>
      <c r="N128" t="inlineStr">
        <is>
          <t>5th ed. / [edited by] David L. Rimoin ... [et al.].</t>
        </is>
      </c>
      <c r="O128" t="inlineStr">
        <is>
          <t>eng</t>
        </is>
      </c>
      <c r="P128" t="inlineStr">
        <is>
          <t>pau</t>
        </is>
      </c>
      <c r="R128" t="inlineStr">
        <is>
          <t xml:space="preserve">QZ </t>
        </is>
      </c>
      <c r="S128" t="n">
        <v>1</v>
      </c>
      <c r="T128" t="n">
        <v>1</v>
      </c>
      <c r="U128" t="inlineStr">
        <is>
          <t>2008-01-06</t>
        </is>
      </c>
      <c r="V128" t="inlineStr">
        <is>
          <t>2008-01-06</t>
        </is>
      </c>
      <c r="W128" t="inlineStr">
        <is>
          <t>2007-04-16</t>
        </is>
      </c>
      <c r="X128" t="inlineStr">
        <is>
          <t>2007-04-16</t>
        </is>
      </c>
      <c r="Y128" t="n">
        <v>154</v>
      </c>
      <c r="Z128" t="n">
        <v>108</v>
      </c>
      <c r="AA128" t="n">
        <v>406</v>
      </c>
      <c r="AB128" t="n">
        <v>2</v>
      </c>
      <c r="AC128" t="n">
        <v>4</v>
      </c>
      <c r="AD128" t="n">
        <v>3</v>
      </c>
      <c r="AE128" t="n">
        <v>13</v>
      </c>
      <c r="AF128" t="n">
        <v>1</v>
      </c>
      <c r="AG128" t="n">
        <v>4</v>
      </c>
      <c r="AH128" t="n">
        <v>0</v>
      </c>
      <c r="AI128" t="n">
        <v>4</v>
      </c>
      <c r="AJ128" t="n">
        <v>1</v>
      </c>
      <c r="AK128" t="n">
        <v>4</v>
      </c>
      <c r="AL128" t="n">
        <v>1</v>
      </c>
      <c r="AM128" t="n">
        <v>3</v>
      </c>
      <c r="AN128" t="n">
        <v>0</v>
      </c>
      <c r="AO128" t="n">
        <v>0</v>
      </c>
      <c r="AP128" t="inlineStr">
        <is>
          <t>No</t>
        </is>
      </c>
      <c r="AQ128" t="inlineStr">
        <is>
          <t>Yes</t>
        </is>
      </c>
      <c r="AR128">
        <f>HYPERLINK("http://catalog.hathitrust.org/Record/010662793","HathiTrust Record")</f>
        <v/>
      </c>
      <c r="AS128">
        <f>HYPERLINK("https://creighton-primo.hosted.exlibrisgroup.com/primo-explore/search?tab=default_tab&amp;search_scope=EVERYTHING&amp;vid=01CRU&amp;lang=en_US&amp;offset=0&amp;query=any,contains,991000611379702656","Catalog Record")</f>
        <v/>
      </c>
      <c r="AT128">
        <f>HYPERLINK("http://www.worldcat.org/oclc/70164435","WorldCat Record")</f>
        <v/>
      </c>
      <c r="AU128" t="inlineStr">
        <is>
          <t>502084828:eng</t>
        </is>
      </c>
      <c r="AV128" t="inlineStr">
        <is>
          <t>70164435</t>
        </is>
      </c>
      <c r="AW128" t="inlineStr">
        <is>
          <t>991000611379702656</t>
        </is>
      </c>
      <c r="AX128" t="inlineStr">
        <is>
          <t>991000611379702656</t>
        </is>
      </c>
      <c r="AY128" t="inlineStr">
        <is>
          <t>2267134250002656</t>
        </is>
      </c>
      <c r="AZ128" t="inlineStr">
        <is>
          <t>BOOK</t>
        </is>
      </c>
      <c r="BB128" t="inlineStr">
        <is>
          <t>9780443068706</t>
        </is>
      </c>
      <c r="BC128" t="inlineStr">
        <is>
          <t>30001005222114</t>
        </is>
      </c>
      <c r="BD128" t="inlineStr">
        <is>
          <t>893167392</t>
        </is>
      </c>
    </row>
    <row r="129">
      <c r="A129" t="inlineStr">
        <is>
          <t>No</t>
        </is>
      </c>
      <c r="B129" t="inlineStr">
        <is>
          <t>QZ50 E533 2007</t>
        </is>
      </c>
      <c r="C129" t="inlineStr">
        <is>
          <t>0                      QZ 0050000E  533         2007</t>
        </is>
      </c>
      <c r="D129" t="inlineStr">
        <is>
          <t>Emery and Rimoin's principles and practice of medical genetics.</t>
        </is>
      </c>
      <c r="E129" t="inlineStr">
        <is>
          <t>V.1</t>
        </is>
      </c>
      <c r="F129" t="inlineStr">
        <is>
          <t>Yes</t>
        </is>
      </c>
      <c r="G129" t="inlineStr">
        <is>
          <t>1</t>
        </is>
      </c>
      <c r="H129" t="inlineStr">
        <is>
          <t>No</t>
        </is>
      </c>
      <c r="I129" t="inlineStr">
        <is>
          <t>Yes</t>
        </is>
      </c>
      <c r="J129" t="inlineStr">
        <is>
          <t>0</t>
        </is>
      </c>
      <c r="L129" t="inlineStr">
        <is>
          <t>Philadelphia, Pa. : Churchill Livingstone Elsevier, c2007.</t>
        </is>
      </c>
      <c r="M129" t="inlineStr">
        <is>
          <t>2007</t>
        </is>
      </c>
      <c r="N129" t="inlineStr">
        <is>
          <t>5th ed. / [edited by] David L. Rimoin ... [et al.].</t>
        </is>
      </c>
      <c r="O129" t="inlineStr">
        <is>
          <t>eng</t>
        </is>
      </c>
      <c r="P129" t="inlineStr">
        <is>
          <t>pau</t>
        </is>
      </c>
      <c r="R129" t="inlineStr">
        <is>
          <t xml:space="preserve">QZ </t>
        </is>
      </c>
      <c r="S129" t="n">
        <v>0</v>
      </c>
      <c r="T129" t="n">
        <v>1</v>
      </c>
      <c r="U129" t="inlineStr">
        <is>
          <t>2008-01-06</t>
        </is>
      </c>
      <c r="V129" t="inlineStr">
        <is>
          <t>2008-01-06</t>
        </is>
      </c>
      <c r="W129" t="inlineStr">
        <is>
          <t>2007-04-16</t>
        </is>
      </c>
      <c r="X129" t="inlineStr">
        <is>
          <t>2007-04-16</t>
        </is>
      </c>
      <c r="Y129" t="n">
        <v>154</v>
      </c>
      <c r="Z129" t="n">
        <v>108</v>
      </c>
      <c r="AA129" t="n">
        <v>406</v>
      </c>
      <c r="AB129" t="n">
        <v>2</v>
      </c>
      <c r="AC129" t="n">
        <v>4</v>
      </c>
      <c r="AD129" t="n">
        <v>3</v>
      </c>
      <c r="AE129" t="n">
        <v>13</v>
      </c>
      <c r="AF129" t="n">
        <v>1</v>
      </c>
      <c r="AG129" t="n">
        <v>4</v>
      </c>
      <c r="AH129" t="n">
        <v>0</v>
      </c>
      <c r="AI129" t="n">
        <v>4</v>
      </c>
      <c r="AJ129" t="n">
        <v>1</v>
      </c>
      <c r="AK129" t="n">
        <v>4</v>
      </c>
      <c r="AL129" t="n">
        <v>1</v>
      </c>
      <c r="AM129" t="n">
        <v>3</v>
      </c>
      <c r="AN129" t="n">
        <v>0</v>
      </c>
      <c r="AO129" t="n">
        <v>0</v>
      </c>
      <c r="AP129" t="inlineStr">
        <is>
          <t>No</t>
        </is>
      </c>
      <c r="AQ129" t="inlineStr">
        <is>
          <t>Yes</t>
        </is>
      </c>
      <c r="AR129">
        <f>HYPERLINK("http://catalog.hathitrust.org/Record/010662793","HathiTrust Record")</f>
        <v/>
      </c>
      <c r="AS129">
        <f>HYPERLINK("https://creighton-primo.hosted.exlibrisgroup.com/primo-explore/search?tab=default_tab&amp;search_scope=EVERYTHING&amp;vid=01CRU&amp;lang=en_US&amp;offset=0&amp;query=any,contains,991000611379702656","Catalog Record")</f>
        <v/>
      </c>
      <c r="AT129">
        <f>HYPERLINK("http://www.worldcat.org/oclc/70164435","WorldCat Record")</f>
        <v/>
      </c>
      <c r="AU129" t="inlineStr">
        <is>
          <t>502084828:eng</t>
        </is>
      </c>
      <c r="AV129" t="inlineStr">
        <is>
          <t>70164435</t>
        </is>
      </c>
      <c r="AW129" t="inlineStr">
        <is>
          <t>991000611379702656</t>
        </is>
      </c>
      <c r="AX129" t="inlineStr">
        <is>
          <t>991000611379702656</t>
        </is>
      </c>
      <c r="AY129" t="inlineStr">
        <is>
          <t>2267134250002656</t>
        </is>
      </c>
      <c r="AZ129" t="inlineStr">
        <is>
          <t>BOOK</t>
        </is>
      </c>
      <c r="BB129" t="inlineStr">
        <is>
          <t>9780443068706</t>
        </is>
      </c>
      <c r="BC129" t="inlineStr">
        <is>
          <t>30001005222064</t>
        </is>
      </c>
      <c r="BD129" t="inlineStr">
        <is>
          <t>893132378</t>
        </is>
      </c>
    </row>
    <row r="130">
      <c r="A130" t="inlineStr">
        <is>
          <t>No</t>
        </is>
      </c>
      <c r="B130" t="inlineStr">
        <is>
          <t>QZ50 E533 2007</t>
        </is>
      </c>
      <c r="C130" t="inlineStr">
        <is>
          <t>0                      QZ 0050000E  533         2007</t>
        </is>
      </c>
      <c r="D130" t="inlineStr">
        <is>
          <t>Emery and Rimoin's principles and practice of medical genetics.</t>
        </is>
      </c>
      <c r="E130" t="inlineStr">
        <is>
          <t>V.2</t>
        </is>
      </c>
      <c r="F130" t="inlineStr">
        <is>
          <t>Yes</t>
        </is>
      </c>
      <c r="G130" t="inlineStr">
        <is>
          <t>1</t>
        </is>
      </c>
      <c r="H130" t="inlineStr">
        <is>
          <t>No</t>
        </is>
      </c>
      <c r="I130" t="inlineStr">
        <is>
          <t>Yes</t>
        </is>
      </c>
      <c r="J130" t="inlineStr">
        <is>
          <t>0</t>
        </is>
      </c>
      <c r="L130" t="inlineStr">
        <is>
          <t>Philadelphia, Pa. : Churchill Livingstone Elsevier, c2007.</t>
        </is>
      </c>
      <c r="M130" t="inlineStr">
        <is>
          <t>2007</t>
        </is>
      </c>
      <c r="N130" t="inlineStr">
        <is>
          <t>5th ed. / [edited by] David L. Rimoin ... [et al.].</t>
        </is>
      </c>
      <c r="O130" t="inlineStr">
        <is>
          <t>eng</t>
        </is>
      </c>
      <c r="P130" t="inlineStr">
        <is>
          <t>pau</t>
        </is>
      </c>
      <c r="R130" t="inlineStr">
        <is>
          <t xml:space="preserve">QZ </t>
        </is>
      </c>
      <c r="S130" t="n">
        <v>0</v>
      </c>
      <c r="T130" t="n">
        <v>1</v>
      </c>
      <c r="U130" t="inlineStr">
        <is>
          <t>2008-01-06</t>
        </is>
      </c>
      <c r="V130" t="inlineStr">
        <is>
          <t>2008-01-06</t>
        </is>
      </c>
      <c r="W130" t="inlineStr">
        <is>
          <t>2007-04-16</t>
        </is>
      </c>
      <c r="X130" t="inlineStr">
        <is>
          <t>2007-04-16</t>
        </is>
      </c>
      <c r="Y130" t="n">
        <v>154</v>
      </c>
      <c r="Z130" t="n">
        <v>108</v>
      </c>
      <c r="AA130" t="n">
        <v>406</v>
      </c>
      <c r="AB130" t="n">
        <v>2</v>
      </c>
      <c r="AC130" t="n">
        <v>4</v>
      </c>
      <c r="AD130" t="n">
        <v>3</v>
      </c>
      <c r="AE130" t="n">
        <v>13</v>
      </c>
      <c r="AF130" t="n">
        <v>1</v>
      </c>
      <c r="AG130" t="n">
        <v>4</v>
      </c>
      <c r="AH130" t="n">
        <v>0</v>
      </c>
      <c r="AI130" t="n">
        <v>4</v>
      </c>
      <c r="AJ130" t="n">
        <v>1</v>
      </c>
      <c r="AK130" t="n">
        <v>4</v>
      </c>
      <c r="AL130" t="n">
        <v>1</v>
      </c>
      <c r="AM130" t="n">
        <v>3</v>
      </c>
      <c r="AN130" t="n">
        <v>0</v>
      </c>
      <c r="AO130" t="n">
        <v>0</v>
      </c>
      <c r="AP130" t="inlineStr">
        <is>
          <t>No</t>
        </is>
      </c>
      <c r="AQ130" t="inlineStr">
        <is>
          <t>Yes</t>
        </is>
      </c>
      <c r="AR130">
        <f>HYPERLINK("http://catalog.hathitrust.org/Record/010662793","HathiTrust Record")</f>
        <v/>
      </c>
      <c r="AS130">
        <f>HYPERLINK("https://creighton-primo.hosted.exlibrisgroup.com/primo-explore/search?tab=default_tab&amp;search_scope=EVERYTHING&amp;vid=01CRU&amp;lang=en_US&amp;offset=0&amp;query=any,contains,991000611379702656","Catalog Record")</f>
        <v/>
      </c>
      <c r="AT130">
        <f>HYPERLINK("http://www.worldcat.org/oclc/70164435","WorldCat Record")</f>
        <v/>
      </c>
      <c r="AU130" t="inlineStr">
        <is>
          <t>502084828:eng</t>
        </is>
      </c>
      <c r="AV130" t="inlineStr">
        <is>
          <t>70164435</t>
        </is>
      </c>
      <c r="AW130" t="inlineStr">
        <is>
          <t>991000611379702656</t>
        </is>
      </c>
      <c r="AX130" t="inlineStr">
        <is>
          <t>991000611379702656</t>
        </is>
      </c>
      <c r="AY130" t="inlineStr">
        <is>
          <t>2267134250002656</t>
        </is>
      </c>
      <c r="AZ130" t="inlineStr">
        <is>
          <t>BOOK</t>
        </is>
      </c>
      <c r="BB130" t="inlineStr">
        <is>
          <t>9780443068706</t>
        </is>
      </c>
      <c r="BC130" t="inlineStr">
        <is>
          <t>30001005222122</t>
        </is>
      </c>
      <c r="BD130" t="inlineStr">
        <is>
          <t>893147152</t>
        </is>
      </c>
    </row>
    <row r="131">
      <c r="A131" t="inlineStr">
        <is>
          <t>No</t>
        </is>
      </c>
      <c r="B131" t="inlineStr">
        <is>
          <t>QZ 50 E53h 1968</t>
        </is>
      </c>
      <c r="C131" t="inlineStr">
        <is>
          <t>0                      QZ 0050000E  53h         1968</t>
        </is>
      </c>
      <c r="D131" t="inlineStr">
        <is>
          <t>Heredity, disease, and man : genetics in medicine / Alan E.H. Emery.</t>
        </is>
      </c>
      <c r="F131" t="inlineStr">
        <is>
          <t>No</t>
        </is>
      </c>
      <c r="G131" t="inlineStr">
        <is>
          <t>1</t>
        </is>
      </c>
      <c r="H131" t="inlineStr">
        <is>
          <t>No</t>
        </is>
      </c>
      <c r="I131" t="inlineStr">
        <is>
          <t>No</t>
        </is>
      </c>
      <c r="J131" t="inlineStr">
        <is>
          <t>0</t>
        </is>
      </c>
      <c r="K131" t="inlineStr">
        <is>
          <t>Emery, Alan E. H.</t>
        </is>
      </c>
      <c r="L131" t="inlineStr">
        <is>
          <t>Berkeley : Univ. of California Press, c1968.</t>
        </is>
      </c>
      <c r="M131" t="inlineStr">
        <is>
          <t>1968</t>
        </is>
      </c>
      <c r="O131" t="inlineStr">
        <is>
          <t>eng</t>
        </is>
      </c>
      <c r="P131" t="inlineStr">
        <is>
          <t>cau</t>
        </is>
      </c>
      <c r="R131" t="inlineStr">
        <is>
          <t xml:space="preserve">QZ </t>
        </is>
      </c>
      <c r="S131" t="n">
        <v>1</v>
      </c>
      <c r="T131" t="n">
        <v>1</v>
      </c>
      <c r="U131" t="inlineStr">
        <is>
          <t>2001-01-23</t>
        </is>
      </c>
      <c r="V131" t="inlineStr">
        <is>
          <t>2001-01-23</t>
        </is>
      </c>
      <c r="W131" t="inlineStr">
        <is>
          <t>1988-02-12</t>
        </is>
      </c>
      <c r="X131" t="inlineStr">
        <is>
          <t>1988-02-12</t>
        </is>
      </c>
      <c r="Y131" t="n">
        <v>455</v>
      </c>
      <c r="Z131" t="n">
        <v>405</v>
      </c>
      <c r="AA131" t="n">
        <v>412</v>
      </c>
      <c r="AB131" t="n">
        <v>4</v>
      </c>
      <c r="AC131" t="n">
        <v>4</v>
      </c>
      <c r="AD131" t="n">
        <v>12</v>
      </c>
      <c r="AE131" t="n">
        <v>12</v>
      </c>
      <c r="AF131" t="n">
        <v>2</v>
      </c>
      <c r="AG131" t="n">
        <v>2</v>
      </c>
      <c r="AH131" t="n">
        <v>2</v>
      </c>
      <c r="AI131" t="n">
        <v>2</v>
      </c>
      <c r="AJ131" t="n">
        <v>7</v>
      </c>
      <c r="AK131" t="n">
        <v>7</v>
      </c>
      <c r="AL131" t="n">
        <v>3</v>
      </c>
      <c r="AM131" t="n">
        <v>3</v>
      </c>
      <c r="AN131" t="n">
        <v>0</v>
      </c>
      <c r="AO131" t="n">
        <v>0</v>
      </c>
      <c r="AP131" t="inlineStr">
        <is>
          <t>No</t>
        </is>
      </c>
      <c r="AQ131" t="inlineStr">
        <is>
          <t>Yes</t>
        </is>
      </c>
      <c r="AR131">
        <f>HYPERLINK("http://catalog.hathitrust.org/Record/001561266","HathiTrust Record")</f>
        <v/>
      </c>
      <c r="AS131">
        <f>HYPERLINK("https://creighton-primo.hosted.exlibrisgroup.com/primo-explore/search?tab=default_tab&amp;search_scope=EVERYTHING&amp;vid=01CRU&amp;lang=en_US&amp;offset=0&amp;query=any,contains,991001089659702656","Catalog Record")</f>
        <v/>
      </c>
      <c r="AT131">
        <f>HYPERLINK("http://www.worldcat.org/oclc/276512","WorldCat Record")</f>
        <v/>
      </c>
      <c r="AU131" t="inlineStr">
        <is>
          <t>2864568600:eng</t>
        </is>
      </c>
      <c r="AV131" t="inlineStr">
        <is>
          <t>276512</t>
        </is>
      </c>
      <c r="AW131" t="inlineStr">
        <is>
          <t>991001089659702656</t>
        </is>
      </c>
      <c r="AX131" t="inlineStr">
        <is>
          <t>991001089659702656</t>
        </is>
      </c>
      <c r="AY131" t="inlineStr">
        <is>
          <t>2261764030002656</t>
        </is>
      </c>
      <c r="AZ131" t="inlineStr">
        <is>
          <t>BOOK</t>
        </is>
      </c>
      <c r="BC131" t="inlineStr">
        <is>
          <t>30001000261711</t>
        </is>
      </c>
      <c r="BD131" t="inlineStr">
        <is>
          <t>893541005</t>
        </is>
      </c>
    </row>
    <row r="132">
      <c r="A132" t="inlineStr">
        <is>
          <t>No</t>
        </is>
      </c>
      <c r="B132" t="inlineStr">
        <is>
          <t>QZ 50 F959g 1969</t>
        </is>
      </c>
      <c r="C132" t="inlineStr">
        <is>
          <t>0                      QZ 0050000F  959g        1969</t>
        </is>
      </c>
      <c r="D132" t="inlineStr">
        <is>
          <t>Genetic counseling : a guide for the practicing physician / Walter Fuhrmann [and] Friedrich Vogel. Translated by Sabine Kurth.</t>
        </is>
      </c>
      <c r="F132" t="inlineStr">
        <is>
          <t>No</t>
        </is>
      </c>
      <c r="G132" t="inlineStr">
        <is>
          <t>1</t>
        </is>
      </c>
      <c r="H132" t="inlineStr">
        <is>
          <t>No</t>
        </is>
      </c>
      <c r="I132" t="inlineStr">
        <is>
          <t>No</t>
        </is>
      </c>
      <c r="J132" t="inlineStr">
        <is>
          <t>0</t>
        </is>
      </c>
      <c r="K132" t="inlineStr">
        <is>
          <t>Fuhrmann, Walter, 1924-</t>
        </is>
      </c>
      <c r="L132" t="inlineStr">
        <is>
          <t>New York : Springer-Verlag, 1969.</t>
        </is>
      </c>
      <c r="M132" t="inlineStr">
        <is>
          <t>1969</t>
        </is>
      </c>
      <c r="O132" t="inlineStr">
        <is>
          <t>eng</t>
        </is>
      </c>
      <c r="P132" t="inlineStr">
        <is>
          <t>nyu</t>
        </is>
      </c>
      <c r="Q132" t="inlineStr">
        <is>
          <t>Heidelberg science library ; v. 10</t>
        </is>
      </c>
      <c r="R132" t="inlineStr">
        <is>
          <t xml:space="preserve">QZ </t>
        </is>
      </c>
      <c r="S132" t="n">
        <v>3</v>
      </c>
      <c r="T132" t="n">
        <v>3</v>
      </c>
      <c r="U132" t="inlineStr">
        <is>
          <t>1998-11-11</t>
        </is>
      </c>
      <c r="V132" t="inlineStr">
        <is>
          <t>1998-11-11</t>
        </is>
      </c>
      <c r="W132" t="inlineStr">
        <is>
          <t>1988-03-24</t>
        </is>
      </c>
      <c r="X132" t="inlineStr">
        <is>
          <t>1988-03-24</t>
        </is>
      </c>
      <c r="Y132" t="n">
        <v>210</v>
      </c>
      <c r="Z132" t="n">
        <v>163</v>
      </c>
      <c r="AA132" t="n">
        <v>206</v>
      </c>
      <c r="AB132" t="n">
        <v>4</v>
      </c>
      <c r="AC132" t="n">
        <v>5</v>
      </c>
      <c r="AD132" t="n">
        <v>8</v>
      </c>
      <c r="AE132" t="n">
        <v>10</v>
      </c>
      <c r="AF132" t="n">
        <v>3</v>
      </c>
      <c r="AG132" t="n">
        <v>3</v>
      </c>
      <c r="AH132" t="n">
        <v>1</v>
      </c>
      <c r="AI132" t="n">
        <v>1</v>
      </c>
      <c r="AJ132" t="n">
        <v>2</v>
      </c>
      <c r="AK132" t="n">
        <v>3</v>
      </c>
      <c r="AL132" t="n">
        <v>3</v>
      </c>
      <c r="AM132" t="n">
        <v>4</v>
      </c>
      <c r="AN132" t="n">
        <v>0</v>
      </c>
      <c r="AO132" t="n">
        <v>0</v>
      </c>
      <c r="AP132" t="inlineStr">
        <is>
          <t>No</t>
        </is>
      </c>
      <c r="AQ132" t="inlineStr">
        <is>
          <t>Yes</t>
        </is>
      </c>
      <c r="AR132">
        <f>HYPERLINK("http://catalog.hathitrust.org/Record/001561268","HathiTrust Record")</f>
        <v/>
      </c>
      <c r="AS132">
        <f>HYPERLINK("https://creighton-primo.hosted.exlibrisgroup.com/primo-explore/search?tab=default_tab&amp;search_scope=EVERYTHING&amp;vid=01CRU&amp;lang=en_US&amp;offset=0&amp;query=any,contains,991001089759702656","Catalog Record")</f>
        <v/>
      </c>
      <c r="AT132">
        <f>HYPERLINK("http://www.worldcat.org/oclc/23788","WorldCat Record")</f>
        <v/>
      </c>
      <c r="AU132" t="inlineStr">
        <is>
          <t>135180418:eng</t>
        </is>
      </c>
      <c r="AV132" t="inlineStr">
        <is>
          <t>23788</t>
        </is>
      </c>
      <c r="AW132" t="inlineStr">
        <is>
          <t>991001089759702656</t>
        </is>
      </c>
      <c r="AX132" t="inlineStr">
        <is>
          <t>991001089759702656</t>
        </is>
      </c>
      <c r="AY132" t="inlineStr">
        <is>
          <t>2267751850002656</t>
        </is>
      </c>
      <c r="AZ132" t="inlineStr">
        <is>
          <t>BOOK</t>
        </is>
      </c>
      <c r="BC132" t="inlineStr">
        <is>
          <t>30001000261745</t>
        </is>
      </c>
      <c r="BD132" t="inlineStr">
        <is>
          <t>893826438</t>
        </is>
      </c>
    </row>
    <row r="133">
      <c r="A133" t="inlineStr">
        <is>
          <t>No</t>
        </is>
      </c>
      <c r="B133" t="inlineStr">
        <is>
          <t>QZ 50 G288 1997</t>
        </is>
      </c>
      <c r="C133" t="inlineStr">
        <is>
          <t>0                      QZ 0050000G  288         1997</t>
        </is>
      </c>
      <c r="D133" t="inlineStr">
        <is>
          <t>Genetic disorders and birth defects : a compendium of AAP guidelines and resources for the primary care practitioner.</t>
        </is>
      </c>
      <c r="F133" t="inlineStr">
        <is>
          <t>No</t>
        </is>
      </c>
      <c r="G133" t="inlineStr">
        <is>
          <t>1</t>
        </is>
      </c>
      <c r="H133" t="inlineStr">
        <is>
          <t>No</t>
        </is>
      </c>
      <c r="I133" t="inlineStr">
        <is>
          <t>No</t>
        </is>
      </c>
      <c r="J133" t="inlineStr">
        <is>
          <t>0</t>
        </is>
      </c>
      <c r="L133" t="inlineStr">
        <is>
          <t>Elk Grove Village, IL : American Academy of Pediatrics, c1997.</t>
        </is>
      </c>
      <c r="M133" t="inlineStr">
        <is>
          <t>1997</t>
        </is>
      </c>
      <c r="O133" t="inlineStr">
        <is>
          <t>eng</t>
        </is>
      </c>
      <c r="P133" t="inlineStr">
        <is>
          <t>ilu</t>
        </is>
      </c>
      <c r="R133" t="inlineStr">
        <is>
          <t xml:space="preserve">QZ </t>
        </is>
      </c>
      <c r="S133" t="n">
        <v>10</v>
      </c>
      <c r="T133" t="n">
        <v>10</v>
      </c>
      <c r="U133" t="inlineStr">
        <is>
          <t>2003-02-18</t>
        </is>
      </c>
      <c r="V133" t="inlineStr">
        <is>
          <t>2003-02-18</t>
        </is>
      </c>
      <c r="W133" t="inlineStr">
        <is>
          <t>1998-06-16</t>
        </is>
      </c>
      <c r="X133" t="inlineStr">
        <is>
          <t>1998-06-16</t>
        </is>
      </c>
      <c r="Y133" t="n">
        <v>95</v>
      </c>
      <c r="Z133" t="n">
        <v>90</v>
      </c>
      <c r="AA133" t="n">
        <v>92</v>
      </c>
      <c r="AB133" t="n">
        <v>1</v>
      </c>
      <c r="AC133" t="n">
        <v>1</v>
      </c>
      <c r="AD133" t="n">
        <v>3</v>
      </c>
      <c r="AE133" t="n">
        <v>3</v>
      </c>
      <c r="AF133" t="n">
        <v>1</v>
      </c>
      <c r="AG133" t="n">
        <v>1</v>
      </c>
      <c r="AH133" t="n">
        <v>2</v>
      </c>
      <c r="AI133" t="n">
        <v>2</v>
      </c>
      <c r="AJ133" t="n">
        <v>0</v>
      </c>
      <c r="AK133" t="n">
        <v>0</v>
      </c>
      <c r="AL133" t="n">
        <v>0</v>
      </c>
      <c r="AM133" t="n">
        <v>0</v>
      </c>
      <c r="AN133" t="n">
        <v>0</v>
      </c>
      <c r="AO133" t="n">
        <v>0</v>
      </c>
      <c r="AP133" t="inlineStr">
        <is>
          <t>No</t>
        </is>
      </c>
      <c r="AQ133" t="inlineStr">
        <is>
          <t>Yes</t>
        </is>
      </c>
      <c r="AR133">
        <f>HYPERLINK("http://catalog.hathitrust.org/Record/003197703","HathiTrust Record")</f>
        <v/>
      </c>
      <c r="AS133">
        <f>HYPERLINK("https://creighton-primo.hosted.exlibrisgroup.com/primo-explore/search?tab=default_tab&amp;search_scope=EVERYTHING&amp;vid=01CRU&amp;lang=en_US&amp;offset=0&amp;query=any,contains,991000902039702656","Catalog Record")</f>
        <v/>
      </c>
      <c r="AT133">
        <f>HYPERLINK("http://www.worldcat.org/oclc/37598698","WorldCat Record")</f>
        <v/>
      </c>
      <c r="AU133" t="inlineStr">
        <is>
          <t>44844335:eng</t>
        </is>
      </c>
      <c r="AV133" t="inlineStr">
        <is>
          <t>37598698</t>
        </is>
      </c>
      <c r="AW133" t="inlineStr">
        <is>
          <t>991000902039702656</t>
        </is>
      </c>
      <c r="AX133" t="inlineStr">
        <is>
          <t>991000902039702656</t>
        </is>
      </c>
      <c r="AY133" t="inlineStr">
        <is>
          <t>2255481830002656</t>
        </is>
      </c>
      <c r="AZ133" t="inlineStr">
        <is>
          <t>BOOK</t>
        </is>
      </c>
      <c r="BB133" t="inlineStr">
        <is>
          <t>9780910761802</t>
        </is>
      </c>
      <c r="BC133" t="inlineStr">
        <is>
          <t>30001004176733</t>
        </is>
      </c>
      <c r="BD133" t="inlineStr">
        <is>
          <t>893560733</t>
        </is>
      </c>
    </row>
    <row r="134">
      <c r="A134" t="inlineStr">
        <is>
          <t>No</t>
        </is>
      </c>
      <c r="B134" t="inlineStr">
        <is>
          <t>QZ 50 G316p 1998</t>
        </is>
      </c>
      <c r="C134" t="inlineStr">
        <is>
          <t>0                      QZ 0050000G  316p        1998</t>
        </is>
      </c>
      <c r="D134" t="inlineStr">
        <is>
          <t>Principles of medical genetics / Thomas D. Gelehrter, Francis S. Collins, David Ginsburg.</t>
        </is>
      </c>
      <c r="F134" t="inlineStr">
        <is>
          <t>No</t>
        </is>
      </c>
      <c r="G134" t="inlineStr">
        <is>
          <t>1</t>
        </is>
      </c>
      <c r="H134" t="inlineStr">
        <is>
          <t>No</t>
        </is>
      </c>
      <c r="I134" t="inlineStr">
        <is>
          <t>No</t>
        </is>
      </c>
      <c r="J134" t="inlineStr">
        <is>
          <t>0</t>
        </is>
      </c>
      <c r="K134" t="inlineStr">
        <is>
          <t>Gelehrter, Thomas D.</t>
        </is>
      </c>
      <c r="L134" t="inlineStr">
        <is>
          <t>Baltimore : Williams &amp; Wilkins, c1998.</t>
        </is>
      </c>
      <c r="M134" t="inlineStr">
        <is>
          <t>1998</t>
        </is>
      </c>
      <c r="N134" t="inlineStr">
        <is>
          <t>2nd ed.</t>
        </is>
      </c>
      <c r="O134" t="inlineStr">
        <is>
          <t>eng</t>
        </is>
      </c>
      <c r="P134" t="inlineStr">
        <is>
          <t>mdu</t>
        </is>
      </c>
      <c r="R134" t="inlineStr">
        <is>
          <t xml:space="preserve">QZ </t>
        </is>
      </c>
      <c r="S134" t="n">
        <v>14</v>
      </c>
      <c r="T134" t="n">
        <v>14</v>
      </c>
      <c r="U134" t="inlineStr">
        <is>
          <t>2004-01-09</t>
        </is>
      </c>
      <c r="V134" t="inlineStr">
        <is>
          <t>2004-01-09</t>
        </is>
      </c>
      <c r="W134" t="inlineStr">
        <is>
          <t>1998-02-26</t>
        </is>
      </c>
      <c r="X134" t="inlineStr">
        <is>
          <t>1998-02-26</t>
        </is>
      </c>
      <c r="Y134" t="n">
        <v>498</v>
      </c>
      <c r="Z134" t="n">
        <v>356</v>
      </c>
      <c r="AA134" t="n">
        <v>465</v>
      </c>
      <c r="AB134" t="n">
        <v>1</v>
      </c>
      <c r="AC134" t="n">
        <v>3</v>
      </c>
      <c r="AD134" t="n">
        <v>11</v>
      </c>
      <c r="AE134" t="n">
        <v>16</v>
      </c>
      <c r="AF134" t="n">
        <v>4</v>
      </c>
      <c r="AG134" t="n">
        <v>5</v>
      </c>
      <c r="AH134" t="n">
        <v>3</v>
      </c>
      <c r="AI134" t="n">
        <v>4</v>
      </c>
      <c r="AJ134" t="n">
        <v>8</v>
      </c>
      <c r="AK134" t="n">
        <v>10</v>
      </c>
      <c r="AL134" t="n">
        <v>0</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HYPERLINK("https://creighton-primo.hosted.exlibrisgroup.com/primo-explore/search?tab=default_tab&amp;search_scope=EVERYTHING&amp;vid=01CRU&amp;lang=en_US&amp;offset=0&amp;query=any,contains,991001306369702656","Catalog Record")</f>
        <v/>
      </c>
      <c r="AT134">
        <f>HYPERLINK("http://www.worldcat.org/oclc/37031274","WorldCat Record")</f>
        <v/>
      </c>
      <c r="AU134" t="inlineStr">
        <is>
          <t>22548570:eng</t>
        </is>
      </c>
      <c r="AV134" t="inlineStr">
        <is>
          <t>37031274</t>
        </is>
      </c>
      <c r="AW134" t="inlineStr">
        <is>
          <t>991001306369702656</t>
        </is>
      </c>
      <c r="AX134" t="inlineStr">
        <is>
          <t>991001306369702656</t>
        </is>
      </c>
      <c r="AY134" t="inlineStr">
        <is>
          <t>2254940940002656</t>
        </is>
      </c>
      <c r="AZ134" t="inlineStr">
        <is>
          <t>BOOK</t>
        </is>
      </c>
      <c r="BC134" t="inlineStr">
        <is>
          <t>30001003749928</t>
        </is>
      </c>
      <c r="BD134" t="inlineStr">
        <is>
          <t>893832087</t>
        </is>
      </c>
    </row>
    <row r="135">
      <c r="A135" t="inlineStr">
        <is>
          <t>No</t>
        </is>
      </c>
      <c r="B135" t="inlineStr">
        <is>
          <t>QZ 50 G3226 2002</t>
        </is>
      </c>
      <c r="C135" t="inlineStr">
        <is>
          <t>0                      QZ 0050000G  3226        2002</t>
        </is>
      </c>
      <c r="D135" t="inlineStr">
        <is>
          <t>The genetic basis of common diseases / edited by Richard A. King, Jerome I. Rotter, Arno G. Motulsky.</t>
        </is>
      </c>
      <c r="F135" t="inlineStr">
        <is>
          <t>No</t>
        </is>
      </c>
      <c r="G135" t="inlineStr">
        <is>
          <t>1</t>
        </is>
      </c>
      <c r="H135" t="inlineStr">
        <is>
          <t>No</t>
        </is>
      </c>
      <c r="I135" t="inlineStr">
        <is>
          <t>No</t>
        </is>
      </c>
      <c r="J135" t="inlineStr">
        <is>
          <t>1</t>
        </is>
      </c>
      <c r="L135" t="inlineStr">
        <is>
          <t>Oxford ; New York : Oxford University Press, 2002.</t>
        </is>
      </c>
      <c r="M135" t="inlineStr">
        <is>
          <t>2002</t>
        </is>
      </c>
      <c r="N135" t="inlineStr">
        <is>
          <t>2nd ed.</t>
        </is>
      </c>
      <c r="O135" t="inlineStr">
        <is>
          <t>eng</t>
        </is>
      </c>
      <c r="P135" t="inlineStr">
        <is>
          <t>enk</t>
        </is>
      </c>
      <c r="Q135" t="inlineStr">
        <is>
          <t>Oxford monographs on medical genetics ; no. 44</t>
        </is>
      </c>
      <c r="R135" t="inlineStr">
        <is>
          <t xml:space="preserve">QZ </t>
        </is>
      </c>
      <c r="S135" t="n">
        <v>2</v>
      </c>
      <c r="T135" t="n">
        <v>2</v>
      </c>
      <c r="U135" t="inlineStr">
        <is>
          <t>2004-09-10</t>
        </is>
      </c>
      <c r="V135" t="inlineStr">
        <is>
          <t>2004-09-10</t>
        </is>
      </c>
      <c r="W135" t="inlineStr">
        <is>
          <t>2004-09-09</t>
        </is>
      </c>
      <c r="X135" t="inlineStr">
        <is>
          <t>2004-09-09</t>
        </is>
      </c>
      <c r="Y135" t="n">
        <v>233</v>
      </c>
      <c r="Z135" t="n">
        <v>165</v>
      </c>
      <c r="AA135" t="n">
        <v>931</v>
      </c>
      <c r="AB135" t="n">
        <v>2</v>
      </c>
      <c r="AC135" t="n">
        <v>15</v>
      </c>
      <c r="AD135" t="n">
        <v>9</v>
      </c>
      <c r="AE135" t="n">
        <v>38</v>
      </c>
      <c r="AF135" t="n">
        <v>2</v>
      </c>
      <c r="AG135" t="n">
        <v>9</v>
      </c>
      <c r="AH135" t="n">
        <v>3</v>
      </c>
      <c r="AI135" t="n">
        <v>8</v>
      </c>
      <c r="AJ135" t="n">
        <v>5</v>
      </c>
      <c r="AK135" t="n">
        <v>13</v>
      </c>
      <c r="AL135" t="n">
        <v>1</v>
      </c>
      <c r="AM135" t="n">
        <v>13</v>
      </c>
      <c r="AN135" t="n">
        <v>0</v>
      </c>
      <c r="AO135" t="n">
        <v>1</v>
      </c>
      <c r="AP135" t="inlineStr">
        <is>
          <t>No</t>
        </is>
      </c>
      <c r="AQ135" t="inlineStr">
        <is>
          <t>No</t>
        </is>
      </c>
      <c r="AS135">
        <f>HYPERLINK("https://creighton-primo.hosted.exlibrisgroup.com/primo-explore/search?tab=default_tab&amp;search_scope=EVERYTHING&amp;vid=01CRU&amp;lang=en_US&amp;offset=0&amp;query=any,contains,991000385389702656","Catalog Record")</f>
        <v/>
      </c>
      <c r="AT135">
        <f>HYPERLINK("http://www.worldcat.org/oclc/49221895","WorldCat Record")</f>
        <v/>
      </c>
      <c r="AU135" t="inlineStr">
        <is>
          <t>866299647:eng</t>
        </is>
      </c>
      <c r="AV135" t="inlineStr">
        <is>
          <t>49221895</t>
        </is>
      </c>
      <c r="AW135" t="inlineStr">
        <is>
          <t>991000385389702656</t>
        </is>
      </c>
      <c r="AX135" t="inlineStr">
        <is>
          <t>991000385389702656</t>
        </is>
      </c>
      <c r="AY135" t="inlineStr">
        <is>
          <t>2260719710002656</t>
        </is>
      </c>
      <c r="AZ135" t="inlineStr">
        <is>
          <t>BOOK</t>
        </is>
      </c>
      <c r="BB135" t="inlineStr">
        <is>
          <t>9780195125825</t>
        </is>
      </c>
      <c r="BC135" t="inlineStr">
        <is>
          <t>30001004506335</t>
        </is>
      </c>
      <c r="BD135" t="inlineStr">
        <is>
          <t>893827439</t>
        </is>
      </c>
    </row>
    <row r="136">
      <c r="A136" t="inlineStr">
        <is>
          <t>No</t>
        </is>
      </c>
      <c r="B136" t="inlineStr">
        <is>
          <t>QZ 50 G3244 1986</t>
        </is>
      </c>
      <c r="C136" t="inlineStr">
        <is>
          <t>0                      QZ 0050000G  3244        1986</t>
        </is>
      </c>
      <c r="D136" t="inlineStr">
        <is>
          <t>Genetic disorders and the fetus : diagnosis, prevention, and treatment / edited by Aubrey Milunsky.</t>
        </is>
      </c>
      <c r="F136" t="inlineStr">
        <is>
          <t>No</t>
        </is>
      </c>
      <c r="G136" t="inlineStr">
        <is>
          <t>1</t>
        </is>
      </c>
      <c r="H136" t="inlineStr">
        <is>
          <t>No</t>
        </is>
      </c>
      <c r="I136" t="inlineStr">
        <is>
          <t>Yes</t>
        </is>
      </c>
      <c r="J136" t="inlineStr">
        <is>
          <t>0</t>
        </is>
      </c>
      <c r="L136" t="inlineStr">
        <is>
          <t>New York : Plenum Press, c1986.</t>
        </is>
      </c>
      <c r="M136" t="inlineStr">
        <is>
          <t>1986</t>
        </is>
      </c>
      <c r="N136" t="inlineStr">
        <is>
          <t>2nd ed.</t>
        </is>
      </c>
      <c r="O136" t="inlineStr">
        <is>
          <t>eng</t>
        </is>
      </c>
      <c r="P136" t="inlineStr">
        <is>
          <t>xxu</t>
        </is>
      </c>
      <c r="R136" t="inlineStr">
        <is>
          <t xml:space="preserve">QZ </t>
        </is>
      </c>
      <c r="S136" t="n">
        <v>15</v>
      </c>
      <c r="T136" t="n">
        <v>15</v>
      </c>
      <c r="U136" t="inlineStr">
        <is>
          <t>2002-02-01</t>
        </is>
      </c>
      <c r="V136" t="inlineStr">
        <is>
          <t>2002-02-01</t>
        </is>
      </c>
      <c r="W136" t="inlineStr">
        <is>
          <t>1988-02-12</t>
        </is>
      </c>
      <c r="X136" t="inlineStr">
        <is>
          <t>1988-02-12</t>
        </is>
      </c>
      <c r="Y136" t="n">
        <v>168</v>
      </c>
      <c r="Z136" t="n">
        <v>121</v>
      </c>
      <c r="AA136" t="n">
        <v>816</v>
      </c>
      <c r="AB136" t="n">
        <v>2</v>
      </c>
      <c r="AC136" t="n">
        <v>7</v>
      </c>
      <c r="AD136" t="n">
        <v>2</v>
      </c>
      <c r="AE136" t="n">
        <v>37</v>
      </c>
      <c r="AF136" t="n">
        <v>1</v>
      </c>
      <c r="AG136" t="n">
        <v>17</v>
      </c>
      <c r="AH136" t="n">
        <v>0</v>
      </c>
      <c r="AI136" t="n">
        <v>7</v>
      </c>
      <c r="AJ136" t="n">
        <v>1</v>
      </c>
      <c r="AK136" t="n">
        <v>13</v>
      </c>
      <c r="AL136" t="n">
        <v>1</v>
      </c>
      <c r="AM136" t="n">
        <v>6</v>
      </c>
      <c r="AN136" t="n">
        <v>0</v>
      </c>
      <c r="AO136" t="n">
        <v>1</v>
      </c>
      <c r="AP136" t="inlineStr">
        <is>
          <t>No</t>
        </is>
      </c>
      <c r="AQ136" t="inlineStr">
        <is>
          <t>Yes</t>
        </is>
      </c>
      <c r="AR136">
        <f>HYPERLINK("http://catalog.hathitrust.org/Record/000811580","HathiTrust Record")</f>
        <v/>
      </c>
      <c r="AS136">
        <f>HYPERLINK("https://creighton-primo.hosted.exlibrisgroup.com/primo-explore/search?tab=default_tab&amp;search_scope=EVERYTHING&amp;vid=01CRU&amp;lang=en_US&amp;offset=0&amp;query=any,contains,991000763699702656","Catalog Record")</f>
        <v/>
      </c>
      <c r="AT136">
        <f>HYPERLINK("http://www.worldcat.org/oclc/14098752","WorldCat Record")</f>
        <v/>
      </c>
      <c r="AU136" t="inlineStr">
        <is>
          <t>794161608:eng</t>
        </is>
      </c>
      <c r="AV136" t="inlineStr">
        <is>
          <t>14098752</t>
        </is>
      </c>
      <c r="AW136" t="inlineStr">
        <is>
          <t>991000763699702656</t>
        </is>
      </c>
      <c r="AX136" t="inlineStr">
        <is>
          <t>991000763699702656</t>
        </is>
      </c>
      <c r="AY136" t="inlineStr">
        <is>
          <t>2259008800002656</t>
        </is>
      </c>
      <c r="AZ136" t="inlineStr">
        <is>
          <t>BOOK</t>
        </is>
      </c>
      <c r="BB136" t="inlineStr">
        <is>
          <t>9780306423017</t>
        </is>
      </c>
      <c r="BC136" t="inlineStr">
        <is>
          <t>30001000056640</t>
        </is>
      </c>
      <c r="BD136" t="inlineStr">
        <is>
          <t>893557114</t>
        </is>
      </c>
    </row>
    <row r="137">
      <c r="A137" t="inlineStr">
        <is>
          <t>No</t>
        </is>
      </c>
      <c r="B137" t="inlineStr">
        <is>
          <t>QZ50 G3244 2004</t>
        </is>
      </c>
      <c r="C137" t="inlineStr">
        <is>
          <t>0                      QZ 0050000G  3244        2004</t>
        </is>
      </c>
      <c r="D137" t="inlineStr">
        <is>
          <t>Genetic disorders and the fetus : diagnosis, prevention, and treatment / edited by Aubrey Milunsky.</t>
        </is>
      </c>
      <c r="F137" t="inlineStr">
        <is>
          <t>No</t>
        </is>
      </c>
      <c r="G137" t="inlineStr">
        <is>
          <t>1</t>
        </is>
      </c>
      <c r="H137" t="inlineStr">
        <is>
          <t>No</t>
        </is>
      </c>
      <c r="I137" t="inlineStr">
        <is>
          <t>Yes</t>
        </is>
      </c>
      <c r="J137" t="inlineStr">
        <is>
          <t>0</t>
        </is>
      </c>
      <c r="L137" t="inlineStr">
        <is>
          <t>Baltimore : Johns Hopkins University Press, 2004.</t>
        </is>
      </c>
      <c r="M137" t="inlineStr">
        <is>
          <t>2016</t>
        </is>
      </c>
      <c r="N137" t="inlineStr">
        <is>
          <t>5th ed.</t>
        </is>
      </c>
      <c r="O137" t="inlineStr">
        <is>
          <t>eng</t>
        </is>
      </c>
      <c r="P137" t="inlineStr">
        <is>
          <t xml:space="preserve">xx </t>
        </is>
      </c>
      <c r="R137" t="inlineStr">
        <is>
          <t xml:space="preserve">QZ </t>
        </is>
      </c>
      <c r="S137" t="n">
        <v>1</v>
      </c>
      <c r="T137" t="n">
        <v>1</v>
      </c>
      <c r="U137" t="inlineStr">
        <is>
          <t>2006-05-04</t>
        </is>
      </c>
      <c r="V137" t="inlineStr">
        <is>
          <t>2006-05-04</t>
        </is>
      </c>
      <c r="W137" t="inlineStr">
        <is>
          <t>2006-04-25</t>
        </is>
      </c>
      <c r="X137" t="inlineStr">
        <is>
          <t>2006-04-25</t>
        </is>
      </c>
      <c r="Y137" t="n">
        <v>186</v>
      </c>
      <c r="Z137" t="n">
        <v>137</v>
      </c>
      <c r="AA137" t="n">
        <v>816</v>
      </c>
      <c r="AB137" t="n">
        <v>1</v>
      </c>
      <c r="AC137" t="n">
        <v>7</v>
      </c>
      <c r="AD137" t="n">
        <v>5</v>
      </c>
      <c r="AE137" t="n">
        <v>37</v>
      </c>
      <c r="AF137" t="n">
        <v>2</v>
      </c>
      <c r="AG137" t="n">
        <v>17</v>
      </c>
      <c r="AH137" t="n">
        <v>1</v>
      </c>
      <c r="AI137" t="n">
        <v>7</v>
      </c>
      <c r="AJ137" t="n">
        <v>2</v>
      </c>
      <c r="AK137" t="n">
        <v>13</v>
      </c>
      <c r="AL137" t="n">
        <v>0</v>
      </c>
      <c r="AM137" t="n">
        <v>6</v>
      </c>
      <c r="AN137" t="n">
        <v>0</v>
      </c>
      <c r="AO137" t="n">
        <v>1</v>
      </c>
      <c r="AP137" t="inlineStr">
        <is>
          <t>No</t>
        </is>
      </c>
      <c r="AQ137" t="inlineStr">
        <is>
          <t>Yes</t>
        </is>
      </c>
      <c r="AR137">
        <f>HYPERLINK("http://catalog.hathitrust.org/Record/004724710","HathiTrust Record")</f>
        <v/>
      </c>
      <c r="AS137">
        <f>HYPERLINK("https://creighton-primo.hosted.exlibrisgroup.com/primo-explore/search?tab=default_tab&amp;search_scope=EVERYTHING&amp;vid=01CRU&amp;lang=en_US&amp;offset=0&amp;query=any,contains,991000477249702656","Catalog Record")</f>
        <v/>
      </c>
      <c r="AT137">
        <f>HYPERLINK("http://www.worldcat.org/oclc/52887000","WorldCat Record")</f>
        <v/>
      </c>
      <c r="AU137" t="inlineStr">
        <is>
          <t>794161608:eng</t>
        </is>
      </c>
      <c r="AV137" t="inlineStr">
        <is>
          <t>52887000</t>
        </is>
      </c>
      <c r="AW137" t="inlineStr">
        <is>
          <t>991000477249702656</t>
        </is>
      </c>
      <c r="AX137" t="inlineStr">
        <is>
          <t>991000477249702656</t>
        </is>
      </c>
      <c r="AY137" t="inlineStr">
        <is>
          <t>2271965530002656</t>
        </is>
      </c>
      <c r="AZ137" t="inlineStr">
        <is>
          <t>BOOK</t>
        </is>
      </c>
      <c r="BB137" t="inlineStr">
        <is>
          <t>9780801879289</t>
        </is>
      </c>
      <c r="BC137" t="inlineStr">
        <is>
          <t>30001005126042</t>
        </is>
      </c>
      <c r="BD137" t="inlineStr">
        <is>
          <t>893269483</t>
        </is>
      </c>
    </row>
    <row r="138">
      <c r="A138" t="inlineStr">
        <is>
          <t>No</t>
        </is>
      </c>
      <c r="B138" t="inlineStr">
        <is>
          <t>QZ 50 G3245 1977</t>
        </is>
      </c>
      <c r="C138" t="inlineStr">
        <is>
          <t>0                      QZ 0050000G  3245        1977</t>
        </is>
      </c>
      <c r="D138" t="inlineStr">
        <is>
          <t>Genetic epidemiology / edited by Newton E. Morton and Chin Sik Chung.</t>
        </is>
      </c>
      <c r="F138" t="inlineStr">
        <is>
          <t>No</t>
        </is>
      </c>
      <c r="G138" t="inlineStr">
        <is>
          <t>1</t>
        </is>
      </c>
      <c r="H138" t="inlineStr">
        <is>
          <t>No</t>
        </is>
      </c>
      <c r="I138" t="inlineStr">
        <is>
          <t>No</t>
        </is>
      </c>
      <c r="J138" t="inlineStr">
        <is>
          <t>0</t>
        </is>
      </c>
      <c r="L138" t="inlineStr">
        <is>
          <t>New York : Academic Press, 1978.</t>
        </is>
      </c>
      <c r="M138" t="inlineStr">
        <is>
          <t>1978</t>
        </is>
      </c>
      <c r="O138" t="inlineStr">
        <is>
          <t>eng</t>
        </is>
      </c>
      <c r="P138" t="inlineStr">
        <is>
          <t>nyu</t>
        </is>
      </c>
      <c r="R138" t="inlineStr">
        <is>
          <t xml:space="preserve">QZ </t>
        </is>
      </c>
      <c r="S138" t="n">
        <v>6</v>
      </c>
      <c r="T138" t="n">
        <v>6</v>
      </c>
      <c r="U138" t="inlineStr">
        <is>
          <t>2003-12-20</t>
        </is>
      </c>
      <c r="V138" t="inlineStr">
        <is>
          <t>2003-12-20</t>
        </is>
      </c>
      <c r="W138" t="inlineStr">
        <is>
          <t>1988-02-12</t>
        </is>
      </c>
      <c r="X138" t="inlineStr">
        <is>
          <t>1988-02-12</t>
        </is>
      </c>
      <c r="Y138" t="n">
        <v>244</v>
      </c>
      <c r="Z138" t="n">
        <v>174</v>
      </c>
      <c r="AA138" t="n">
        <v>181</v>
      </c>
      <c r="AB138" t="n">
        <v>2</v>
      </c>
      <c r="AC138" t="n">
        <v>2</v>
      </c>
      <c r="AD138" t="n">
        <v>4</v>
      </c>
      <c r="AE138" t="n">
        <v>4</v>
      </c>
      <c r="AF138" t="n">
        <v>0</v>
      </c>
      <c r="AG138" t="n">
        <v>0</v>
      </c>
      <c r="AH138" t="n">
        <v>2</v>
      </c>
      <c r="AI138" t="n">
        <v>2</v>
      </c>
      <c r="AJ138" t="n">
        <v>1</v>
      </c>
      <c r="AK138" t="n">
        <v>1</v>
      </c>
      <c r="AL138" t="n">
        <v>1</v>
      </c>
      <c r="AM138" t="n">
        <v>1</v>
      </c>
      <c r="AN138" t="n">
        <v>0</v>
      </c>
      <c r="AO138" t="n">
        <v>0</v>
      </c>
      <c r="AP138" t="inlineStr">
        <is>
          <t>No</t>
        </is>
      </c>
      <c r="AQ138" t="inlineStr">
        <is>
          <t>Yes</t>
        </is>
      </c>
      <c r="AR138">
        <f>HYPERLINK("http://catalog.hathitrust.org/Record/000176373","HathiTrust Record")</f>
        <v/>
      </c>
      <c r="AS138">
        <f>HYPERLINK("https://creighton-primo.hosted.exlibrisgroup.com/primo-explore/search?tab=default_tab&amp;search_scope=EVERYTHING&amp;vid=01CRU&amp;lang=en_US&amp;offset=0&amp;query=any,contains,991001089799702656","Catalog Record")</f>
        <v/>
      </c>
      <c r="AT138">
        <f>HYPERLINK("http://www.worldcat.org/oclc/4003440","WorldCat Record")</f>
        <v/>
      </c>
      <c r="AU138" t="inlineStr">
        <is>
          <t>355684456:eng</t>
        </is>
      </c>
      <c r="AV138" t="inlineStr">
        <is>
          <t>4003440</t>
        </is>
      </c>
      <c r="AW138" t="inlineStr">
        <is>
          <t>991001089799702656</t>
        </is>
      </c>
      <c r="AX138" t="inlineStr">
        <is>
          <t>991001089799702656</t>
        </is>
      </c>
      <c r="AY138" t="inlineStr">
        <is>
          <t>2267663700002656</t>
        </is>
      </c>
      <c r="AZ138" t="inlineStr">
        <is>
          <t>BOOK</t>
        </is>
      </c>
      <c r="BB138" t="inlineStr">
        <is>
          <t>9780125080507</t>
        </is>
      </c>
      <c r="BC138" t="inlineStr">
        <is>
          <t>30001000261778</t>
        </is>
      </c>
      <c r="BD138" t="inlineStr">
        <is>
          <t>893740741</t>
        </is>
      </c>
    </row>
    <row r="139">
      <c r="A139" t="inlineStr">
        <is>
          <t>No</t>
        </is>
      </c>
      <c r="B139" t="inlineStr">
        <is>
          <t>QZ 50 G325 1981</t>
        </is>
      </c>
      <c r="C139" t="inlineStr">
        <is>
          <t>0                      QZ 0050000G  325         1981</t>
        </is>
      </c>
      <c r="D139" t="inlineStr">
        <is>
          <t>Genetic issues in pediatric, obstetric, and gynecologic practice / edited by Michael M. Kaback.</t>
        </is>
      </c>
      <c r="F139" t="inlineStr">
        <is>
          <t>No</t>
        </is>
      </c>
      <c r="G139" t="inlineStr">
        <is>
          <t>1</t>
        </is>
      </c>
      <c r="H139" t="inlineStr">
        <is>
          <t>No</t>
        </is>
      </c>
      <c r="I139" t="inlineStr">
        <is>
          <t>No</t>
        </is>
      </c>
      <c r="J139" t="inlineStr">
        <is>
          <t>0</t>
        </is>
      </c>
      <c r="L139" t="inlineStr">
        <is>
          <t>Chicago : Year Book Medical Publishers, c1981.</t>
        </is>
      </c>
      <c r="M139" t="inlineStr">
        <is>
          <t>1981</t>
        </is>
      </c>
      <c r="O139" t="inlineStr">
        <is>
          <t>eng</t>
        </is>
      </c>
      <c r="P139" t="inlineStr">
        <is>
          <t>xxu</t>
        </is>
      </c>
      <c r="R139" t="inlineStr">
        <is>
          <t xml:space="preserve">QZ </t>
        </is>
      </c>
      <c r="S139" t="n">
        <v>2</v>
      </c>
      <c r="T139" t="n">
        <v>2</v>
      </c>
      <c r="U139" t="inlineStr">
        <is>
          <t>2001-01-23</t>
        </is>
      </c>
      <c r="V139" t="inlineStr">
        <is>
          <t>2001-01-23</t>
        </is>
      </c>
      <c r="W139" t="inlineStr">
        <is>
          <t>1988-02-12</t>
        </is>
      </c>
      <c r="X139" t="inlineStr">
        <is>
          <t>1988-02-12</t>
        </is>
      </c>
      <c r="Y139" t="n">
        <v>118</v>
      </c>
      <c r="Z139" t="n">
        <v>84</v>
      </c>
      <c r="AA139" t="n">
        <v>86</v>
      </c>
      <c r="AB139" t="n">
        <v>1</v>
      </c>
      <c r="AC139" t="n">
        <v>1</v>
      </c>
      <c r="AD139" t="n">
        <v>1</v>
      </c>
      <c r="AE139" t="n">
        <v>1</v>
      </c>
      <c r="AF139" t="n">
        <v>1</v>
      </c>
      <c r="AG139" t="n">
        <v>1</v>
      </c>
      <c r="AH139" t="n">
        <v>0</v>
      </c>
      <c r="AI139" t="n">
        <v>0</v>
      </c>
      <c r="AJ139" t="n">
        <v>0</v>
      </c>
      <c r="AK139" t="n">
        <v>0</v>
      </c>
      <c r="AL139" t="n">
        <v>0</v>
      </c>
      <c r="AM139" t="n">
        <v>0</v>
      </c>
      <c r="AN139" t="n">
        <v>0</v>
      </c>
      <c r="AO139" t="n">
        <v>0</v>
      </c>
      <c r="AP139" t="inlineStr">
        <is>
          <t>No</t>
        </is>
      </c>
      <c r="AQ139" t="inlineStr">
        <is>
          <t>Yes</t>
        </is>
      </c>
      <c r="AR139">
        <f>HYPERLINK("http://catalog.hathitrust.org/Record/000766336","HathiTrust Record")</f>
        <v/>
      </c>
      <c r="AS139">
        <f>HYPERLINK("https://creighton-primo.hosted.exlibrisgroup.com/primo-explore/search?tab=default_tab&amp;search_scope=EVERYTHING&amp;vid=01CRU&amp;lang=en_US&amp;offset=0&amp;query=any,contains,991001089849702656","Catalog Record")</f>
        <v/>
      </c>
      <c r="AT139">
        <f>HYPERLINK("http://www.worldcat.org/oclc/7284089","WorldCat Record")</f>
        <v/>
      </c>
      <c r="AU139" t="inlineStr">
        <is>
          <t>26449628:eng</t>
        </is>
      </c>
      <c r="AV139" t="inlineStr">
        <is>
          <t>7284089</t>
        </is>
      </c>
      <c r="AW139" t="inlineStr">
        <is>
          <t>991001089849702656</t>
        </is>
      </c>
      <c r="AX139" t="inlineStr">
        <is>
          <t>991001089849702656</t>
        </is>
      </c>
      <c r="AY139" t="inlineStr">
        <is>
          <t>2254989400002656</t>
        </is>
      </c>
      <c r="AZ139" t="inlineStr">
        <is>
          <t>BOOK</t>
        </is>
      </c>
      <c r="BB139" t="inlineStr">
        <is>
          <t>9780815149521</t>
        </is>
      </c>
      <c r="BC139" t="inlineStr">
        <is>
          <t>30001000261794</t>
        </is>
      </c>
      <c r="BD139" t="inlineStr">
        <is>
          <t>893740742</t>
        </is>
      </c>
    </row>
    <row r="140">
      <c r="A140" t="inlineStr">
        <is>
          <t>No</t>
        </is>
      </c>
      <c r="B140" t="inlineStr">
        <is>
          <t>QZ 50 G3276 1982</t>
        </is>
      </c>
      <c r="C140" t="inlineStr">
        <is>
          <t>0                      QZ 0050000G  3276        1982</t>
        </is>
      </c>
      <c r="D140" t="inlineStr">
        <is>
          <t>Genetics in obstetrics and gynecology / Joe Leigh Simpson ... [et al.].</t>
        </is>
      </c>
      <c r="F140" t="inlineStr">
        <is>
          <t>No</t>
        </is>
      </c>
      <c r="G140" t="inlineStr">
        <is>
          <t>1</t>
        </is>
      </c>
      <c r="H140" t="inlineStr">
        <is>
          <t>No</t>
        </is>
      </c>
      <c r="I140" t="inlineStr">
        <is>
          <t>Yes</t>
        </is>
      </c>
      <c r="J140" t="inlineStr">
        <is>
          <t>0</t>
        </is>
      </c>
      <c r="L140" t="inlineStr">
        <is>
          <t>New York, N.Y. : Grune &amp; Stratton, c1982.</t>
        </is>
      </c>
      <c r="M140" t="inlineStr">
        <is>
          <t>1982</t>
        </is>
      </c>
      <c r="O140" t="inlineStr">
        <is>
          <t>eng</t>
        </is>
      </c>
      <c r="P140" t="inlineStr">
        <is>
          <t>xxu</t>
        </is>
      </c>
      <c r="R140" t="inlineStr">
        <is>
          <t xml:space="preserve">QZ </t>
        </is>
      </c>
      <c r="S140" t="n">
        <v>13</v>
      </c>
      <c r="T140" t="n">
        <v>13</v>
      </c>
      <c r="U140" t="inlineStr">
        <is>
          <t>2003-04-15</t>
        </is>
      </c>
      <c r="V140" t="inlineStr">
        <is>
          <t>2003-04-15</t>
        </is>
      </c>
      <c r="W140" t="inlineStr">
        <is>
          <t>1988-02-12</t>
        </is>
      </c>
      <c r="X140" t="inlineStr">
        <is>
          <t>1988-02-12</t>
        </is>
      </c>
      <c r="Y140" t="n">
        <v>151</v>
      </c>
      <c r="Z140" t="n">
        <v>100</v>
      </c>
      <c r="AA140" t="n">
        <v>223</v>
      </c>
      <c r="AB140" t="n">
        <v>1</v>
      </c>
      <c r="AC140" t="n">
        <v>2</v>
      </c>
      <c r="AD140" t="n">
        <v>2</v>
      </c>
      <c r="AE140" t="n">
        <v>5</v>
      </c>
      <c r="AF140" t="n">
        <v>1</v>
      </c>
      <c r="AG140" t="n">
        <v>2</v>
      </c>
      <c r="AH140" t="n">
        <v>0</v>
      </c>
      <c r="AI140" t="n">
        <v>2</v>
      </c>
      <c r="AJ140" t="n">
        <v>2</v>
      </c>
      <c r="AK140" t="n">
        <v>3</v>
      </c>
      <c r="AL140" t="n">
        <v>0</v>
      </c>
      <c r="AM140" t="n">
        <v>0</v>
      </c>
      <c r="AN140" t="n">
        <v>0</v>
      </c>
      <c r="AO140" t="n">
        <v>0</v>
      </c>
      <c r="AP140" t="inlineStr">
        <is>
          <t>No</t>
        </is>
      </c>
      <c r="AQ140" t="inlineStr">
        <is>
          <t>Yes</t>
        </is>
      </c>
      <c r="AR140">
        <f>HYPERLINK("http://catalog.hathitrust.org/Record/000308146","HathiTrust Record")</f>
        <v/>
      </c>
      <c r="AS140">
        <f>HYPERLINK("https://creighton-primo.hosted.exlibrisgroup.com/primo-explore/search?tab=default_tab&amp;search_scope=EVERYTHING&amp;vid=01CRU&amp;lang=en_US&amp;offset=0&amp;query=any,contains,991001159299702656","Catalog Record")</f>
        <v/>
      </c>
      <c r="AT140">
        <f>HYPERLINK("http://www.worldcat.org/oclc/8171175","WorldCat Record")</f>
        <v/>
      </c>
      <c r="AU140" t="inlineStr">
        <is>
          <t>2707123:eng</t>
        </is>
      </c>
      <c r="AV140" t="inlineStr">
        <is>
          <t>8171175</t>
        </is>
      </c>
      <c r="AW140" t="inlineStr">
        <is>
          <t>991001159299702656</t>
        </is>
      </c>
      <c r="AX140" t="inlineStr">
        <is>
          <t>991001159299702656</t>
        </is>
      </c>
      <c r="AY140" t="inlineStr">
        <is>
          <t>2267870150002656</t>
        </is>
      </c>
      <c r="AZ140" t="inlineStr">
        <is>
          <t>BOOK</t>
        </is>
      </c>
      <c r="BB140" t="inlineStr">
        <is>
          <t>9780808914211</t>
        </is>
      </c>
      <c r="BC140" t="inlineStr">
        <is>
          <t>30001000969743</t>
        </is>
      </c>
      <c r="BD140" t="inlineStr">
        <is>
          <t>893557659</t>
        </is>
      </c>
    </row>
    <row r="141">
      <c r="A141" t="inlineStr">
        <is>
          <t>No</t>
        </is>
      </c>
      <c r="B141" t="inlineStr">
        <is>
          <t>QZ 50 G328 1981</t>
        </is>
      </c>
      <c r="C141" t="inlineStr">
        <is>
          <t>0                      QZ 0050000G  328         1981</t>
        </is>
      </c>
      <c r="D141" t="inlineStr">
        <is>
          <t>Genetic medicine and engineering : ethical and social dimensions / edited by Albert S. Moraczewski.</t>
        </is>
      </c>
      <c r="F141" t="inlineStr">
        <is>
          <t>No</t>
        </is>
      </c>
      <c r="G141" t="inlineStr">
        <is>
          <t>1</t>
        </is>
      </c>
      <c r="H141" t="inlineStr">
        <is>
          <t>No</t>
        </is>
      </c>
      <c r="I141" t="inlineStr">
        <is>
          <t>No</t>
        </is>
      </c>
      <c r="J141" t="inlineStr">
        <is>
          <t>0</t>
        </is>
      </c>
      <c r="L141" t="inlineStr">
        <is>
          <t>St. Louis, MO : Catholic Health Association of the United States : Pope John XXIII Medical-Moral Research and Education Center, c1983.</t>
        </is>
      </c>
      <c r="M141" t="inlineStr">
        <is>
          <t>1983</t>
        </is>
      </c>
      <c r="O141" t="inlineStr">
        <is>
          <t>eng</t>
        </is>
      </c>
      <c r="P141" t="inlineStr">
        <is>
          <t>mou</t>
        </is>
      </c>
      <c r="R141" t="inlineStr">
        <is>
          <t xml:space="preserve">QZ </t>
        </is>
      </c>
      <c r="S141" t="n">
        <v>7</v>
      </c>
      <c r="T141" t="n">
        <v>7</v>
      </c>
      <c r="U141" t="inlineStr">
        <is>
          <t>1996-12-11</t>
        </is>
      </c>
      <c r="V141" t="inlineStr">
        <is>
          <t>1996-12-11</t>
        </is>
      </c>
      <c r="W141" t="inlineStr">
        <is>
          <t>1988-02-12</t>
        </is>
      </c>
      <c r="X141" t="inlineStr">
        <is>
          <t>1988-02-12</t>
        </is>
      </c>
      <c r="Y141" t="n">
        <v>189</v>
      </c>
      <c r="Z141" t="n">
        <v>164</v>
      </c>
      <c r="AA141" t="n">
        <v>169</v>
      </c>
      <c r="AB141" t="n">
        <v>2</v>
      </c>
      <c r="AC141" t="n">
        <v>2</v>
      </c>
      <c r="AD141" t="n">
        <v>11</v>
      </c>
      <c r="AE141" t="n">
        <v>11</v>
      </c>
      <c r="AF141" t="n">
        <v>2</v>
      </c>
      <c r="AG141" t="n">
        <v>2</v>
      </c>
      <c r="AH141" t="n">
        <v>0</v>
      </c>
      <c r="AI141" t="n">
        <v>0</v>
      </c>
      <c r="AJ141" t="n">
        <v>6</v>
      </c>
      <c r="AK141" t="n">
        <v>6</v>
      </c>
      <c r="AL141" t="n">
        <v>0</v>
      </c>
      <c r="AM141" t="n">
        <v>0</v>
      </c>
      <c r="AN141" t="n">
        <v>3</v>
      </c>
      <c r="AO141" t="n">
        <v>3</v>
      </c>
      <c r="AP141" t="inlineStr">
        <is>
          <t>No</t>
        </is>
      </c>
      <c r="AQ141" t="inlineStr">
        <is>
          <t>No</t>
        </is>
      </c>
      <c r="AS141">
        <f>HYPERLINK("https://creighton-primo.hosted.exlibrisgroup.com/primo-explore/search?tab=default_tab&amp;search_scope=EVERYTHING&amp;vid=01CRU&amp;lang=en_US&amp;offset=0&amp;query=any,contains,991001089949702656","Catalog Record")</f>
        <v/>
      </c>
      <c r="AT141">
        <f>HYPERLINK("http://www.worldcat.org/oclc/9196880","WorldCat Record")</f>
        <v/>
      </c>
      <c r="AU141" t="inlineStr">
        <is>
          <t>43708060:eng</t>
        </is>
      </c>
      <c r="AV141" t="inlineStr">
        <is>
          <t>9196880</t>
        </is>
      </c>
      <c r="AW141" t="inlineStr">
        <is>
          <t>991001089949702656</t>
        </is>
      </c>
      <c r="AX141" t="inlineStr">
        <is>
          <t>991001089949702656</t>
        </is>
      </c>
      <c r="AY141" t="inlineStr">
        <is>
          <t>2268392400002656</t>
        </is>
      </c>
      <c r="AZ141" t="inlineStr">
        <is>
          <t>BOOK</t>
        </is>
      </c>
      <c r="BB141" t="inlineStr">
        <is>
          <t>9780871250773</t>
        </is>
      </c>
      <c r="BC141" t="inlineStr">
        <is>
          <t>30001000261828</t>
        </is>
      </c>
      <c r="BD141" t="inlineStr">
        <is>
          <t>893643197</t>
        </is>
      </c>
    </row>
    <row r="142">
      <c r="A142" t="inlineStr">
        <is>
          <t>No</t>
        </is>
      </c>
      <c r="B142" t="inlineStr">
        <is>
          <t>QZ 50 G328 1983</t>
        </is>
      </c>
      <c r="C142" t="inlineStr">
        <is>
          <t>0                      QZ 0050000G  328         1983</t>
        </is>
      </c>
      <c r="D142" t="inlineStr">
        <is>
          <t>Genetics, ethics, and parenthood / edited by Karen Lebacqz.</t>
        </is>
      </c>
      <c r="F142" t="inlineStr">
        <is>
          <t>No</t>
        </is>
      </c>
      <c r="G142" t="inlineStr">
        <is>
          <t>1</t>
        </is>
      </c>
      <c r="H142" t="inlineStr">
        <is>
          <t>No</t>
        </is>
      </c>
      <c r="I142" t="inlineStr">
        <is>
          <t>No</t>
        </is>
      </c>
      <c r="J142" t="inlineStr">
        <is>
          <t>0</t>
        </is>
      </c>
      <c r="L142" t="inlineStr">
        <is>
          <t>New York : Pilgrim Press, c1983.</t>
        </is>
      </c>
      <c r="M142" t="inlineStr">
        <is>
          <t>1983</t>
        </is>
      </c>
      <c r="O142" t="inlineStr">
        <is>
          <t>eng</t>
        </is>
      </c>
      <c r="P142" t="inlineStr">
        <is>
          <t>nyu</t>
        </is>
      </c>
      <c r="R142" t="inlineStr">
        <is>
          <t xml:space="preserve">QZ </t>
        </is>
      </c>
      <c r="S142" t="n">
        <v>13</v>
      </c>
      <c r="T142" t="n">
        <v>13</v>
      </c>
      <c r="U142" t="inlineStr">
        <is>
          <t>2001-03-20</t>
        </is>
      </c>
      <c r="V142" t="inlineStr">
        <is>
          <t>2001-03-20</t>
        </is>
      </c>
      <c r="W142" t="inlineStr">
        <is>
          <t>1988-02-12</t>
        </is>
      </c>
      <c r="X142" t="inlineStr">
        <is>
          <t>1988-02-12</t>
        </is>
      </c>
      <c r="Y142" t="n">
        <v>142</v>
      </c>
      <c r="Z142" t="n">
        <v>122</v>
      </c>
      <c r="AA142" t="n">
        <v>122</v>
      </c>
      <c r="AB142" t="n">
        <v>1</v>
      </c>
      <c r="AC142" t="n">
        <v>1</v>
      </c>
      <c r="AD142" t="n">
        <v>6</v>
      </c>
      <c r="AE142" t="n">
        <v>6</v>
      </c>
      <c r="AF142" t="n">
        <v>1</v>
      </c>
      <c r="AG142" t="n">
        <v>1</v>
      </c>
      <c r="AH142" t="n">
        <v>1</v>
      </c>
      <c r="AI142" t="n">
        <v>1</v>
      </c>
      <c r="AJ142" t="n">
        <v>5</v>
      </c>
      <c r="AK142" t="n">
        <v>5</v>
      </c>
      <c r="AL142" t="n">
        <v>0</v>
      </c>
      <c r="AM142" t="n">
        <v>0</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HYPERLINK("https://creighton-primo.hosted.exlibrisgroup.com/primo-explore/search?tab=default_tab&amp;search_scope=EVERYTHING&amp;vid=01CRU&amp;lang=en_US&amp;offset=0&amp;query=any,contains,991001089899702656","Catalog Record")</f>
        <v/>
      </c>
      <c r="AT142">
        <f>HYPERLINK("http://www.worldcat.org/oclc/9219036","WorldCat Record")</f>
        <v/>
      </c>
      <c r="AU142" t="inlineStr">
        <is>
          <t>43002288:eng</t>
        </is>
      </c>
      <c r="AV142" t="inlineStr">
        <is>
          <t>9219036</t>
        </is>
      </c>
      <c r="AW142" t="inlineStr">
        <is>
          <t>991001089899702656</t>
        </is>
      </c>
      <c r="AX142" t="inlineStr">
        <is>
          <t>991001089899702656</t>
        </is>
      </c>
      <c r="AY142" t="inlineStr">
        <is>
          <t>2268368120002656</t>
        </is>
      </c>
      <c r="AZ142" t="inlineStr">
        <is>
          <t>BOOK</t>
        </is>
      </c>
      <c r="BB142" t="inlineStr">
        <is>
          <t>9780829806717</t>
        </is>
      </c>
      <c r="BC142" t="inlineStr">
        <is>
          <t>30001000261802</t>
        </is>
      </c>
      <c r="BD142" t="inlineStr">
        <is>
          <t>893743623</t>
        </is>
      </c>
    </row>
    <row r="143">
      <c r="A143" t="inlineStr">
        <is>
          <t>No</t>
        </is>
      </c>
      <c r="B143" t="inlineStr">
        <is>
          <t>QZ 50 G328 1997</t>
        </is>
      </c>
      <c r="C143" t="inlineStr">
        <is>
          <t>0                      QZ 0050000G  328         1997</t>
        </is>
      </c>
      <c r="D143" t="inlineStr">
        <is>
          <t>The Genetics revolution : implications for nursing / edited by Felissa R. Lashley.</t>
        </is>
      </c>
      <c r="F143" t="inlineStr">
        <is>
          <t>No</t>
        </is>
      </c>
      <c r="G143" t="inlineStr">
        <is>
          <t>1</t>
        </is>
      </c>
      <c r="H143" t="inlineStr">
        <is>
          <t>No</t>
        </is>
      </c>
      <c r="I143" t="inlineStr">
        <is>
          <t>No</t>
        </is>
      </c>
      <c r="J143" t="inlineStr">
        <is>
          <t>0</t>
        </is>
      </c>
      <c r="L143" t="inlineStr">
        <is>
          <t>Washington, D.C. : American Academy of Nursing, c1997.</t>
        </is>
      </c>
      <c r="M143" t="inlineStr">
        <is>
          <t>1997</t>
        </is>
      </c>
      <c r="O143" t="inlineStr">
        <is>
          <t>eng</t>
        </is>
      </c>
      <c r="P143" t="inlineStr">
        <is>
          <t>dcu</t>
        </is>
      </c>
      <c r="Q143" t="inlineStr">
        <is>
          <t>AAC pub. no. G-196</t>
        </is>
      </c>
      <c r="R143" t="inlineStr">
        <is>
          <t xml:space="preserve">QZ </t>
        </is>
      </c>
      <c r="S143" t="n">
        <v>7</v>
      </c>
      <c r="T143" t="n">
        <v>7</v>
      </c>
      <c r="U143" t="inlineStr">
        <is>
          <t>2007-04-16</t>
        </is>
      </c>
      <c r="V143" t="inlineStr">
        <is>
          <t>2007-04-16</t>
        </is>
      </c>
      <c r="W143" t="inlineStr">
        <is>
          <t>1997-12-01</t>
        </is>
      </c>
      <c r="X143" t="inlineStr">
        <is>
          <t>1997-12-01</t>
        </is>
      </c>
      <c r="Y143" t="n">
        <v>162</v>
      </c>
      <c r="Z143" t="n">
        <v>153</v>
      </c>
      <c r="AA143" t="n">
        <v>155</v>
      </c>
      <c r="AB143" t="n">
        <v>3</v>
      </c>
      <c r="AC143" t="n">
        <v>3</v>
      </c>
      <c r="AD143" t="n">
        <v>14</v>
      </c>
      <c r="AE143" t="n">
        <v>14</v>
      </c>
      <c r="AF143" t="n">
        <v>5</v>
      </c>
      <c r="AG143" t="n">
        <v>5</v>
      </c>
      <c r="AH143" t="n">
        <v>4</v>
      </c>
      <c r="AI143" t="n">
        <v>4</v>
      </c>
      <c r="AJ143" t="n">
        <v>6</v>
      </c>
      <c r="AK143" t="n">
        <v>6</v>
      </c>
      <c r="AL143" t="n">
        <v>1</v>
      </c>
      <c r="AM143" t="n">
        <v>1</v>
      </c>
      <c r="AN143" t="n">
        <v>0</v>
      </c>
      <c r="AO143" t="n">
        <v>0</v>
      </c>
      <c r="AP143" t="inlineStr">
        <is>
          <t>No</t>
        </is>
      </c>
      <c r="AQ143" t="inlineStr">
        <is>
          <t>Yes</t>
        </is>
      </c>
      <c r="AR143">
        <f>HYPERLINK("http://catalog.hathitrust.org/Record/003245103","HathiTrust Record")</f>
        <v/>
      </c>
      <c r="AS143">
        <f>HYPERLINK("https://creighton-primo.hosted.exlibrisgroup.com/primo-explore/search?tab=default_tab&amp;search_scope=EVERYTHING&amp;vid=01CRU&amp;lang=en_US&amp;offset=0&amp;query=any,contains,991001093609702656","Catalog Record")</f>
        <v/>
      </c>
      <c r="AT143">
        <f>HYPERLINK("http://www.worldcat.org/oclc/38004867","WorldCat Record")</f>
        <v/>
      </c>
      <c r="AU143" t="inlineStr">
        <is>
          <t>998736:eng</t>
        </is>
      </c>
      <c r="AV143" t="inlineStr">
        <is>
          <t>38004867</t>
        </is>
      </c>
      <c r="AW143" t="inlineStr">
        <is>
          <t>991001093609702656</t>
        </is>
      </c>
      <c r="AX143" t="inlineStr">
        <is>
          <t>991001093609702656</t>
        </is>
      </c>
      <c r="AY143" t="inlineStr">
        <is>
          <t>2265112740002656</t>
        </is>
      </c>
      <c r="AZ143" t="inlineStr">
        <is>
          <t>BOOK</t>
        </is>
      </c>
      <c r="BB143" t="inlineStr">
        <is>
          <t>9781558101395</t>
        </is>
      </c>
      <c r="BC143" t="inlineStr">
        <is>
          <t>30001003604859</t>
        </is>
      </c>
      <c r="BD143" t="inlineStr">
        <is>
          <t>893467815</t>
        </is>
      </c>
    </row>
    <row r="144">
      <c r="A144" t="inlineStr">
        <is>
          <t>No</t>
        </is>
      </c>
      <c r="B144" t="inlineStr">
        <is>
          <t>QZ50 G32815 2004</t>
        </is>
      </c>
      <c r="C144" t="inlineStr">
        <is>
          <t>0                      QZ 0050000G  32815       2004</t>
        </is>
      </c>
      <c r="D144" t="inlineStr">
        <is>
          <t>Genetics and ethics : an interdisciplinary study / edited by Gerard Magill.</t>
        </is>
      </c>
      <c r="F144" t="inlineStr">
        <is>
          <t>No</t>
        </is>
      </c>
      <c r="G144" t="inlineStr">
        <is>
          <t>1</t>
        </is>
      </c>
      <c r="H144" t="inlineStr">
        <is>
          <t>No</t>
        </is>
      </c>
      <c r="I144" t="inlineStr">
        <is>
          <t>No</t>
        </is>
      </c>
      <c r="J144" t="inlineStr">
        <is>
          <t>0</t>
        </is>
      </c>
      <c r="L144" t="inlineStr">
        <is>
          <t>Saint Louis : Saint Louis University Press, 2004.</t>
        </is>
      </c>
      <c r="M144" t="inlineStr">
        <is>
          <t>2004</t>
        </is>
      </c>
      <c r="N144" t="inlineStr">
        <is>
          <t>1st ed.</t>
        </is>
      </c>
      <c r="O144" t="inlineStr">
        <is>
          <t>eng</t>
        </is>
      </c>
      <c r="P144" t="inlineStr">
        <is>
          <t>mou</t>
        </is>
      </c>
      <c r="R144" t="inlineStr">
        <is>
          <t xml:space="preserve">QZ </t>
        </is>
      </c>
      <c r="S144" t="n">
        <v>1</v>
      </c>
      <c r="T144" t="n">
        <v>1</v>
      </c>
      <c r="U144" t="inlineStr">
        <is>
          <t>2005-04-05</t>
        </is>
      </c>
      <c r="V144" t="inlineStr">
        <is>
          <t>2005-04-05</t>
        </is>
      </c>
      <c r="W144" t="inlineStr">
        <is>
          <t>2004-09-15</t>
        </is>
      </c>
      <c r="X144" t="inlineStr">
        <is>
          <t>2004-09-15</t>
        </is>
      </c>
      <c r="Y144" t="n">
        <v>319</v>
      </c>
      <c r="Z144" t="n">
        <v>247</v>
      </c>
      <c r="AA144" t="n">
        <v>250</v>
      </c>
      <c r="AB144" t="n">
        <v>2</v>
      </c>
      <c r="AC144" t="n">
        <v>2</v>
      </c>
      <c r="AD144" t="n">
        <v>16</v>
      </c>
      <c r="AE144" t="n">
        <v>16</v>
      </c>
      <c r="AF144" t="n">
        <v>6</v>
      </c>
      <c r="AG144" t="n">
        <v>6</v>
      </c>
      <c r="AH144" t="n">
        <v>3</v>
      </c>
      <c r="AI144" t="n">
        <v>3</v>
      </c>
      <c r="AJ144" t="n">
        <v>11</v>
      </c>
      <c r="AK144" t="n">
        <v>11</v>
      </c>
      <c r="AL144" t="n">
        <v>1</v>
      </c>
      <c r="AM144" t="n">
        <v>1</v>
      </c>
      <c r="AN144" t="n">
        <v>1</v>
      </c>
      <c r="AO144" t="n">
        <v>1</v>
      </c>
      <c r="AP144" t="inlineStr">
        <is>
          <t>No</t>
        </is>
      </c>
      <c r="AQ144" t="inlineStr">
        <is>
          <t>Yes</t>
        </is>
      </c>
      <c r="AR144">
        <f>HYPERLINK("http://catalog.hathitrust.org/Record/004366730","HathiTrust Record")</f>
        <v/>
      </c>
      <c r="AS144">
        <f>HYPERLINK("https://creighton-primo.hosted.exlibrisgroup.com/primo-explore/search?tab=default_tab&amp;search_scope=EVERYTHING&amp;vid=01CRU&amp;lang=en_US&amp;offset=0&amp;query=any,contains,991000389829702656","Catalog Record")</f>
        <v/>
      </c>
      <c r="AT144">
        <f>HYPERLINK("http://www.worldcat.org/oclc/52039311","WorldCat Record")</f>
        <v/>
      </c>
      <c r="AU144" t="inlineStr">
        <is>
          <t>837618131:eng</t>
        </is>
      </c>
      <c r="AV144" t="inlineStr">
        <is>
          <t>52039311</t>
        </is>
      </c>
      <c r="AW144" t="inlineStr">
        <is>
          <t>991000389829702656</t>
        </is>
      </c>
      <c r="AX144" t="inlineStr">
        <is>
          <t>991000389829702656</t>
        </is>
      </c>
      <c r="AY144" t="inlineStr">
        <is>
          <t>2271456020002656</t>
        </is>
      </c>
      <c r="AZ144" t="inlineStr">
        <is>
          <t>BOOK</t>
        </is>
      </c>
      <c r="BB144" t="inlineStr">
        <is>
          <t>9780965292979</t>
        </is>
      </c>
      <c r="BC144" t="inlineStr">
        <is>
          <t>30001004922748</t>
        </is>
      </c>
      <c r="BD144" t="inlineStr">
        <is>
          <t>893136789</t>
        </is>
      </c>
    </row>
    <row r="145">
      <c r="A145" t="inlineStr">
        <is>
          <t>No</t>
        </is>
      </c>
      <c r="B145" t="inlineStr">
        <is>
          <t>QZ 50 H9168 1996</t>
        </is>
      </c>
      <c r="C145" t="inlineStr">
        <is>
          <t>0                      QZ 0050000H  9168        1996</t>
        </is>
      </c>
      <c r="D145" t="inlineStr">
        <is>
          <t>Human molecular genetics / edited by Kenneth W. Adolph.</t>
        </is>
      </c>
      <c r="F145" t="inlineStr">
        <is>
          <t>No</t>
        </is>
      </c>
      <c r="G145" t="inlineStr">
        <is>
          <t>1</t>
        </is>
      </c>
      <c r="H145" t="inlineStr">
        <is>
          <t>No</t>
        </is>
      </c>
      <c r="I145" t="inlineStr">
        <is>
          <t>No</t>
        </is>
      </c>
      <c r="J145" t="inlineStr">
        <is>
          <t>0</t>
        </is>
      </c>
      <c r="L145" t="inlineStr">
        <is>
          <t>San Diego : Academic Press, c1996.</t>
        </is>
      </c>
      <c r="M145" t="inlineStr">
        <is>
          <t>1996</t>
        </is>
      </c>
      <c r="O145" t="inlineStr">
        <is>
          <t>eng</t>
        </is>
      </c>
      <c r="P145" t="inlineStr">
        <is>
          <t>cau</t>
        </is>
      </c>
      <c r="Q145" t="inlineStr">
        <is>
          <t>Methods in molecular genetics, 1067-2389 ; v. 8</t>
        </is>
      </c>
      <c r="R145" t="inlineStr">
        <is>
          <t xml:space="preserve">QZ </t>
        </is>
      </c>
      <c r="S145" t="n">
        <v>12</v>
      </c>
      <c r="T145" t="n">
        <v>12</v>
      </c>
      <c r="U145" t="inlineStr">
        <is>
          <t>2006-10-05</t>
        </is>
      </c>
      <c r="V145" t="inlineStr">
        <is>
          <t>2006-10-05</t>
        </is>
      </c>
      <c r="W145" t="inlineStr">
        <is>
          <t>1997-06-03</t>
        </is>
      </c>
      <c r="X145" t="inlineStr">
        <is>
          <t>1997-06-03</t>
        </is>
      </c>
      <c r="Y145" t="n">
        <v>136</v>
      </c>
      <c r="Z145" t="n">
        <v>99</v>
      </c>
      <c r="AA145" t="n">
        <v>164</v>
      </c>
      <c r="AB145" t="n">
        <v>3</v>
      </c>
      <c r="AC145" t="n">
        <v>3</v>
      </c>
      <c r="AD145" t="n">
        <v>3</v>
      </c>
      <c r="AE145" t="n">
        <v>5</v>
      </c>
      <c r="AF145" t="n">
        <v>0</v>
      </c>
      <c r="AG145" t="n">
        <v>1</v>
      </c>
      <c r="AH145" t="n">
        <v>1</v>
      </c>
      <c r="AI145" t="n">
        <v>2</v>
      </c>
      <c r="AJ145" t="n">
        <v>1</v>
      </c>
      <c r="AK145" t="n">
        <v>1</v>
      </c>
      <c r="AL145" t="n">
        <v>2</v>
      </c>
      <c r="AM145" t="n">
        <v>2</v>
      </c>
      <c r="AN145" t="n">
        <v>0</v>
      </c>
      <c r="AO145" t="n">
        <v>0</v>
      </c>
      <c r="AP145" t="inlineStr">
        <is>
          <t>No</t>
        </is>
      </c>
      <c r="AQ145" t="inlineStr">
        <is>
          <t>Yes</t>
        </is>
      </c>
      <c r="AR145">
        <f>HYPERLINK("http://catalog.hathitrust.org/Record/003073778","HathiTrust Record")</f>
        <v/>
      </c>
      <c r="AS145">
        <f>HYPERLINK("https://creighton-primo.hosted.exlibrisgroup.com/primo-explore/search?tab=default_tab&amp;search_scope=EVERYTHING&amp;vid=01CRU&amp;lang=en_US&amp;offset=0&amp;query=any,contains,991001243909702656","Catalog Record")</f>
        <v/>
      </c>
      <c r="AT145">
        <f>HYPERLINK("http://www.worldcat.org/oclc/34779707","WorldCat Record")</f>
        <v/>
      </c>
      <c r="AU145" t="inlineStr">
        <is>
          <t>1011500979:eng</t>
        </is>
      </c>
      <c r="AV145" t="inlineStr">
        <is>
          <t>34779707</t>
        </is>
      </c>
      <c r="AW145" t="inlineStr">
        <is>
          <t>991001243909702656</t>
        </is>
      </c>
      <c r="AX145" t="inlineStr">
        <is>
          <t>991001243909702656</t>
        </is>
      </c>
      <c r="AY145" t="inlineStr">
        <is>
          <t>2266793980002656</t>
        </is>
      </c>
      <c r="AZ145" t="inlineStr">
        <is>
          <t>BOOK</t>
        </is>
      </c>
      <c r="BB145" t="inlineStr">
        <is>
          <t>9780120443109</t>
        </is>
      </c>
      <c r="BC145" t="inlineStr">
        <is>
          <t>30001003680453</t>
        </is>
      </c>
      <c r="BD145" t="inlineStr">
        <is>
          <t>893121297</t>
        </is>
      </c>
    </row>
    <row r="146">
      <c r="A146" t="inlineStr">
        <is>
          <t>No</t>
        </is>
      </c>
      <c r="B146" t="inlineStr">
        <is>
          <t>QZ 50 K17m 1981</t>
        </is>
      </c>
      <c r="C146" t="inlineStr">
        <is>
          <t>0                      QZ 0050000K  17m         1981</t>
        </is>
      </c>
      <c r="D146" t="inlineStr">
        <is>
          <t>Medical genetics for health professionals / Stanley Kaplan.</t>
        </is>
      </c>
      <c r="F146" t="inlineStr">
        <is>
          <t>No</t>
        </is>
      </c>
      <c r="G146" t="inlineStr">
        <is>
          <t>1</t>
        </is>
      </c>
      <c r="H146" t="inlineStr">
        <is>
          <t>No</t>
        </is>
      </c>
      <c r="I146" t="inlineStr">
        <is>
          <t>No</t>
        </is>
      </c>
      <c r="J146" t="inlineStr">
        <is>
          <t>0</t>
        </is>
      </c>
      <c r="K146" t="inlineStr">
        <is>
          <t>Kaplan, Stanley.</t>
        </is>
      </c>
      <c r="L146" t="inlineStr">
        <is>
          <t>Chapel Hill, N.C. : Health Sciences Consortium, c1981.</t>
        </is>
      </c>
      <c r="M146" t="inlineStr">
        <is>
          <t>1981</t>
        </is>
      </c>
      <c r="N146" t="inlineStr">
        <is>
          <t>Rev.</t>
        </is>
      </c>
      <c r="O146" t="inlineStr">
        <is>
          <t>eng</t>
        </is>
      </c>
      <c r="P146" t="inlineStr">
        <is>
          <t>ncu</t>
        </is>
      </c>
      <c r="R146" t="inlineStr">
        <is>
          <t xml:space="preserve">QZ </t>
        </is>
      </c>
      <c r="S146" t="n">
        <v>8</v>
      </c>
      <c r="T146" t="n">
        <v>8</v>
      </c>
      <c r="U146" t="inlineStr">
        <is>
          <t>1997-06-12</t>
        </is>
      </c>
      <c r="V146" t="inlineStr">
        <is>
          <t>1997-06-12</t>
        </is>
      </c>
      <c r="W146" t="inlineStr">
        <is>
          <t>1988-02-12</t>
        </is>
      </c>
      <c r="X146" t="inlineStr">
        <is>
          <t>1988-02-12</t>
        </is>
      </c>
      <c r="Y146" t="n">
        <v>19</v>
      </c>
      <c r="Z146" t="n">
        <v>19</v>
      </c>
      <c r="AA146" t="n">
        <v>23</v>
      </c>
      <c r="AB146" t="n">
        <v>2</v>
      </c>
      <c r="AC146" t="n">
        <v>2</v>
      </c>
      <c r="AD146" t="n">
        <v>1</v>
      </c>
      <c r="AE146" t="n">
        <v>2</v>
      </c>
      <c r="AF146" t="n">
        <v>0</v>
      </c>
      <c r="AG146" t="n">
        <v>0</v>
      </c>
      <c r="AH146" t="n">
        <v>0</v>
      </c>
      <c r="AI146" t="n">
        <v>0</v>
      </c>
      <c r="AJ146" t="n">
        <v>0</v>
      </c>
      <c r="AK146" t="n">
        <v>1</v>
      </c>
      <c r="AL146" t="n">
        <v>1</v>
      </c>
      <c r="AM146" t="n">
        <v>1</v>
      </c>
      <c r="AN146" t="n">
        <v>0</v>
      </c>
      <c r="AO146" t="n">
        <v>0</v>
      </c>
      <c r="AP146" t="inlineStr">
        <is>
          <t>No</t>
        </is>
      </c>
      <c r="AQ146" t="inlineStr">
        <is>
          <t>Yes</t>
        </is>
      </c>
      <c r="AR146">
        <f>HYPERLINK("http://catalog.hathitrust.org/Record/000163137","HathiTrust Record")</f>
        <v/>
      </c>
      <c r="AS146">
        <f>HYPERLINK("https://creighton-primo.hosted.exlibrisgroup.com/primo-explore/search?tab=default_tab&amp;search_scope=EVERYTHING&amp;vid=01CRU&amp;lang=en_US&amp;offset=0&amp;query=any,contains,991001089989702656","Catalog Record")</f>
        <v/>
      </c>
      <c r="AT146">
        <f>HYPERLINK("http://www.worldcat.org/oclc/7209371","WorldCat Record")</f>
        <v/>
      </c>
      <c r="AU146" t="inlineStr">
        <is>
          <t>25628368:eng</t>
        </is>
      </c>
      <c r="AV146" t="inlineStr">
        <is>
          <t>7209371</t>
        </is>
      </c>
      <c r="AW146" t="inlineStr">
        <is>
          <t>991001089989702656</t>
        </is>
      </c>
      <c r="AX146" t="inlineStr">
        <is>
          <t>991001089989702656</t>
        </is>
      </c>
      <c r="AY146" t="inlineStr">
        <is>
          <t>2272746040002656</t>
        </is>
      </c>
      <c r="AZ146" t="inlineStr">
        <is>
          <t>BOOK</t>
        </is>
      </c>
      <c r="BC146" t="inlineStr">
        <is>
          <t>30001000261851</t>
        </is>
      </c>
      <c r="BD146" t="inlineStr">
        <is>
          <t>893268048</t>
        </is>
      </c>
    </row>
    <row r="147">
      <c r="A147" t="inlineStr">
        <is>
          <t>No</t>
        </is>
      </c>
      <c r="B147" t="inlineStr">
        <is>
          <t>QZ 50 K294c 1980</t>
        </is>
      </c>
      <c r="C147" t="inlineStr">
        <is>
          <t>0                      QZ 0050000K  294c        1980</t>
        </is>
      </c>
      <c r="D147" t="inlineStr">
        <is>
          <t>Clinical genetics and genetic counseling / Thaddeus E. Kelly.</t>
        </is>
      </c>
      <c r="F147" t="inlineStr">
        <is>
          <t>No</t>
        </is>
      </c>
      <c r="G147" t="inlineStr">
        <is>
          <t>1</t>
        </is>
      </c>
      <c r="H147" t="inlineStr">
        <is>
          <t>No</t>
        </is>
      </c>
      <c r="I147" t="inlineStr">
        <is>
          <t>No</t>
        </is>
      </c>
      <c r="J147" t="inlineStr">
        <is>
          <t>0</t>
        </is>
      </c>
      <c r="K147" t="inlineStr">
        <is>
          <t>Kelly, Thaddeus E.</t>
        </is>
      </c>
      <c r="L147" t="inlineStr">
        <is>
          <t>Chicago : Year Book Medical Publishers, c1980.</t>
        </is>
      </c>
      <c r="M147" t="inlineStr">
        <is>
          <t>1980</t>
        </is>
      </c>
      <c r="O147" t="inlineStr">
        <is>
          <t>eng</t>
        </is>
      </c>
      <c r="P147" t="inlineStr">
        <is>
          <t>xxu</t>
        </is>
      </c>
      <c r="R147" t="inlineStr">
        <is>
          <t xml:space="preserve">QZ </t>
        </is>
      </c>
      <c r="S147" t="n">
        <v>6</v>
      </c>
      <c r="T147" t="n">
        <v>6</v>
      </c>
      <c r="U147" t="inlineStr">
        <is>
          <t>2000-01-08</t>
        </is>
      </c>
      <c r="V147" t="inlineStr">
        <is>
          <t>2000-01-08</t>
        </is>
      </c>
      <c r="W147" t="inlineStr">
        <is>
          <t>1988-02-12</t>
        </is>
      </c>
      <c r="X147" t="inlineStr">
        <is>
          <t>1988-02-12</t>
        </is>
      </c>
      <c r="Y147" t="n">
        <v>157</v>
      </c>
      <c r="Z147" t="n">
        <v>115</v>
      </c>
      <c r="AA147" t="n">
        <v>249</v>
      </c>
      <c r="AB147" t="n">
        <v>2</v>
      </c>
      <c r="AC147" t="n">
        <v>2</v>
      </c>
      <c r="AD147" t="n">
        <v>3</v>
      </c>
      <c r="AE147" t="n">
        <v>5</v>
      </c>
      <c r="AF147" t="n">
        <v>0</v>
      </c>
      <c r="AG147" t="n">
        <v>0</v>
      </c>
      <c r="AH147" t="n">
        <v>0</v>
      </c>
      <c r="AI147" t="n">
        <v>2</v>
      </c>
      <c r="AJ147" t="n">
        <v>2</v>
      </c>
      <c r="AK147" t="n">
        <v>2</v>
      </c>
      <c r="AL147" t="n">
        <v>1</v>
      </c>
      <c r="AM147" t="n">
        <v>1</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HYPERLINK("https://creighton-primo.hosted.exlibrisgroup.com/primo-explore/search?tab=default_tab&amp;search_scope=EVERYTHING&amp;vid=01CRU&amp;lang=en_US&amp;offset=0&amp;query=any,contains,991001090079702656","Catalog Record")</f>
        <v/>
      </c>
      <c r="AT147">
        <f>HYPERLINK("http://www.worldcat.org/oclc/6086467","WorldCat Record")</f>
        <v/>
      </c>
      <c r="AU147" t="inlineStr">
        <is>
          <t>5484532:eng</t>
        </is>
      </c>
      <c r="AV147" t="inlineStr">
        <is>
          <t>6086467</t>
        </is>
      </c>
      <c r="AW147" t="inlineStr">
        <is>
          <t>991001090079702656</t>
        </is>
      </c>
      <c r="AX147" t="inlineStr">
        <is>
          <t>991001090079702656</t>
        </is>
      </c>
      <c r="AY147" t="inlineStr">
        <is>
          <t>2260976060002656</t>
        </is>
      </c>
      <c r="AZ147" t="inlineStr">
        <is>
          <t>BOOK</t>
        </is>
      </c>
      <c r="BB147" t="inlineStr">
        <is>
          <t>9780815150114</t>
        </is>
      </c>
      <c r="BC147" t="inlineStr">
        <is>
          <t>30001000261877</t>
        </is>
      </c>
      <c r="BD147" t="inlineStr">
        <is>
          <t>893731640</t>
        </is>
      </c>
    </row>
    <row r="148">
      <c r="A148" t="inlineStr">
        <is>
          <t>No</t>
        </is>
      </c>
      <c r="B148" t="inlineStr">
        <is>
          <t>QZ 50 K45f 1993</t>
        </is>
      </c>
      <c r="C148" t="inlineStr">
        <is>
          <t>0                      QZ 0050000K  45f         1993</t>
        </is>
      </c>
      <c r="D148" t="inlineStr">
        <is>
          <t>Fundamentals of genetic epidemiology / Muin J. Khoury, Terri H. Beaty, Bernice H. Cohen.</t>
        </is>
      </c>
      <c r="F148" t="inlineStr">
        <is>
          <t>No</t>
        </is>
      </c>
      <c r="G148" t="inlineStr">
        <is>
          <t>1</t>
        </is>
      </c>
      <c r="H148" t="inlineStr">
        <is>
          <t>No</t>
        </is>
      </c>
      <c r="I148" t="inlineStr">
        <is>
          <t>No</t>
        </is>
      </c>
      <c r="J148" t="inlineStr">
        <is>
          <t>0</t>
        </is>
      </c>
      <c r="K148" t="inlineStr">
        <is>
          <t>Khoury, Muin J.</t>
        </is>
      </c>
      <c r="L148" t="inlineStr">
        <is>
          <t>New York : Oxford University Press, c1993.</t>
        </is>
      </c>
      <c r="M148" t="inlineStr">
        <is>
          <t>1993</t>
        </is>
      </c>
      <c r="O148" t="inlineStr">
        <is>
          <t>eng</t>
        </is>
      </c>
      <c r="P148" t="inlineStr">
        <is>
          <t>nyu</t>
        </is>
      </c>
      <c r="R148" t="inlineStr">
        <is>
          <t xml:space="preserve">QZ </t>
        </is>
      </c>
      <c r="S148" t="n">
        <v>62</v>
      </c>
      <c r="T148" t="n">
        <v>62</v>
      </c>
      <c r="U148" t="inlineStr">
        <is>
          <t>2004-03-14</t>
        </is>
      </c>
      <c r="V148" t="inlineStr">
        <is>
          <t>2004-03-14</t>
        </is>
      </c>
      <c r="W148" t="inlineStr">
        <is>
          <t>1993-12-15</t>
        </is>
      </c>
      <c r="X148" t="inlineStr">
        <is>
          <t>1993-12-15</t>
        </is>
      </c>
      <c r="Y148" t="n">
        <v>244</v>
      </c>
      <c r="Z148" t="n">
        <v>160</v>
      </c>
      <c r="AA148" t="n">
        <v>167</v>
      </c>
      <c r="AB148" t="n">
        <v>2</v>
      </c>
      <c r="AC148" t="n">
        <v>2</v>
      </c>
      <c r="AD148" t="n">
        <v>5</v>
      </c>
      <c r="AE148" t="n">
        <v>5</v>
      </c>
      <c r="AF148" t="n">
        <v>2</v>
      </c>
      <c r="AG148" t="n">
        <v>2</v>
      </c>
      <c r="AH148" t="n">
        <v>0</v>
      </c>
      <c r="AI148" t="n">
        <v>0</v>
      </c>
      <c r="AJ148" t="n">
        <v>4</v>
      </c>
      <c r="AK148" t="n">
        <v>4</v>
      </c>
      <c r="AL148" t="n">
        <v>1</v>
      </c>
      <c r="AM148" t="n">
        <v>1</v>
      </c>
      <c r="AN148" t="n">
        <v>0</v>
      </c>
      <c r="AO148" t="n">
        <v>0</v>
      </c>
      <c r="AP148" t="inlineStr">
        <is>
          <t>No</t>
        </is>
      </c>
      <c r="AQ148" t="inlineStr">
        <is>
          <t>Yes</t>
        </is>
      </c>
      <c r="AR148">
        <f>HYPERLINK("http://catalog.hathitrust.org/Record/002606076","HathiTrust Record")</f>
        <v/>
      </c>
      <c r="AS148">
        <f>HYPERLINK("https://creighton-primo.hosted.exlibrisgroup.com/primo-explore/search?tab=default_tab&amp;search_scope=EVERYTHING&amp;vid=01CRU&amp;lang=en_US&amp;offset=0&amp;query=any,contains,991000645189702656","Catalog Record")</f>
        <v/>
      </c>
      <c r="AT148">
        <f>HYPERLINK("http://www.worldcat.org/oclc/25832464","WorldCat Record")</f>
        <v/>
      </c>
      <c r="AU148" t="inlineStr">
        <is>
          <t>28834262:eng</t>
        </is>
      </c>
      <c r="AV148" t="inlineStr">
        <is>
          <t>25832464</t>
        </is>
      </c>
      <c r="AW148" t="inlineStr">
        <is>
          <t>991000645189702656</t>
        </is>
      </c>
      <c r="AX148" t="inlineStr">
        <is>
          <t>991000645189702656</t>
        </is>
      </c>
      <c r="AY148" t="inlineStr">
        <is>
          <t>2264210760002656</t>
        </is>
      </c>
      <c r="AZ148" t="inlineStr">
        <is>
          <t>BOOK</t>
        </is>
      </c>
      <c r="BB148" t="inlineStr">
        <is>
          <t>9780195052886</t>
        </is>
      </c>
      <c r="BC148" t="inlineStr">
        <is>
          <t>30001002690313</t>
        </is>
      </c>
      <c r="BD148" t="inlineStr">
        <is>
          <t>893449979</t>
        </is>
      </c>
    </row>
    <row r="149">
      <c r="A149" t="inlineStr">
        <is>
          <t>No</t>
        </is>
      </c>
      <c r="B149" t="inlineStr">
        <is>
          <t>QZ 50 L334g 1991</t>
        </is>
      </c>
      <c r="C149" t="inlineStr">
        <is>
          <t>0                      QZ 0050000L  334g        1991</t>
        </is>
      </c>
      <c r="D149" t="inlineStr">
        <is>
          <t>Gene therapy : application of molecular biology / James W. Larrick, Kathy L. Burck.</t>
        </is>
      </c>
      <c r="F149" t="inlineStr">
        <is>
          <t>No</t>
        </is>
      </c>
      <c r="G149" t="inlineStr">
        <is>
          <t>1</t>
        </is>
      </c>
      <c r="H149" t="inlineStr">
        <is>
          <t>No</t>
        </is>
      </c>
      <c r="I149" t="inlineStr">
        <is>
          <t>No</t>
        </is>
      </c>
      <c r="J149" t="inlineStr">
        <is>
          <t>0</t>
        </is>
      </c>
      <c r="K149" t="inlineStr">
        <is>
          <t>Larrick, James W.</t>
        </is>
      </c>
      <c r="L149" t="inlineStr">
        <is>
          <t>New York : Elsevier, c1991.</t>
        </is>
      </c>
      <c r="M149" t="inlineStr">
        <is>
          <t>1991</t>
        </is>
      </c>
      <c r="O149" t="inlineStr">
        <is>
          <t>eng</t>
        </is>
      </c>
      <c r="P149" t="inlineStr">
        <is>
          <t>xxu</t>
        </is>
      </c>
      <c r="R149" t="inlineStr">
        <is>
          <t xml:space="preserve">QZ </t>
        </is>
      </c>
      <c r="S149" t="n">
        <v>19</v>
      </c>
      <c r="T149" t="n">
        <v>19</v>
      </c>
      <c r="U149" t="inlineStr">
        <is>
          <t>1998-11-11</t>
        </is>
      </c>
      <c r="V149" t="inlineStr">
        <is>
          <t>1998-11-11</t>
        </is>
      </c>
      <c r="W149" t="inlineStr">
        <is>
          <t>1992-04-29</t>
        </is>
      </c>
      <c r="X149" t="inlineStr">
        <is>
          <t>1992-04-29</t>
        </is>
      </c>
      <c r="Y149" t="n">
        <v>187</v>
      </c>
      <c r="Z149" t="n">
        <v>121</v>
      </c>
      <c r="AA149" t="n">
        <v>123</v>
      </c>
      <c r="AB149" t="n">
        <v>1</v>
      </c>
      <c r="AC149" t="n">
        <v>1</v>
      </c>
      <c r="AD149" t="n">
        <v>3</v>
      </c>
      <c r="AE149" t="n">
        <v>3</v>
      </c>
      <c r="AF149" t="n">
        <v>0</v>
      </c>
      <c r="AG149" t="n">
        <v>0</v>
      </c>
      <c r="AH149" t="n">
        <v>2</v>
      </c>
      <c r="AI149" t="n">
        <v>2</v>
      </c>
      <c r="AJ149" t="n">
        <v>1</v>
      </c>
      <c r="AK149" t="n">
        <v>1</v>
      </c>
      <c r="AL149" t="n">
        <v>0</v>
      </c>
      <c r="AM149" t="n">
        <v>0</v>
      </c>
      <c r="AN149" t="n">
        <v>0</v>
      </c>
      <c r="AO149" t="n">
        <v>0</v>
      </c>
      <c r="AP149" t="inlineStr">
        <is>
          <t>No</t>
        </is>
      </c>
      <c r="AQ149" t="inlineStr">
        <is>
          <t>Yes</t>
        </is>
      </c>
      <c r="AR149">
        <f>HYPERLINK("http://catalog.hathitrust.org/Record/002477402","HathiTrust Record")</f>
        <v/>
      </c>
      <c r="AS149">
        <f>HYPERLINK("https://creighton-primo.hosted.exlibrisgroup.com/primo-explore/search?tab=default_tab&amp;search_scope=EVERYTHING&amp;vid=01CRU&amp;lang=en_US&amp;offset=0&amp;query=any,contains,991001303769702656","Catalog Record")</f>
        <v/>
      </c>
      <c r="AT149">
        <f>HYPERLINK("http://www.worldcat.org/oclc/23974450","WorldCat Record")</f>
        <v/>
      </c>
      <c r="AU149" t="inlineStr">
        <is>
          <t>311706569:eng</t>
        </is>
      </c>
      <c r="AV149" t="inlineStr">
        <is>
          <t>23974450</t>
        </is>
      </c>
      <c r="AW149" t="inlineStr">
        <is>
          <t>991001303769702656</t>
        </is>
      </c>
      <c r="AX149" t="inlineStr">
        <is>
          <t>991001303769702656</t>
        </is>
      </c>
      <c r="AY149" t="inlineStr">
        <is>
          <t>2272356400002656</t>
        </is>
      </c>
      <c r="AZ149" t="inlineStr">
        <is>
          <t>BOOK</t>
        </is>
      </c>
      <c r="BB149" t="inlineStr">
        <is>
          <t>9780444016089</t>
        </is>
      </c>
      <c r="BC149" t="inlineStr">
        <is>
          <t>30001002412858</t>
        </is>
      </c>
      <c r="BD149" t="inlineStr">
        <is>
          <t>893363943</t>
        </is>
      </c>
    </row>
    <row r="150">
      <c r="A150" t="inlineStr">
        <is>
          <t>No</t>
        </is>
      </c>
      <c r="B150" t="inlineStr">
        <is>
          <t>QZ 50 M4775h 1993</t>
        </is>
      </c>
      <c r="C150" t="inlineStr">
        <is>
          <t>0                      QZ 0050000M  4775h       1993</t>
        </is>
      </c>
      <c r="D150" t="inlineStr">
        <is>
          <t>Human genetics : the molecular revolution / Edwin H. McConkey.</t>
        </is>
      </c>
      <c r="F150" t="inlineStr">
        <is>
          <t>No</t>
        </is>
      </c>
      <c r="G150" t="inlineStr">
        <is>
          <t>1</t>
        </is>
      </c>
      <c r="H150" t="inlineStr">
        <is>
          <t>No</t>
        </is>
      </c>
      <c r="I150" t="inlineStr">
        <is>
          <t>No</t>
        </is>
      </c>
      <c r="J150" t="inlineStr">
        <is>
          <t>0</t>
        </is>
      </c>
      <c r="K150" t="inlineStr">
        <is>
          <t>McConkey, Edwin H.</t>
        </is>
      </c>
      <c r="L150" t="inlineStr">
        <is>
          <t>Boston : Jones and Bartlett Publishers, c1993.</t>
        </is>
      </c>
      <c r="M150" t="inlineStr">
        <is>
          <t>1993</t>
        </is>
      </c>
      <c r="O150" t="inlineStr">
        <is>
          <t>eng</t>
        </is>
      </c>
      <c r="P150" t="inlineStr">
        <is>
          <t>mau</t>
        </is>
      </c>
      <c r="Q150" t="inlineStr">
        <is>
          <t>The Jones and Bartlett series in biology</t>
        </is>
      </c>
      <c r="R150" t="inlineStr">
        <is>
          <t xml:space="preserve">QZ </t>
        </is>
      </c>
      <c r="S150" t="n">
        <v>70</v>
      </c>
      <c r="T150" t="n">
        <v>70</v>
      </c>
      <c r="U150" t="inlineStr">
        <is>
          <t>2004-04-20</t>
        </is>
      </c>
      <c r="V150" t="inlineStr">
        <is>
          <t>2004-04-20</t>
        </is>
      </c>
      <c r="W150" t="inlineStr">
        <is>
          <t>1993-08-18</t>
        </is>
      </c>
      <c r="X150" t="inlineStr">
        <is>
          <t>1993-08-18</t>
        </is>
      </c>
      <c r="Y150" t="n">
        <v>315</v>
      </c>
      <c r="Z150" t="n">
        <v>225</v>
      </c>
      <c r="AA150" t="n">
        <v>229</v>
      </c>
      <c r="AB150" t="n">
        <v>1</v>
      </c>
      <c r="AC150" t="n">
        <v>1</v>
      </c>
      <c r="AD150" t="n">
        <v>6</v>
      </c>
      <c r="AE150" t="n">
        <v>6</v>
      </c>
      <c r="AF150" t="n">
        <v>2</v>
      </c>
      <c r="AG150" t="n">
        <v>2</v>
      </c>
      <c r="AH150" t="n">
        <v>4</v>
      </c>
      <c r="AI150" t="n">
        <v>4</v>
      </c>
      <c r="AJ150" t="n">
        <v>4</v>
      </c>
      <c r="AK150" t="n">
        <v>4</v>
      </c>
      <c r="AL150" t="n">
        <v>0</v>
      </c>
      <c r="AM150" t="n">
        <v>0</v>
      </c>
      <c r="AN150" t="n">
        <v>0</v>
      </c>
      <c r="AO150" t="n">
        <v>0</v>
      </c>
      <c r="AP150" t="inlineStr">
        <is>
          <t>No</t>
        </is>
      </c>
      <c r="AQ150" t="inlineStr">
        <is>
          <t>Yes</t>
        </is>
      </c>
      <c r="AR150">
        <f>HYPERLINK("http://catalog.hathitrust.org/Record/002620102","HathiTrust Record")</f>
        <v/>
      </c>
      <c r="AS150">
        <f>HYPERLINK("https://creighton-primo.hosted.exlibrisgroup.com/primo-explore/search?tab=default_tab&amp;search_scope=EVERYTHING&amp;vid=01CRU&amp;lang=en_US&amp;offset=0&amp;query=any,contains,991001502279702656","Catalog Record")</f>
        <v/>
      </c>
      <c r="AT150">
        <f>HYPERLINK("http://www.worldcat.org/oclc/26894818","WorldCat Record")</f>
        <v/>
      </c>
      <c r="AU150" t="inlineStr">
        <is>
          <t>900405266:eng</t>
        </is>
      </c>
      <c r="AV150" t="inlineStr">
        <is>
          <t>26894818</t>
        </is>
      </c>
      <c r="AW150" t="inlineStr">
        <is>
          <t>991001502279702656</t>
        </is>
      </c>
      <c r="AX150" t="inlineStr">
        <is>
          <t>991001502279702656</t>
        </is>
      </c>
      <c r="AY150" t="inlineStr">
        <is>
          <t>2269286310002656</t>
        </is>
      </c>
      <c r="AZ150" t="inlineStr">
        <is>
          <t>BOOK</t>
        </is>
      </c>
      <c r="BB150" t="inlineStr">
        <is>
          <t>9780867208542</t>
        </is>
      </c>
      <c r="BC150" t="inlineStr">
        <is>
          <t>30001002594879</t>
        </is>
      </c>
      <c r="BD150" t="inlineStr">
        <is>
          <t>893649278</t>
        </is>
      </c>
    </row>
    <row r="151">
      <c r="A151" t="inlineStr">
        <is>
          <t>No</t>
        </is>
      </c>
      <c r="B151" t="inlineStr">
        <is>
          <t>QZ 50 M48848 1999</t>
        </is>
      </c>
      <c r="C151" t="inlineStr">
        <is>
          <t>0                      QZ 0050000M  48848       1999</t>
        </is>
      </c>
      <c r="D151" t="inlineStr">
        <is>
          <t>Medical genetics / Lynn B. Jorde ... [et al.].</t>
        </is>
      </c>
      <c r="F151" t="inlineStr">
        <is>
          <t>No</t>
        </is>
      </c>
      <c r="G151" t="inlineStr">
        <is>
          <t>1</t>
        </is>
      </c>
      <c r="H151" t="inlineStr">
        <is>
          <t>No</t>
        </is>
      </c>
      <c r="I151" t="inlineStr">
        <is>
          <t>Yes</t>
        </is>
      </c>
      <c r="J151" t="inlineStr">
        <is>
          <t>1</t>
        </is>
      </c>
      <c r="L151" t="inlineStr">
        <is>
          <t>St. Louis : Mosby, c1999.</t>
        </is>
      </c>
      <c r="M151" t="inlineStr">
        <is>
          <t>1999</t>
        </is>
      </c>
      <c r="N151" t="inlineStr">
        <is>
          <t>2nd ed.</t>
        </is>
      </c>
      <c r="O151" t="inlineStr">
        <is>
          <t>eng</t>
        </is>
      </c>
      <c r="P151" t="inlineStr">
        <is>
          <t>mou</t>
        </is>
      </c>
      <c r="R151" t="inlineStr">
        <is>
          <t xml:space="preserve">QZ </t>
        </is>
      </c>
      <c r="S151" t="n">
        <v>37</v>
      </c>
      <c r="T151" t="n">
        <v>37</v>
      </c>
      <c r="U151" t="inlineStr">
        <is>
          <t>2004-01-21</t>
        </is>
      </c>
      <c r="V151" t="inlineStr">
        <is>
          <t>2004-01-21</t>
        </is>
      </c>
      <c r="W151" t="inlineStr">
        <is>
          <t>1998-10-01</t>
        </is>
      </c>
      <c r="X151" t="inlineStr">
        <is>
          <t>1998-10-01</t>
        </is>
      </c>
      <c r="Y151" t="n">
        <v>216</v>
      </c>
      <c r="Z151" t="n">
        <v>157</v>
      </c>
      <c r="AA151" t="n">
        <v>649</v>
      </c>
      <c r="AB151" t="n">
        <v>1</v>
      </c>
      <c r="AC151" t="n">
        <v>4</v>
      </c>
      <c r="AD151" t="n">
        <v>5</v>
      </c>
      <c r="AE151" t="n">
        <v>28</v>
      </c>
      <c r="AF151" t="n">
        <v>4</v>
      </c>
      <c r="AG151" t="n">
        <v>12</v>
      </c>
      <c r="AH151" t="n">
        <v>1</v>
      </c>
      <c r="AI151" t="n">
        <v>7</v>
      </c>
      <c r="AJ151" t="n">
        <v>2</v>
      </c>
      <c r="AK151" t="n">
        <v>11</v>
      </c>
      <c r="AL151" t="n">
        <v>0</v>
      </c>
      <c r="AM151" t="n">
        <v>3</v>
      </c>
      <c r="AN151" t="n">
        <v>0</v>
      </c>
      <c r="AO151" t="n">
        <v>0</v>
      </c>
      <c r="AP151" t="inlineStr">
        <is>
          <t>No</t>
        </is>
      </c>
      <c r="AQ151" t="inlineStr">
        <is>
          <t>Yes</t>
        </is>
      </c>
      <c r="AR151">
        <f>HYPERLINK("http://catalog.hathitrust.org/Record/003297224","HathiTrust Record")</f>
        <v/>
      </c>
      <c r="AS151">
        <f>HYPERLINK("https://creighton-primo.hosted.exlibrisgroup.com/primo-explore/search?tab=default_tab&amp;search_scope=EVERYTHING&amp;vid=01CRU&amp;lang=en_US&amp;offset=0&amp;query=any,contains,991001391599702656","Catalog Record")</f>
        <v/>
      </c>
      <c r="AT151">
        <f>HYPERLINK("http://www.worldcat.org/oclc/39051205","WorldCat Record")</f>
        <v/>
      </c>
      <c r="AU151" t="inlineStr">
        <is>
          <t>364136166:eng</t>
        </is>
      </c>
      <c r="AV151" t="inlineStr">
        <is>
          <t>39051205</t>
        </is>
      </c>
      <c r="AW151" t="inlineStr">
        <is>
          <t>991001391599702656</t>
        </is>
      </c>
      <c r="AX151" t="inlineStr">
        <is>
          <t>991001391599702656</t>
        </is>
      </c>
      <c r="AY151" t="inlineStr">
        <is>
          <t>2255401150002656</t>
        </is>
      </c>
      <c r="AZ151" t="inlineStr">
        <is>
          <t>BOOK</t>
        </is>
      </c>
      <c r="BB151" t="inlineStr">
        <is>
          <t>9780815146087</t>
        </is>
      </c>
      <c r="BC151" t="inlineStr">
        <is>
          <t>30001003809417</t>
        </is>
      </c>
      <c r="BD151" t="inlineStr">
        <is>
          <t>893455739</t>
        </is>
      </c>
    </row>
    <row r="152">
      <c r="A152" t="inlineStr">
        <is>
          <t>No</t>
        </is>
      </c>
      <c r="B152" t="inlineStr">
        <is>
          <t>QZ 50 M48848 2003</t>
        </is>
      </c>
      <c r="C152" t="inlineStr">
        <is>
          <t>0                      QZ 0050000M  48848       2003</t>
        </is>
      </c>
      <c r="D152" t="inlineStr">
        <is>
          <t>Medical genetics / Lynn B. Jorde ... [et al.].</t>
        </is>
      </c>
      <c r="F152" t="inlineStr">
        <is>
          <t>No</t>
        </is>
      </c>
      <c r="G152" t="inlineStr">
        <is>
          <t>1</t>
        </is>
      </c>
      <c r="H152" t="inlineStr">
        <is>
          <t>No</t>
        </is>
      </c>
      <c r="I152" t="inlineStr">
        <is>
          <t>Yes</t>
        </is>
      </c>
      <c r="J152" t="inlineStr">
        <is>
          <t>1</t>
        </is>
      </c>
      <c r="L152" t="inlineStr">
        <is>
          <t>St. Louis, Mo. : Mosby, c2003.</t>
        </is>
      </c>
      <c r="M152" t="inlineStr">
        <is>
          <t>2003</t>
        </is>
      </c>
      <c r="N152" t="inlineStr">
        <is>
          <t>3rd ed.</t>
        </is>
      </c>
      <c r="O152" t="inlineStr">
        <is>
          <t>eng</t>
        </is>
      </c>
      <c r="P152" t="inlineStr">
        <is>
          <t>mou</t>
        </is>
      </c>
      <c r="R152" t="inlineStr">
        <is>
          <t xml:space="preserve">QZ </t>
        </is>
      </c>
      <c r="S152" t="n">
        <v>3</v>
      </c>
      <c r="T152" t="n">
        <v>3</v>
      </c>
      <c r="U152" t="inlineStr">
        <is>
          <t>2008-03-26</t>
        </is>
      </c>
      <c r="V152" t="inlineStr">
        <is>
          <t>2008-03-26</t>
        </is>
      </c>
      <c r="W152" t="inlineStr">
        <is>
          <t>2004-09-09</t>
        </is>
      </c>
      <c r="X152" t="inlineStr">
        <is>
          <t>2004-09-09</t>
        </is>
      </c>
      <c r="Y152" t="n">
        <v>289</v>
      </c>
      <c r="Z152" t="n">
        <v>190</v>
      </c>
      <c r="AA152" t="n">
        <v>649</v>
      </c>
      <c r="AB152" t="n">
        <v>1</v>
      </c>
      <c r="AC152" t="n">
        <v>4</v>
      </c>
      <c r="AD152" t="n">
        <v>7</v>
      </c>
      <c r="AE152" t="n">
        <v>28</v>
      </c>
      <c r="AF152" t="n">
        <v>0</v>
      </c>
      <c r="AG152" t="n">
        <v>12</v>
      </c>
      <c r="AH152" t="n">
        <v>4</v>
      </c>
      <c r="AI152" t="n">
        <v>7</v>
      </c>
      <c r="AJ152" t="n">
        <v>4</v>
      </c>
      <c r="AK152" t="n">
        <v>11</v>
      </c>
      <c r="AL152" t="n">
        <v>0</v>
      </c>
      <c r="AM152" t="n">
        <v>3</v>
      </c>
      <c r="AN152" t="n">
        <v>0</v>
      </c>
      <c r="AO152" t="n">
        <v>0</v>
      </c>
      <c r="AP152" t="inlineStr">
        <is>
          <t>No</t>
        </is>
      </c>
      <c r="AQ152" t="inlineStr">
        <is>
          <t>Yes</t>
        </is>
      </c>
      <c r="AR152">
        <f>HYPERLINK("http://catalog.hathitrust.org/Record/004335614","HathiTrust Record")</f>
        <v/>
      </c>
      <c r="AS152">
        <f>HYPERLINK("https://creighton-primo.hosted.exlibrisgroup.com/primo-explore/search?tab=default_tab&amp;search_scope=EVERYTHING&amp;vid=01CRU&amp;lang=en_US&amp;offset=0&amp;query=any,contains,991000385819702656","Catalog Record")</f>
        <v/>
      </c>
      <c r="AT152">
        <f>HYPERLINK("http://www.worldcat.org/oclc/51109247","WorldCat Record")</f>
        <v/>
      </c>
      <c r="AU152" t="inlineStr">
        <is>
          <t>364136166:eng</t>
        </is>
      </c>
      <c r="AV152" t="inlineStr">
        <is>
          <t>51109247</t>
        </is>
      </c>
      <c r="AW152" t="inlineStr">
        <is>
          <t>991000385819702656</t>
        </is>
      </c>
      <c r="AX152" t="inlineStr">
        <is>
          <t>991000385819702656</t>
        </is>
      </c>
      <c r="AY152" t="inlineStr">
        <is>
          <t>2261766940002656</t>
        </is>
      </c>
      <c r="AZ152" t="inlineStr">
        <is>
          <t>BOOK</t>
        </is>
      </c>
      <c r="BB152" t="inlineStr">
        <is>
          <t>9780323020251</t>
        </is>
      </c>
      <c r="BC152" t="inlineStr">
        <is>
          <t>30001004506475</t>
        </is>
      </c>
      <c r="BD152" t="inlineStr">
        <is>
          <t>893644351</t>
        </is>
      </c>
    </row>
    <row r="153">
      <c r="A153" t="inlineStr">
        <is>
          <t>No</t>
        </is>
      </c>
      <c r="B153" t="inlineStr">
        <is>
          <t>QZ 50 M718 1991 v.1</t>
        </is>
      </c>
      <c r="C153" t="inlineStr">
        <is>
          <t>0                      QZ 0050000M  718         1991                                        v.1</t>
        </is>
      </c>
      <c r="D153" t="inlineStr">
        <is>
          <t>Molecular genetic medicine. Vol. 1 / edited by Theodore Friedmann.</t>
        </is>
      </c>
      <c r="E153" t="inlineStr">
        <is>
          <t>V. 1</t>
        </is>
      </c>
      <c r="F153" t="inlineStr">
        <is>
          <t>No</t>
        </is>
      </c>
      <c r="G153" t="inlineStr">
        <is>
          <t>1</t>
        </is>
      </c>
      <c r="H153" t="inlineStr">
        <is>
          <t>No</t>
        </is>
      </c>
      <c r="I153" t="inlineStr">
        <is>
          <t>No</t>
        </is>
      </c>
      <c r="J153" t="inlineStr">
        <is>
          <t>0</t>
        </is>
      </c>
      <c r="L153" t="inlineStr">
        <is>
          <t>San Diego : Academic Press, c1991.</t>
        </is>
      </c>
      <c r="M153" t="inlineStr">
        <is>
          <t>1991</t>
        </is>
      </c>
      <c r="O153" t="inlineStr">
        <is>
          <t>eng</t>
        </is>
      </c>
      <c r="P153" t="inlineStr">
        <is>
          <t>cau</t>
        </is>
      </c>
      <c r="R153" t="inlineStr">
        <is>
          <t xml:space="preserve">QZ </t>
        </is>
      </c>
      <c r="S153" t="n">
        <v>6</v>
      </c>
      <c r="T153" t="n">
        <v>6</v>
      </c>
      <c r="U153" t="inlineStr">
        <is>
          <t>2002-03-28</t>
        </is>
      </c>
      <c r="V153" t="inlineStr">
        <is>
          <t>2002-03-28</t>
        </is>
      </c>
      <c r="W153" t="inlineStr">
        <is>
          <t>1995-06-06</t>
        </is>
      </c>
      <c r="X153" t="inlineStr">
        <is>
          <t>1995-06-06</t>
        </is>
      </c>
      <c r="Y153" t="n">
        <v>33</v>
      </c>
      <c r="Z153" t="n">
        <v>20</v>
      </c>
      <c r="AA153" t="n">
        <v>65</v>
      </c>
      <c r="AB153" t="n">
        <v>2</v>
      </c>
      <c r="AC153" t="n">
        <v>2</v>
      </c>
      <c r="AD153" t="n">
        <v>1</v>
      </c>
      <c r="AE153" t="n">
        <v>4</v>
      </c>
      <c r="AF153" t="n">
        <v>0</v>
      </c>
      <c r="AG153" t="n">
        <v>2</v>
      </c>
      <c r="AH153" t="n">
        <v>0</v>
      </c>
      <c r="AI153" t="n">
        <v>2</v>
      </c>
      <c r="AJ153" t="n">
        <v>0</v>
      </c>
      <c r="AK153" t="n">
        <v>0</v>
      </c>
      <c r="AL153" t="n">
        <v>1</v>
      </c>
      <c r="AM153" t="n">
        <v>1</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HYPERLINK("https://creighton-primo.hosted.exlibrisgroup.com/primo-explore/search?tab=default_tab&amp;search_scope=EVERYTHING&amp;vid=01CRU&amp;lang=en_US&amp;offset=0&amp;query=any,contains,991001400879702656","Catalog Record")</f>
        <v/>
      </c>
      <c r="AT153">
        <f>HYPERLINK("http://www.worldcat.org/oclc/25124369","WorldCat Record")</f>
        <v/>
      </c>
      <c r="AU153" t="inlineStr">
        <is>
          <t>2882854182:eng</t>
        </is>
      </c>
      <c r="AV153" t="inlineStr">
        <is>
          <t>25124369</t>
        </is>
      </c>
      <c r="AW153" t="inlineStr">
        <is>
          <t>991001400879702656</t>
        </is>
      </c>
      <c r="AX153" t="inlineStr">
        <is>
          <t>991001400879702656</t>
        </is>
      </c>
      <c r="AY153" t="inlineStr">
        <is>
          <t>2270855720002656</t>
        </is>
      </c>
      <c r="AZ153" t="inlineStr">
        <is>
          <t>BOOK</t>
        </is>
      </c>
      <c r="BB153" t="inlineStr">
        <is>
          <t>9780124620018</t>
        </is>
      </c>
      <c r="BC153" t="inlineStr">
        <is>
          <t>30001003148063</t>
        </is>
      </c>
      <c r="BD153" t="inlineStr">
        <is>
          <t>893826709</t>
        </is>
      </c>
    </row>
    <row r="154">
      <c r="A154" t="inlineStr">
        <is>
          <t>No</t>
        </is>
      </c>
      <c r="B154" t="inlineStr">
        <is>
          <t>QZ50 M718 1993 V3</t>
        </is>
      </c>
      <c r="C154" t="inlineStr">
        <is>
          <t>0                      QZ 0050000M  718         1993   V  3</t>
        </is>
      </c>
      <c r="D154" t="inlineStr">
        <is>
          <t>Molecular genetic medicine. Vol. 3 / edited by Theodore Friedmann.</t>
        </is>
      </c>
      <c r="E154" t="inlineStr">
        <is>
          <t>V. 3</t>
        </is>
      </c>
      <c r="F154" t="inlineStr">
        <is>
          <t>No</t>
        </is>
      </c>
      <c r="G154" t="inlineStr">
        <is>
          <t>1</t>
        </is>
      </c>
      <c r="H154" t="inlineStr">
        <is>
          <t>No</t>
        </is>
      </c>
      <c r="I154" t="inlineStr">
        <is>
          <t>No</t>
        </is>
      </c>
      <c r="J154" t="inlineStr">
        <is>
          <t>0</t>
        </is>
      </c>
      <c r="L154" t="inlineStr">
        <is>
          <t>San Diego : Academic Press, c1993.</t>
        </is>
      </c>
      <c r="M154" t="inlineStr">
        <is>
          <t>1993</t>
        </is>
      </c>
      <c r="O154" t="inlineStr">
        <is>
          <t>eng</t>
        </is>
      </c>
      <c r="P154" t="inlineStr">
        <is>
          <t>cau</t>
        </is>
      </c>
      <c r="R154" t="inlineStr">
        <is>
          <t xml:space="preserve">QZ </t>
        </is>
      </c>
      <c r="S154" t="n">
        <v>9</v>
      </c>
      <c r="T154" t="n">
        <v>9</v>
      </c>
      <c r="U154" t="inlineStr">
        <is>
          <t>2003-10-02</t>
        </is>
      </c>
      <c r="V154" t="inlineStr">
        <is>
          <t>2003-10-02</t>
        </is>
      </c>
      <c r="W154" t="inlineStr">
        <is>
          <t>1995-06-06</t>
        </is>
      </c>
      <c r="X154" t="inlineStr">
        <is>
          <t>1995-06-06</t>
        </is>
      </c>
      <c r="Y154" t="n">
        <v>12</v>
      </c>
      <c r="Z154" t="n">
        <v>7</v>
      </c>
      <c r="AA154" t="n">
        <v>54</v>
      </c>
      <c r="AB154" t="n">
        <v>1</v>
      </c>
      <c r="AC154" t="n">
        <v>1</v>
      </c>
      <c r="AD154" t="n">
        <v>0</v>
      </c>
      <c r="AE154" t="n">
        <v>3</v>
      </c>
      <c r="AF154" t="n">
        <v>0</v>
      </c>
      <c r="AG154" t="n">
        <v>2</v>
      </c>
      <c r="AH154" t="n">
        <v>0</v>
      </c>
      <c r="AI154" t="n">
        <v>2</v>
      </c>
      <c r="AJ154" t="n">
        <v>0</v>
      </c>
      <c r="AK154" t="n">
        <v>0</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HYPERLINK("https://creighton-primo.hosted.exlibrisgroup.com/primo-explore/search?tab=default_tab&amp;search_scope=EVERYTHING&amp;vid=01CRU&amp;lang=en_US&amp;offset=0&amp;query=any,contains,991000347659702656","Catalog Record")</f>
        <v/>
      </c>
      <c r="AT154">
        <f>HYPERLINK("http://www.worldcat.org/oclc/33893946","WorldCat Record")</f>
        <v/>
      </c>
      <c r="AU154" t="inlineStr">
        <is>
          <t>8908371104:eng</t>
        </is>
      </c>
      <c r="AV154" t="inlineStr">
        <is>
          <t>33893946</t>
        </is>
      </c>
      <c r="AW154" t="inlineStr">
        <is>
          <t>991000347659702656</t>
        </is>
      </c>
      <c r="AX154" t="inlineStr">
        <is>
          <t>991000347659702656</t>
        </is>
      </c>
      <c r="AY154" t="inlineStr">
        <is>
          <t>2269165700002656</t>
        </is>
      </c>
      <c r="AZ154" t="inlineStr">
        <is>
          <t>BOOK</t>
        </is>
      </c>
      <c r="BB154" t="inlineStr">
        <is>
          <t>9780124620032</t>
        </is>
      </c>
      <c r="BC154" t="inlineStr">
        <is>
          <t>30001003148071</t>
        </is>
      </c>
      <c r="BD154" t="inlineStr">
        <is>
          <t>893456626</t>
        </is>
      </c>
    </row>
    <row r="155">
      <c r="A155" t="inlineStr">
        <is>
          <t>No</t>
        </is>
      </c>
      <c r="B155" t="inlineStr">
        <is>
          <t>QZ 50 M718 1994 v.4</t>
        </is>
      </c>
      <c r="C155" t="inlineStr">
        <is>
          <t>0                      QZ 0050000M  718         1994                                        v.4</t>
        </is>
      </c>
      <c r="D155" t="inlineStr">
        <is>
          <t>Molecular genetic medicine. Vol. 4 / edited by Theodore Friedmann.</t>
        </is>
      </c>
      <c r="E155" t="inlineStr">
        <is>
          <t>V. 4</t>
        </is>
      </c>
      <c r="F155" t="inlineStr">
        <is>
          <t>No</t>
        </is>
      </c>
      <c r="G155" t="inlineStr">
        <is>
          <t>1</t>
        </is>
      </c>
      <c r="H155" t="inlineStr">
        <is>
          <t>No</t>
        </is>
      </c>
      <c r="I155" t="inlineStr">
        <is>
          <t>No</t>
        </is>
      </c>
      <c r="J155" t="inlineStr">
        <is>
          <t>0</t>
        </is>
      </c>
      <c r="L155" t="inlineStr">
        <is>
          <t>San Diego : Academic Press, c1994.</t>
        </is>
      </c>
      <c r="M155" t="inlineStr">
        <is>
          <t>1994</t>
        </is>
      </c>
      <c r="O155" t="inlineStr">
        <is>
          <t>eng</t>
        </is>
      </c>
      <c r="P155" t="inlineStr">
        <is>
          <t>cau</t>
        </is>
      </c>
      <c r="R155" t="inlineStr">
        <is>
          <t xml:space="preserve">QZ </t>
        </is>
      </c>
      <c r="S155" t="n">
        <v>16</v>
      </c>
      <c r="T155" t="n">
        <v>16</v>
      </c>
      <c r="U155" t="inlineStr">
        <is>
          <t>2003-10-01</t>
        </is>
      </c>
      <c r="V155" t="inlineStr">
        <is>
          <t>2003-10-01</t>
        </is>
      </c>
      <c r="W155" t="inlineStr">
        <is>
          <t>1995-06-06</t>
        </is>
      </c>
      <c r="X155" t="inlineStr">
        <is>
          <t>1995-06-06</t>
        </is>
      </c>
      <c r="Y155" t="n">
        <v>11</v>
      </c>
      <c r="Z155" t="n">
        <v>7</v>
      </c>
      <c r="AA155" t="n">
        <v>48</v>
      </c>
      <c r="AB155" t="n">
        <v>1</v>
      </c>
      <c r="AC155" t="n">
        <v>1</v>
      </c>
      <c r="AD155" t="n">
        <v>0</v>
      </c>
      <c r="AE155" t="n">
        <v>2</v>
      </c>
      <c r="AF155" t="n">
        <v>0</v>
      </c>
      <c r="AG155" t="n">
        <v>1</v>
      </c>
      <c r="AH155" t="n">
        <v>0</v>
      </c>
      <c r="AI155" t="n">
        <v>1</v>
      </c>
      <c r="AJ155" t="n">
        <v>0</v>
      </c>
      <c r="AK155" t="n">
        <v>0</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HYPERLINK("https://creighton-primo.hosted.exlibrisgroup.com/primo-explore/search?tab=default_tab&amp;search_scope=EVERYTHING&amp;vid=01CRU&amp;lang=en_US&amp;offset=0&amp;query=any,contains,991001400939702656","Catalog Record")</f>
        <v/>
      </c>
      <c r="AT155">
        <f>HYPERLINK("http://www.worldcat.org/oclc/31233088","WorldCat Record")</f>
        <v/>
      </c>
      <c r="AU155" t="inlineStr">
        <is>
          <t>2864964749:eng</t>
        </is>
      </c>
      <c r="AV155" t="inlineStr">
        <is>
          <t>31233088</t>
        </is>
      </c>
      <c r="AW155" t="inlineStr">
        <is>
          <t>991001400939702656</t>
        </is>
      </c>
      <c r="AX155" t="inlineStr">
        <is>
          <t>991001400939702656</t>
        </is>
      </c>
      <c r="AY155" t="inlineStr">
        <is>
          <t>2271266190002656</t>
        </is>
      </c>
      <c r="AZ155" t="inlineStr">
        <is>
          <t>BOOK</t>
        </is>
      </c>
      <c r="BB155" t="inlineStr">
        <is>
          <t>9780124620049</t>
        </is>
      </c>
      <c r="BC155" t="inlineStr">
        <is>
          <t>30001003148089</t>
        </is>
      </c>
      <c r="BD155" t="inlineStr">
        <is>
          <t>893643546</t>
        </is>
      </c>
    </row>
    <row r="156">
      <c r="A156" t="inlineStr">
        <is>
          <t>No</t>
        </is>
      </c>
      <c r="B156" t="inlineStr">
        <is>
          <t>QZ 50 M891m 1983</t>
        </is>
      </c>
      <c r="C156" t="inlineStr">
        <is>
          <t>0                      QZ 0050000M  891m        1983</t>
        </is>
      </c>
      <c r="D156" t="inlineStr">
        <is>
          <t>Methods in genetic epidemiology / Newton E. Morton, Dabeeru C. Rao, Jean-Marc Lalouel.</t>
        </is>
      </c>
      <c r="F156" t="inlineStr">
        <is>
          <t>No</t>
        </is>
      </c>
      <c r="G156" t="inlineStr">
        <is>
          <t>1</t>
        </is>
      </c>
      <c r="H156" t="inlineStr">
        <is>
          <t>No</t>
        </is>
      </c>
      <c r="I156" t="inlineStr">
        <is>
          <t>No</t>
        </is>
      </c>
      <c r="J156" t="inlineStr">
        <is>
          <t>0</t>
        </is>
      </c>
      <c r="K156" t="inlineStr">
        <is>
          <t>Morton, Newton E. (Newton Ennis), 1929-</t>
        </is>
      </c>
      <c r="L156" t="inlineStr">
        <is>
          <t>Basel ; New York : Karger, c1983.</t>
        </is>
      </c>
      <c r="M156" t="inlineStr">
        <is>
          <t>1983</t>
        </is>
      </c>
      <c r="O156" t="inlineStr">
        <is>
          <t>eng</t>
        </is>
      </c>
      <c r="P156" t="inlineStr">
        <is>
          <t xml:space="preserve">sz </t>
        </is>
      </c>
      <c r="Q156" t="inlineStr">
        <is>
          <t>Contributions to epidemiology and biostatistics ; v. 4</t>
        </is>
      </c>
      <c r="R156" t="inlineStr">
        <is>
          <t xml:space="preserve">QZ </t>
        </is>
      </c>
      <c r="S156" t="n">
        <v>3</v>
      </c>
      <c r="T156" t="n">
        <v>3</v>
      </c>
      <c r="U156" t="inlineStr">
        <is>
          <t>2002-09-20</t>
        </is>
      </c>
      <c r="V156" t="inlineStr">
        <is>
          <t>2002-09-20</t>
        </is>
      </c>
      <c r="W156" t="inlineStr">
        <is>
          <t>1988-02-12</t>
        </is>
      </c>
      <c r="X156" t="inlineStr">
        <is>
          <t>1988-02-12</t>
        </is>
      </c>
      <c r="Y156" t="n">
        <v>177</v>
      </c>
      <c r="Z156" t="n">
        <v>114</v>
      </c>
      <c r="AA156" t="n">
        <v>116</v>
      </c>
      <c r="AB156" t="n">
        <v>3</v>
      </c>
      <c r="AC156" t="n">
        <v>3</v>
      </c>
      <c r="AD156" t="n">
        <v>6</v>
      </c>
      <c r="AE156" t="n">
        <v>6</v>
      </c>
      <c r="AF156" t="n">
        <v>0</v>
      </c>
      <c r="AG156" t="n">
        <v>0</v>
      </c>
      <c r="AH156" t="n">
        <v>2</v>
      </c>
      <c r="AI156" t="n">
        <v>2</v>
      </c>
      <c r="AJ156" t="n">
        <v>2</v>
      </c>
      <c r="AK156" t="n">
        <v>2</v>
      </c>
      <c r="AL156" t="n">
        <v>2</v>
      </c>
      <c r="AM156" t="n">
        <v>2</v>
      </c>
      <c r="AN156" t="n">
        <v>0</v>
      </c>
      <c r="AO156" t="n">
        <v>0</v>
      </c>
      <c r="AP156" t="inlineStr">
        <is>
          <t>No</t>
        </is>
      </c>
      <c r="AQ156" t="inlineStr">
        <is>
          <t>Yes</t>
        </is>
      </c>
      <c r="AR156">
        <f>HYPERLINK("http://catalog.hathitrust.org/Record/000163969","HathiTrust Record")</f>
        <v/>
      </c>
      <c r="AS156">
        <f>HYPERLINK("https://creighton-primo.hosted.exlibrisgroup.com/primo-explore/search?tab=default_tab&amp;search_scope=EVERYTHING&amp;vid=01CRU&amp;lang=en_US&amp;offset=0&amp;query=any,contains,991001090119702656","Catalog Record")</f>
        <v/>
      </c>
      <c r="AT156">
        <f>HYPERLINK("http://www.worldcat.org/oclc/9644846","WorldCat Record")</f>
        <v/>
      </c>
      <c r="AU156" t="inlineStr">
        <is>
          <t>43714650:eng</t>
        </is>
      </c>
      <c r="AV156" t="inlineStr">
        <is>
          <t>9644846</t>
        </is>
      </c>
      <c r="AW156" t="inlineStr">
        <is>
          <t>991001090119702656</t>
        </is>
      </c>
      <c r="AX156" t="inlineStr">
        <is>
          <t>991001090119702656</t>
        </is>
      </c>
      <c r="AY156" t="inlineStr">
        <is>
          <t>2267196600002656</t>
        </is>
      </c>
      <c r="AZ156" t="inlineStr">
        <is>
          <t>BOOK</t>
        </is>
      </c>
      <c r="BB156" t="inlineStr">
        <is>
          <t>9783805536684</t>
        </is>
      </c>
      <c r="BC156" t="inlineStr">
        <is>
          <t>30001000261927</t>
        </is>
      </c>
      <c r="BD156" t="inlineStr">
        <is>
          <t>893637992</t>
        </is>
      </c>
    </row>
    <row r="157">
      <c r="A157" t="inlineStr">
        <is>
          <t>No</t>
        </is>
      </c>
      <c r="B157" t="inlineStr">
        <is>
          <t>QZ 50 M948g 1988</t>
        </is>
      </c>
      <c r="C157" t="inlineStr">
        <is>
          <t>0                      QZ 0050000M  948g        1988</t>
        </is>
      </c>
      <c r="D157" t="inlineStr">
        <is>
          <t>Genetic medicine / Karl H. Muench.</t>
        </is>
      </c>
      <c r="F157" t="inlineStr">
        <is>
          <t>No</t>
        </is>
      </c>
      <c r="G157" t="inlineStr">
        <is>
          <t>1</t>
        </is>
      </c>
      <c r="H157" t="inlineStr">
        <is>
          <t>No</t>
        </is>
      </c>
      <c r="I157" t="inlineStr">
        <is>
          <t>No</t>
        </is>
      </c>
      <c r="J157" t="inlineStr">
        <is>
          <t>0</t>
        </is>
      </c>
      <c r="K157" t="inlineStr">
        <is>
          <t>Muench, Karl H., 1934-</t>
        </is>
      </c>
      <c r="L157" t="inlineStr">
        <is>
          <t>New York : Elsevier, c1988.</t>
        </is>
      </c>
      <c r="M157" t="inlineStr">
        <is>
          <t>1988</t>
        </is>
      </c>
      <c r="O157" t="inlineStr">
        <is>
          <t>eng</t>
        </is>
      </c>
      <c r="P157" t="inlineStr">
        <is>
          <t>xxu</t>
        </is>
      </c>
      <c r="R157" t="inlineStr">
        <is>
          <t xml:space="preserve">QZ </t>
        </is>
      </c>
      <c r="S157" t="n">
        <v>8</v>
      </c>
      <c r="T157" t="n">
        <v>8</v>
      </c>
      <c r="U157" t="inlineStr">
        <is>
          <t>2001-10-22</t>
        </is>
      </c>
      <c r="V157" t="inlineStr">
        <is>
          <t>2001-10-22</t>
        </is>
      </c>
      <c r="W157" t="inlineStr">
        <is>
          <t>1988-05-09</t>
        </is>
      </c>
      <c r="X157" t="inlineStr">
        <is>
          <t>1988-05-09</t>
        </is>
      </c>
      <c r="Y157" t="n">
        <v>177</v>
      </c>
      <c r="Z157" t="n">
        <v>129</v>
      </c>
      <c r="AA157" t="n">
        <v>136</v>
      </c>
      <c r="AB157" t="n">
        <v>1</v>
      </c>
      <c r="AC157" t="n">
        <v>1</v>
      </c>
      <c r="AD157" t="n">
        <v>3</v>
      </c>
      <c r="AE157" t="n">
        <v>3</v>
      </c>
      <c r="AF157" t="n">
        <v>1</v>
      </c>
      <c r="AG157" t="n">
        <v>1</v>
      </c>
      <c r="AH157" t="n">
        <v>1</v>
      </c>
      <c r="AI157" t="n">
        <v>1</v>
      </c>
      <c r="AJ157" t="n">
        <v>2</v>
      </c>
      <c r="AK157" t="n">
        <v>2</v>
      </c>
      <c r="AL157" t="n">
        <v>0</v>
      </c>
      <c r="AM157" t="n">
        <v>0</v>
      </c>
      <c r="AN157" t="n">
        <v>0</v>
      </c>
      <c r="AO157" t="n">
        <v>0</v>
      </c>
      <c r="AP157" t="inlineStr">
        <is>
          <t>No</t>
        </is>
      </c>
      <c r="AQ157" t="inlineStr">
        <is>
          <t>Yes</t>
        </is>
      </c>
      <c r="AR157">
        <f>HYPERLINK("http://catalog.hathitrust.org/Record/000904806","HathiTrust Record")</f>
        <v/>
      </c>
      <c r="AS157">
        <f>HYPERLINK("https://creighton-primo.hosted.exlibrisgroup.com/primo-explore/search?tab=default_tab&amp;search_scope=EVERYTHING&amp;vid=01CRU&amp;lang=en_US&amp;offset=0&amp;query=any,contains,991001188659702656","Catalog Record")</f>
        <v/>
      </c>
      <c r="AT157">
        <f>HYPERLINK("http://www.worldcat.org/oclc/16523039","WorldCat Record")</f>
        <v/>
      </c>
      <c r="AU157" t="inlineStr">
        <is>
          <t>12376066:eng</t>
        </is>
      </c>
      <c r="AV157" t="inlineStr">
        <is>
          <t>16523039</t>
        </is>
      </c>
      <c r="AW157" t="inlineStr">
        <is>
          <t>991001188659702656</t>
        </is>
      </c>
      <c r="AX157" t="inlineStr">
        <is>
          <t>991001188659702656</t>
        </is>
      </c>
      <c r="AY157" t="inlineStr">
        <is>
          <t>2256102290002656</t>
        </is>
      </c>
      <c r="AZ157" t="inlineStr">
        <is>
          <t>BOOK</t>
        </is>
      </c>
      <c r="BB157" t="inlineStr">
        <is>
          <t>9780444008503</t>
        </is>
      </c>
      <c r="BC157" t="inlineStr">
        <is>
          <t>30001000978785</t>
        </is>
      </c>
      <c r="BD157" t="inlineStr">
        <is>
          <t>893552216</t>
        </is>
      </c>
    </row>
    <row r="158">
      <c r="A158" t="inlineStr">
        <is>
          <t>No</t>
        </is>
      </c>
      <c r="B158" t="inlineStr">
        <is>
          <t>QZ 50 M953e 1983</t>
        </is>
      </c>
      <c r="C158" t="inlineStr">
        <is>
          <t>0                      QZ 0050000M  953e        1983</t>
        </is>
      </c>
      <c r="D158" t="inlineStr">
        <is>
          <t>Essentials of genetics for nurses / Bernice L. Muir.</t>
        </is>
      </c>
      <c r="F158" t="inlineStr">
        <is>
          <t>No</t>
        </is>
      </c>
      <c r="G158" t="inlineStr">
        <is>
          <t>1</t>
        </is>
      </c>
      <c r="H158" t="inlineStr">
        <is>
          <t>No</t>
        </is>
      </c>
      <c r="I158" t="inlineStr">
        <is>
          <t>No</t>
        </is>
      </c>
      <c r="J158" t="inlineStr">
        <is>
          <t>0</t>
        </is>
      </c>
      <c r="K158" t="inlineStr">
        <is>
          <t>Muir, Bernice L.</t>
        </is>
      </c>
      <c r="L158" t="inlineStr">
        <is>
          <t>New York : Wiley, c1983.</t>
        </is>
      </c>
      <c r="M158" t="inlineStr">
        <is>
          <t>1983</t>
        </is>
      </c>
      <c r="O158" t="inlineStr">
        <is>
          <t>eng</t>
        </is>
      </c>
      <c r="P158" t="inlineStr">
        <is>
          <t>xxu</t>
        </is>
      </c>
      <c r="Q158" t="inlineStr">
        <is>
          <t>A Wiley medical publication</t>
        </is>
      </c>
      <c r="R158" t="inlineStr">
        <is>
          <t xml:space="preserve">QZ </t>
        </is>
      </c>
      <c r="S158" t="n">
        <v>6</v>
      </c>
      <c r="T158" t="n">
        <v>6</v>
      </c>
      <c r="U158" t="inlineStr">
        <is>
          <t>1997-01-22</t>
        </is>
      </c>
      <c r="V158" t="inlineStr">
        <is>
          <t>1997-01-22</t>
        </is>
      </c>
      <c r="W158" t="inlineStr">
        <is>
          <t>1989-01-14</t>
        </is>
      </c>
      <c r="X158" t="inlineStr">
        <is>
          <t>1989-01-14</t>
        </is>
      </c>
      <c r="Y158" t="n">
        <v>230</v>
      </c>
      <c r="Z158" t="n">
        <v>198</v>
      </c>
      <c r="AA158" t="n">
        <v>215</v>
      </c>
      <c r="AB158" t="n">
        <v>1</v>
      </c>
      <c r="AC158" t="n">
        <v>1</v>
      </c>
      <c r="AD158" t="n">
        <v>6</v>
      </c>
      <c r="AE158" t="n">
        <v>8</v>
      </c>
      <c r="AF158" t="n">
        <v>3</v>
      </c>
      <c r="AG158" t="n">
        <v>4</v>
      </c>
      <c r="AH158" t="n">
        <v>1</v>
      </c>
      <c r="AI158" t="n">
        <v>2</v>
      </c>
      <c r="AJ158" t="n">
        <v>5</v>
      </c>
      <c r="AK158" t="n">
        <v>5</v>
      </c>
      <c r="AL158" t="n">
        <v>0</v>
      </c>
      <c r="AM158" t="n">
        <v>0</v>
      </c>
      <c r="AN158" t="n">
        <v>0</v>
      </c>
      <c r="AO158" t="n">
        <v>0</v>
      </c>
      <c r="AP158" t="inlineStr">
        <is>
          <t>No</t>
        </is>
      </c>
      <c r="AQ158" t="inlineStr">
        <is>
          <t>Yes</t>
        </is>
      </c>
      <c r="AR158">
        <f>HYPERLINK("http://catalog.hathitrust.org/Record/000283959","HathiTrust Record")</f>
        <v/>
      </c>
      <c r="AS158">
        <f>HYPERLINK("https://creighton-primo.hosted.exlibrisgroup.com/primo-explore/search?tab=default_tab&amp;search_scope=EVERYTHING&amp;vid=01CRU&amp;lang=en_US&amp;offset=0&amp;query=any,contains,991001090199702656","Catalog Record")</f>
        <v/>
      </c>
      <c r="AT158">
        <f>HYPERLINK("http://www.worldcat.org/oclc/8589351","WorldCat Record")</f>
        <v/>
      </c>
      <c r="AU158" t="inlineStr">
        <is>
          <t>42984267:eng</t>
        </is>
      </c>
      <c r="AV158" t="inlineStr">
        <is>
          <t>8589351</t>
        </is>
      </c>
      <c r="AW158" t="inlineStr">
        <is>
          <t>991001090199702656</t>
        </is>
      </c>
      <c r="AX158" t="inlineStr">
        <is>
          <t>991001090199702656</t>
        </is>
      </c>
      <c r="AY158" t="inlineStr">
        <is>
          <t>2255179340002656</t>
        </is>
      </c>
      <c r="AZ158" t="inlineStr">
        <is>
          <t>BOOK</t>
        </is>
      </c>
      <c r="BB158" t="inlineStr">
        <is>
          <t>9780471082385</t>
        </is>
      </c>
      <c r="BC158" t="inlineStr">
        <is>
          <t>30001000261943</t>
        </is>
      </c>
      <c r="BD158" t="inlineStr">
        <is>
          <t>893460269</t>
        </is>
      </c>
    </row>
    <row r="159">
      <c r="A159" t="inlineStr">
        <is>
          <t>No</t>
        </is>
      </c>
      <c r="B159" t="inlineStr">
        <is>
          <t>QZ 50 N976 1996</t>
        </is>
      </c>
      <c r="C159" t="inlineStr">
        <is>
          <t>0                      QZ 0050000N  976         1996</t>
        </is>
      </c>
      <c r="D159" t="inlineStr">
        <is>
          <t>Nutrients and gene expression : clinical aspects / edited Carolyn D. Berdanier.</t>
        </is>
      </c>
      <c r="F159" t="inlineStr">
        <is>
          <t>No</t>
        </is>
      </c>
      <c r="G159" t="inlineStr">
        <is>
          <t>1</t>
        </is>
      </c>
      <c r="H159" t="inlineStr">
        <is>
          <t>No</t>
        </is>
      </c>
      <c r="I159" t="inlineStr">
        <is>
          <t>No</t>
        </is>
      </c>
      <c r="J159" t="inlineStr">
        <is>
          <t>0</t>
        </is>
      </c>
      <c r="L159" t="inlineStr">
        <is>
          <t>Boca Raton, Fla. : CRC Press, c1996.</t>
        </is>
      </c>
      <c r="M159" t="inlineStr">
        <is>
          <t>1996</t>
        </is>
      </c>
      <c r="O159" t="inlineStr">
        <is>
          <t>eng</t>
        </is>
      </c>
      <c r="P159" t="inlineStr">
        <is>
          <t>flu</t>
        </is>
      </c>
      <c r="Q159" t="inlineStr">
        <is>
          <t>Modern nutrition</t>
        </is>
      </c>
      <c r="R159" t="inlineStr">
        <is>
          <t xml:space="preserve">QZ </t>
        </is>
      </c>
      <c r="S159" t="n">
        <v>2</v>
      </c>
      <c r="T159" t="n">
        <v>2</v>
      </c>
      <c r="U159" t="inlineStr">
        <is>
          <t>1998-02-25</t>
        </is>
      </c>
      <c r="V159" t="inlineStr">
        <is>
          <t>1998-02-25</t>
        </is>
      </c>
      <c r="W159" t="inlineStr">
        <is>
          <t>1998-02-23</t>
        </is>
      </c>
      <c r="X159" t="inlineStr">
        <is>
          <t>1998-02-23</t>
        </is>
      </c>
      <c r="Y159" t="n">
        <v>135</v>
      </c>
      <c r="Z159" t="n">
        <v>107</v>
      </c>
      <c r="AA159" t="n">
        <v>112</v>
      </c>
      <c r="AB159" t="n">
        <v>1</v>
      </c>
      <c r="AC159" t="n">
        <v>1</v>
      </c>
      <c r="AD159" t="n">
        <v>3</v>
      </c>
      <c r="AE159" t="n">
        <v>3</v>
      </c>
      <c r="AF159" t="n">
        <v>2</v>
      </c>
      <c r="AG159" t="n">
        <v>2</v>
      </c>
      <c r="AH159" t="n">
        <v>0</v>
      </c>
      <c r="AI159" t="n">
        <v>0</v>
      </c>
      <c r="AJ159" t="n">
        <v>2</v>
      </c>
      <c r="AK159" t="n">
        <v>2</v>
      </c>
      <c r="AL159" t="n">
        <v>0</v>
      </c>
      <c r="AM159" t="n">
        <v>0</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HYPERLINK("https://creighton-primo.hosted.exlibrisgroup.com/primo-explore/search?tab=default_tab&amp;search_scope=EVERYTHING&amp;vid=01CRU&amp;lang=en_US&amp;offset=0&amp;query=any,contains,991001262199702656","Catalog Record")</f>
        <v/>
      </c>
      <c r="AT159">
        <f>HYPERLINK("http://www.worldcat.org/oclc/34513161","WorldCat Record")</f>
        <v/>
      </c>
      <c r="AU159" t="inlineStr">
        <is>
          <t>807166558:eng</t>
        </is>
      </c>
      <c r="AV159" t="inlineStr">
        <is>
          <t>34513161</t>
        </is>
      </c>
      <c r="AW159" t="inlineStr">
        <is>
          <t>991001262199702656</t>
        </is>
      </c>
      <c r="AX159" t="inlineStr">
        <is>
          <t>991001262199702656</t>
        </is>
      </c>
      <c r="AY159" t="inlineStr">
        <is>
          <t>2255587360002656</t>
        </is>
      </c>
      <c r="AZ159" t="inlineStr">
        <is>
          <t>BOOK</t>
        </is>
      </c>
      <c r="BB159" t="inlineStr">
        <is>
          <t>9780849394850</t>
        </is>
      </c>
      <c r="BC159" t="inlineStr">
        <is>
          <t>30001003691492</t>
        </is>
      </c>
      <c r="BD159" t="inlineStr">
        <is>
          <t>893727383</t>
        </is>
      </c>
    </row>
    <row r="160">
      <c r="A160" t="inlineStr">
        <is>
          <t>No</t>
        </is>
      </c>
      <c r="B160" t="inlineStr">
        <is>
          <t>QZ 50 N994d 1987</t>
        </is>
      </c>
      <c r="C160" t="inlineStr">
        <is>
          <t>0                      QZ 0050000N  994d        1987</t>
        </is>
      </c>
      <c r="D160" t="inlineStr">
        <is>
          <t>Diagnostic recognition of genetic disease / William L. Nyhan, Nadia O. Sakati.</t>
        </is>
      </c>
      <c r="F160" t="inlineStr">
        <is>
          <t>No</t>
        </is>
      </c>
      <c r="G160" t="inlineStr">
        <is>
          <t>1</t>
        </is>
      </c>
      <c r="H160" t="inlineStr">
        <is>
          <t>No</t>
        </is>
      </c>
      <c r="I160" t="inlineStr">
        <is>
          <t>No</t>
        </is>
      </c>
      <c r="J160" t="inlineStr">
        <is>
          <t>0</t>
        </is>
      </c>
      <c r="K160" t="inlineStr">
        <is>
          <t>Nyhan, William L., 1926-</t>
        </is>
      </c>
      <c r="L160" t="inlineStr">
        <is>
          <t>Philadelphia : Lea &amp; Febiger, c1987.</t>
        </is>
      </c>
      <c r="M160" t="inlineStr">
        <is>
          <t>1987</t>
        </is>
      </c>
      <c r="O160" t="inlineStr">
        <is>
          <t>eng</t>
        </is>
      </c>
      <c r="P160" t="inlineStr">
        <is>
          <t>xxu</t>
        </is>
      </c>
      <c r="R160" t="inlineStr">
        <is>
          <t xml:space="preserve">QZ </t>
        </is>
      </c>
      <c r="S160" t="n">
        <v>20</v>
      </c>
      <c r="T160" t="n">
        <v>20</v>
      </c>
      <c r="U160" t="inlineStr">
        <is>
          <t>2003-10-01</t>
        </is>
      </c>
      <c r="V160" t="inlineStr">
        <is>
          <t>2003-10-01</t>
        </is>
      </c>
      <c r="W160" t="inlineStr">
        <is>
          <t>1987-12-09</t>
        </is>
      </c>
      <c r="X160" t="inlineStr">
        <is>
          <t>1987-12-09</t>
        </is>
      </c>
      <c r="Y160" t="n">
        <v>195</v>
      </c>
      <c r="Z160" t="n">
        <v>145</v>
      </c>
      <c r="AA160" t="n">
        <v>147</v>
      </c>
      <c r="AB160" t="n">
        <v>2</v>
      </c>
      <c r="AC160" t="n">
        <v>2</v>
      </c>
      <c r="AD160" t="n">
        <v>2</v>
      </c>
      <c r="AE160" t="n">
        <v>2</v>
      </c>
      <c r="AF160" t="n">
        <v>0</v>
      </c>
      <c r="AG160" t="n">
        <v>0</v>
      </c>
      <c r="AH160" t="n">
        <v>0</v>
      </c>
      <c r="AI160" t="n">
        <v>0</v>
      </c>
      <c r="AJ160" t="n">
        <v>1</v>
      </c>
      <c r="AK160" t="n">
        <v>1</v>
      </c>
      <c r="AL160" t="n">
        <v>1</v>
      </c>
      <c r="AM160" t="n">
        <v>1</v>
      </c>
      <c r="AN160" t="n">
        <v>0</v>
      </c>
      <c r="AO160" t="n">
        <v>0</v>
      </c>
      <c r="AP160" t="inlineStr">
        <is>
          <t>No</t>
        </is>
      </c>
      <c r="AQ160" t="inlineStr">
        <is>
          <t>Yes</t>
        </is>
      </c>
      <c r="AR160">
        <f>HYPERLINK("http://catalog.hathitrust.org/Record/000910674","HathiTrust Record")</f>
        <v/>
      </c>
      <c r="AS160">
        <f>HYPERLINK("https://creighton-primo.hosted.exlibrisgroup.com/primo-explore/search?tab=default_tab&amp;search_scope=EVERYTHING&amp;vid=01CRU&amp;lang=en_US&amp;offset=0&amp;query=any,contains,991001533909702656","Catalog Record")</f>
        <v/>
      </c>
      <c r="AT160">
        <f>HYPERLINK("http://www.worldcat.org/oclc/14379443","WorldCat Record")</f>
        <v/>
      </c>
      <c r="AU160" t="inlineStr">
        <is>
          <t>8833493:eng</t>
        </is>
      </c>
      <c r="AV160" t="inlineStr">
        <is>
          <t>14379443</t>
        </is>
      </c>
      <c r="AW160" t="inlineStr">
        <is>
          <t>991001533909702656</t>
        </is>
      </c>
      <c r="AX160" t="inlineStr">
        <is>
          <t>991001533909702656</t>
        </is>
      </c>
      <c r="AY160" t="inlineStr">
        <is>
          <t>2264722700002656</t>
        </is>
      </c>
      <c r="AZ160" t="inlineStr">
        <is>
          <t>BOOK</t>
        </is>
      </c>
      <c r="BB160" t="inlineStr">
        <is>
          <t>9780812110722</t>
        </is>
      </c>
      <c r="BC160" t="inlineStr">
        <is>
          <t>30001000622292</t>
        </is>
      </c>
      <c r="BD160" t="inlineStr">
        <is>
          <t>893268587</t>
        </is>
      </c>
    </row>
    <row r="161">
      <c r="A161" t="inlineStr">
        <is>
          <t>No</t>
        </is>
      </c>
      <c r="B161" t="inlineStr">
        <is>
          <t>QZ 50 P957 1983</t>
        </is>
      </c>
      <c r="C161" t="inlineStr">
        <is>
          <t>0                      QZ 0050000P  957         1983</t>
        </is>
      </c>
      <c r="D161" t="inlineStr">
        <is>
          <t>Principles and practice of medical genetics / editors, Alan E.H. Emery and David L. Rimoin ; assistant editor, Jeffrey A. Sofaer ; editorial assistant, A.P. Garber.</t>
        </is>
      </c>
      <c r="E161" t="inlineStr">
        <is>
          <t>V. 2</t>
        </is>
      </c>
      <c r="F161" t="inlineStr">
        <is>
          <t>Yes</t>
        </is>
      </c>
      <c r="G161" t="inlineStr">
        <is>
          <t>1</t>
        </is>
      </c>
      <c r="H161" t="inlineStr">
        <is>
          <t>No</t>
        </is>
      </c>
      <c r="I161" t="inlineStr">
        <is>
          <t>Yes</t>
        </is>
      </c>
      <c r="J161" t="inlineStr">
        <is>
          <t>0</t>
        </is>
      </c>
      <c r="L161" t="inlineStr">
        <is>
          <t>Edinburgh ; New York : Churchill Livingstone, c1983.</t>
        </is>
      </c>
      <c r="M161" t="inlineStr">
        <is>
          <t>1983</t>
        </is>
      </c>
      <c r="O161" t="inlineStr">
        <is>
          <t>eng</t>
        </is>
      </c>
      <c r="P161" t="inlineStr">
        <is>
          <t>stk</t>
        </is>
      </c>
      <c r="R161" t="inlineStr">
        <is>
          <t xml:space="preserve">QZ </t>
        </is>
      </c>
      <c r="S161" t="n">
        <v>3</v>
      </c>
      <c r="T161" t="n">
        <v>11</v>
      </c>
      <c r="V161" t="inlineStr">
        <is>
          <t>1997-01-27</t>
        </is>
      </c>
      <c r="W161" t="inlineStr">
        <is>
          <t>1987-10-03</t>
        </is>
      </c>
      <c r="X161" t="inlineStr">
        <is>
          <t>1987-10-03</t>
        </is>
      </c>
      <c r="Y161" t="n">
        <v>248</v>
      </c>
      <c r="Z161" t="n">
        <v>176</v>
      </c>
      <c r="AA161" t="n">
        <v>289</v>
      </c>
      <c r="AB161" t="n">
        <v>1</v>
      </c>
      <c r="AC161" t="n">
        <v>1</v>
      </c>
      <c r="AD161" t="n">
        <v>2</v>
      </c>
      <c r="AE161" t="n">
        <v>6</v>
      </c>
      <c r="AF161" t="n">
        <v>0</v>
      </c>
      <c r="AG161" t="n">
        <v>3</v>
      </c>
      <c r="AH161" t="n">
        <v>0</v>
      </c>
      <c r="AI161" t="n">
        <v>1</v>
      </c>
      <c r="AJ161" t="n">
        <v>2</v>
      </c>
      <c r="AK161" t="n">
        <v>4</v>
      </c>
      <c r="AL161" t="n">
        <v>0</v>
      </c>
      <c r="AM161" t="n">
        <v>0</v>
      </c>
      <c r="AN161" t="n">
        <v>0</v>
      </c>
      <c r="AO161" t="n">
        <v>0</v>
      </c>
      <c r="AP161" t="inlineStr">
        <is>
          <t>No</t>
        </is>
      </c>
      <c r="AQ161" t="inlineStr">
        <is>
          <t>Yes</t>
        </is>
      </c>
      <c r="AR161">
        <f>HYPERLINK("http://catalog.hathitrust.org/Record/009052253","HathiTrust Record")</f>
        <v/>
      </c>
      <c r="AS161">
        <f>HYPERLINK("https://creighton-primo.hosted.exlibrisgroup.com/primo-explore/search?tab=default_tab&amp;search_scope=EVERYTHING&amp;vid=01CRU&amp;lang=en_US&amp;offset=0&amp;query=any,contains,991000757039702656","Catalog Record")</f>
        <v/>
      </c>
      <c r="AT161">
        <f>HYPERLINK("http://www.worldcat.org/oclc/9131716","WorldCat Record")</f>
        <v/>
      </c>
      <c r="AU161" t="inlineStr">
        <is>
          <t>3943579589:eng</t>
        </is>
      </c>
      <c r="AV161" t="inlineStr">
        <is>
          <t>9131716</t>
        </is>
      </c>
      <c r="AW161" t="inlineStr">
        <is>
          <t>991000757039702656</t>
        </is>
      </c>
      <c r="AX161" t="inlineStr">
        <is>
          <t>991000757039702656</t>
        </is>
      </c>
      <c r="AY161" t="inlineStr">
        <is>
          <t>2269722630002656</t>
        </is>
      </c>
      <c r="AZ161" t="inlineStr">
        <is>
          <t>BOOK</t>
        </is>
      </c>
      <c r="BB161" t="inlineStr">
        <is>
          <t>9780443021299</t>
        </is>
      </c>
      <c r="BC161" t="inlineStr">
        <is>
          <t>30001000053605</t>
        </is>
      </c>
      <c r="BD161" t="inlineStr">
        <is>
          <t>893267365</t>
        </is>
      </c>
    </row>
    <row r="162">
      <c r="A162" t="inlineStr">
        <is>
          <t>No</t>
        </is>
      </c>
      <c r="B162" t="inlineStr">
        <is>
          <t>QZ 50 P957 1983</t>
        </is>
      </c>
      <c r="C162" t="inlineStr">
        <is>
          <t>0                      QZ 0050000P  957         1983</t>
        </is>
      </c>
      <c r="D162" t="inlineStr">
        <is>
          <t>Principles and practice of medical genetics / editors, Alan E.H. Emery and David L. Rimoin ; assistant editor, Jeffrey A. Sofaer ; editorial assistant, A.P. Garber.</t>
        </is>
      </c>
      <c r="E162" t="inlineStr">
        <is>
          <t>V. 1</t>
        </is>
      </c>
      <c r="F162" t="inlineStr">
        <is>
          <t>Yes</t>
        </is>
      </c>
      <c r="G162" t="inlineStr">
        <is>
          <t>1</t>
        </is>
      </c>
      <c r="H162" t="inlineStr">
        <is>
          <t>No</t>
        </is>
      </c>
      <c r="I162" t="inlineStr">
        <is>
          <t>Yes</t>
        </is>
      </c>
      <c r="J162" t="inlineStr">
        <is>
          <t>0</t>
        </is>
      </c>
      <c r="L162" t="inlineStr">
        <is>
          <t>Edinburgh ; New York : Churchill Livingstone, c1983.</t>
        </is>
      </c>
      <c r="M162" t="inlineStr">
        <is>
          <t>1983</t>
        </is>
      </c>
      <c r="O162" t="inlineStr">
        <is>
          <t>eng</t>
        </is>
      </c>
      <c r="P162" t="inlineStr">
        <is>
          <t>stk</t>
        </is>
      </c>
      <c r="R162" t="inlineStr">
        <is>
          <t xml:space="preserve">QZ </t>
        </is>
      </c>
      <c r="S162" t="n">
        <v>8</v>
      </c>
      <c r="T162" t="n">
        <v>11</v>
      </c>
      <c r="U162" t="inlineStr">
        <is>
          <t>1997-01-27</t>
        </is>
      </c>
      <c r="V162" t="inlineStr">
        <is>
          <t>1997-01-27</t>
        </is>
      </c>
      <c r="W162" t="inlineStr">
        <is>
          <t>1987-10-03</t>
        </is>
      </c>
      <c r="X162" t="inlineStr">
        <is>
          <t>1987-10-03</t>
        </is>
      </c>
      <c r="Y162" t="n">
        <v>248</v>
      </c>
      <c r="Z162" t="n">
        <v>176</v>
      </c>
      <c r="AA162" t="n">
        <v>289</v>
      </c>
      <c r="AB162" t="n">
        <v>1</v>
      </c>
      <c r="AC162" t="n">
        <v>1</v>
      </c>
      <c r="AD162" t="n">
        <v>2</v>
      </c>
      <c r="AE162" t="n">
        <v>6</v>
      </c>
      <c r="AF162" t="n">
        <v>0</v>
      </c>
      <c r="AG162" t="n">
        <v>3</v>
      </c>
      <c r="AH162" t="n">
        <v>0</v>
      </c>
      <c r="AI162" t="n">
        <v>1</v>
      </c>
      <c r="AJ162" t="n">
        <v>2</v>
      </c>
      <c r="AK162" t="n">
        <v>4</v>
      </c>
      <c r="AL162" t="n">
        <v>0</v>
      </c>
      <c r="AM162" t="n">
        <v>0</v>
      </c>
      <c r="AN162" t="n">
        <v>0</v>
      </c>
      <c r="AO162" t="n">
        <v>0</v>
      </c>
      <c r="AP162" t="inlineStr">
        <is>
          <t>No</t>
        </is>
      </c>
      <c r="AQ162" t="inlineStr">
        <is>
          <t>Yes</t>
        </is>
      </c>
      <c r="AR162">
        <f>HYPERLINK("http://catalog.hathitrust.org/Record/009052253","HathiTrust Record")</f>
        <v/>
      </c>
      <c r="AS162">
        <f>HYPERLINK("https://creighton-primo.hosted.exlibrisgroup.com/primo-explore/search?tab=default_tab&amp;search_scope=EVERYTHING&amp;vid=01CRU&amp;lang=en_US&amp;offset=0&amp;query=any,contains,991000757039702656","Catalog Record")</f>
        <v/>
      </c>
      <c r="AT162">
        <f>HYPERLINK("http://www.worldcat.org/oclc/9131716","WorldCat Record")</f>
        <v/>
      </c>
      <c r="AU162" t="inlineStr">
        <is>
          <t>3943579589:eng</t>
        </is>
      </c>
      <c r="AV162" t="inlineStr">
        <is>
          <t>9131716</t>
        </is>
      </c>
      <c r="AW162" t="inlineStr">
        <is>
          <t>991000757039702656</t>
        </is>
      </c>
      <c r="AX162" t="inlineStr">
        <is>
          <t>991000757039702656</t>
        </is>
      </c>
      <c r="AY162" t="inlineStr">
        <is>
          <t>2269722630002656</t>
        </is>
      </c>
      <c r="AZ162" t="inlineStr">
        <is>
          <t>BOOK</t>
        </is>
      </c>
      <c r="BB162" t="inlineStr">
        <is>
          <t>9780443021299</t>
        </is>
      </c>
      <c r="BC162" t="inlineStr">
        <is>
          <t>30001000053613</t>
        </is>
      </c>
      <c r="BD162" t="inlineStr">
        <is>
          <t>893283700</t>
        </is>
      </c>
    </row>
    <row r="163">
      <c r="A163" t="inlineStr">
        <is>
          <t>No</t>
        </is>
      </c>
      <c r="B163" t="inlineStr">
        <is>
          <t>QZ 50 P957 1990</t>
        </is>
      </c>
      <c r="C163" t="inlineStr">
        <is>
          <t>0                      QZ 0050000P  957         1990</t>
        </is>
      </c>
      <c r="D163" t="inlineStr">
        <is>
          <t>Principles and practice of medical genetics / edited by Alan E.H. Emery, David L. Rimoin ; associate editor, Jeffrey A. Sofaer ; editorial assistant, Isobel Black ; foreword by Victor A. McKusick.</t>
        </is>
      </c>
      <c r="E163" t="inlineStr">
        <is>
          <t>V. 2</t>
        </is>
      </c>
      <c r="F163" t="inlineStr">
        <is>
          <t>Yes</t>
        </is>
      </c>
      <c r="G163" t="inlineStr">
        <is>
          <t>1</t>
        </is>
      </c>
      <c r="H163" t="inlineStr">
        <is>
          <t>No</t>
        </is>
      </c>
      <c r="I163" t="inlineStr">
        <is>
          <t>Yes</t>
        </is>
      </c>
      <c r="J163" t="inlineStr">
        <is>
          <t>0</t>
        </is>
      </c>
      <c r="L163" t="inlineStr">
        <is>
          <t>Edinburgh ; New York : Churchill Livingstone, c1990, reprinted 1991.</t>
        </is>
      </c>
      <c r="M163" t="inlineStr">
        <is>
          <t>1990</t>
        </is>
      </c>
      <c r="N163" t="inlineStr">
        <is>
          <t>2nd ed.</t>
        </is>
      </c>
      <c r="O163" t="inlineStr">
        <is>
          <t>eng</t>
        </is>
      </c>
      <c r="P163" t="inlineStr">
        <is>
          <t>stk</t>
        </is>
      </c>
      <c r="R163" t="inlineStr">
        <is>
          <t xml:space="preserve">QZ </t>
        </is>
      </c>
      <c r="S163" t="n">
        <v>18</v>
      </c>
      <c r="T163" t="n">
        <v>36</v>
      </c>
      <c r="U163" t="inlineStr">
        <is>
          <t>1998-01-10</t>
        </is>
      </c>
      <c r="V163" t="inlineStr">
        <is>
          <t>1999-03-26</t>
        </is>
      </c>
      <c r="W163" t="inlineStr">
        <is>
          <t>1991-04-30</t>
        </is>
      </c>
      <c r="X163" t="inlineStr">
        <is>
          <t>1991-04-30</t>
        </is>
      </c>
      <c r="Y163" t="n">
        <v>278</v>
      </c>
      <c r="Z163" t="n">
        <v>191</v>
      </c>
      <c r="AA163" t="n">
        <v>289</v>
      </c>
      <c r="AB163" t="n">
        <v>1</v>
      </c>
      <c r="AC163" t="n">
        <v>1</v>
      </c>
      <c r="AD163" t="n">
        <v>5</v>
      </c>
      <c r="AE163" t="n">
        <v>6</v>
      </c>
      <c r="AF163" t="n">
        <v>3</v>
      </c>
      <c r="AG163" t="n">
        <v>3</v>
      </c>
      <c r="AH163" t="n">
        <v>1</v>
      </c>
      <c r="AI163" t="n">
        <v>1</v>
      </c>
      <c r="AJ163" t="n">
        <v>3</v>
      </c>
      <c r="AK163" t="n">
        <v>4</v>
      </c>
      <c r="AL163" t="n">
        <v>0</v>
      </c>
      <c r="AM163" t="n">
        <v>0</v>
      </c>
      <c r="AN163" t="n">
        <v>0</v>
      </c>
      <c r="AO163" t="n">
        <v>0</v>
      </c>
      <c r="AP163" t="inlineStr">
        <is>
          <t>No</t>
        </is>
      </c>
      <c r="AQ163" t="inlineStr">
        <is>
          <t>Yes</t>
        </is>
      </c>
      <c r="AR163">
        <f>HYPERLINK("http://catalog.hathitrust.org/Record/002238238","HathiTrust Record")</f>
        <v/>
      </c>
      <c r="AS163">
        <f>HYPERLINK("https://creighton-primo.hosted.exlibrisgroup.com/primo-explore/search?tab=default_tab&amp;search_scope=EVERYTHING&amp;vid=01CRU&amp;lang=en_US&amp;offset=0&amp;query=any,contains,991000934799702656","Catalog Record")</f>
        <v/>
      </c>
      <c r="AT163">
        <f>HYPERLINK("http://www.worldcat.org/oclc/21376336","WorldCat Record")</f>
        <v/>
      </c>
      <c r="AU163" t="inlineStr">
        <is>
          <t>3943579589:eng</t>
        </is>
      </c>
      <c r="AV163" t="inlineStr">
        <is>
          <t>21376336</t>
        </is>
      </c>
      <c r="AW163" t="inlineStr">
        <is>
          <t>991000934799702656</t>
        </is>
      </c>
      <c r="AX163" t="inlineStr">
        <is>
          <t>991000934799702656</t>
        </is>
      </c>
      <c r="AY163" t="inlineStr">
        <is>
          <t>2257770450002656</t>
        </is>
      </c>
      <c r="AZ163" t="inlineStr">
        <is>
          <t>BOOK</t>
        </is>
      </c>
      <c r="BB163" t="inlineStr">
        <is>
          <t>9780443035838</t>
        </is>
      </c>
      <c r="BC163" t="inlineStr">
        <is>
          <t>30001002190504</t>
        </is>
      </c>
      <c r="BD163" t="inlineStr">
        <is>
          <t>893167965</t>
        </is>
      </c>
    </row>
    <row r="164">
      <c r="A164" t="inlineStr">
        <is>
          <t>No</t>
        </is>
      </c>
      <c r="B164" t="inlineStr">
        <is>
          <t>QZ 50 P957 1990</t>
        </is>
      </c>
      <c r="C164" t="inlineStr">
        <is>
          <t>0                      QZ 0050000P  957         1990</t>
        </is>
      </c>
      <c r="D164" t="inlineStr">
        <is>
          <t>Principles and practice of medical genetics / edited by Alan E.H. Emery, David L. Rimoin ; associate editor, Jeffrey A. Sofaer ; editorial assistant, Isobel Black ; foreword by Victor A. McKusick.</t>
        </is>
      </c>
      <c r="E164" t="inlineStr">
        <is>
          <t>V. 1</t>
        </is>
      </c>
      <c r="F164" t="inlineStr">
        <is>
          <t>Yes</t>
        </is>
      </c>
      <c r="G164" t="inlineStr">
        <is>
          <t>1</t>
        </is>
      </c>
      <c r="H164" t="inlineStr">
        <is>
          <t>No</t>
        </is>
      </c>
      <c r="I164" t="inlineStr">
        <is>
          <t>Yes</t>
        </is>
      </c>
      <c r="J164" t="inlineStr">
        <is>
          <t>0</t>
        </is>
      </c>
      <c r="L164" t="inlineStr">
        <is>
          <t>Edinburgh ; New York : Churchill Livingstone, c1990, reprinted 1991.</t>
        </is>
      </c>
      <c r="M164" t="inlineStr">
        <is>
          <t>1990</t>
        </is>
      </c>
      <c r="N164" t="inlineStr">
        <is>
          <t>2nd ed.</t>
        </is>
      </c>
      <c r="O164" t="inlineStr">
        <is>
          <t>eng</t>
        </is>
      </c>
      <c r="P164" t="inlineStr">
        <is>
          <t>stk</t>
        </is>
      </c>
      <c r="R164" t="inlineStr">
        <is>
          <t xml:space="preserve">QZ </t>
        </is>
      </c>
      <c r="S164" t="n">
        <v>18</v>
      </c>
      <c r="T164" t="n">
        <v>36</v>
      </c>
      <c r="U164" t="inlineStr">
        <is>
          <t>1999-03-26</t>
        </is>
      </c>
      <c r="V164" t="inlineStr">
        <is>
          <t>1999-03-26</t>
        </is>
      </c>
      <c r="W164" t="inlineStr">
        <is>
          <t>1991-04-30</t>
        </is>
      </c>
      <c r="X164" t="inlineStr">
        <is>
          <t>1991-04-30</t>
        </is>
      </c>
      <c r="Y164" t="n">
        <v>278</v>
      </c>
      <c r="Z164" t="n">
        <v>191</v>
      </c>
      <c r="AA164" t="n">
        <v>289</v>
      </c>
      <c r="AB164" t="n">
        <v>1</v>
      </c>
      <c r="AC164" t="n">
        <v>1</v>
      </c>
      <c r="AD164" t="n">
        <v>5</v>
      </c>
      <c r="AE164" t="n">
        <v>6</v>
      </c>
      <c r="AF164" t="n">
        <v>3</v>
      </c>
      <c r="AG164" t="n">
        <v>3</v>
      </c>
      <c r="AH164" t="n">
        <v>1</v>
      </c>
      <c r="AI164" t="n">
        <v>1</v>
      </c>
      <c r="AJ164" t="n">
        <v>3</v>
      </c>
      <c r="AK164" t="n">
        <v>4</v>
      </c>
      <c r="AL164" t="n">
        <v>0</v>
      </c>
      <c r="AM164" t="n">
        <v>0</v>
      </c>
      <c r="AN164" t="n">
        <v>0</v>
      </c>
      <c r="AO164" t="n">
        <v>0</v>
      </c>
      <c r="AP164" t="inlineStr">
        <is>
          <t>No</t>
        </is>
      </c>
      <c r="AQ164" t="inlineStr">
        <is>
          <t>Yes</t>
        </is>
      </c>
      <c r="AR164">
        <f>HYPERLINK("http://catalog.hathitrust.org/Record/002238238","HathiTrust Record")</f>
        <v/>
      </c>
      <c r="AS164">
        <f>HYPERLINK("https://creighton-primo.hosted.exlibrisgroup.com/primo-explore/search?tab=default_tab&amp;search_scope=EVERYTHING&amp;vid=01CRU&amp;lang=en_US&amp;offset=0&amp;query=any,contains,991000934799702656","Catalog Record")</f>
        <v/>
      </c>
      <c r="AT164">
        <f>HYPERLINK("http://www.worldcat.org/oclc/21376336","WorldCat Record")</f>
        <v/>
      </c>
      <c r="AU164" t="inlineStr">
        <is>
          <t>3943579589:eng</t>
        </is>
      </c>
      <c r="AV164" t="inlineStr">
        <is>
          <t>21376336</t>
        </is>
      </c>
      <c r="AW164" t="inlineStr">
        <is>
          <t>991000934799702656</t>
        </is>
      </c>
      <c r="AX164" t="inlineStr">
        <is>
          <t>991000934799702656</t>
        </is>
      </c>
      <c r="AY164" t="inlineStr">
        <is>
          <t>2257770450002656</t>
        </is>
      </c>
      <c r="AZ164" t="inlineStr">
        <is>
          <t>BOOK</t>
        </is>
      </c>
      <c r="BB164" t="inlineStr">
        <is>
          <t>9780443035838</t>
        </is>
      </c>
      <c r="BC164" t="inlineStr">
        <is>
          <t>30001002190496</t>
        </is>
      </c>
      <c r="BD164" t="inlineStr">
        <is>
          <t>893121033</t>
        </is>
      </c>
    </row>
    <row r="165">
      <c r="A165" t="inlineStr">
        <is>
          <t>No</t>
        </is>
      </c>
      <c r="B165" t="inlineStr">
        <is>
          <t>QZ 50 P9573 1998</t>
        </is>
      </c>
      <c r="C165" t="inlineStr">
        <is>
          <t>0                      QZ 0050000P  9573        1998</t>
        </is>
      </c>
      <c r="D165" t="inlineStr">
        <is>
          <t>Principles of molecular medicine / edited by J. Larry Jameson ; foreword by Francis S. Collins.</t>
        </is>
      </c>
      <c r="F165" t="inlineStr">
        <is>
          <t>No</t>
        </is>
      </c>
      <c r="G165" t="inlineStr">
        <is>
          <t>1</t>
        </is>
      </c>
      <c r="H165" t="inlineStr">
        <is>
          <t>No</t>
        </is>
      </c>
      <c r="I165" t="inlineStr">
        <is>
          <t>No</t>
        </is>
      </c>
      <c r="J165" t="inlineStr">
        <is>
          <t>0</t>
        </is>
      </c>
      <c r="L165" t="inlineStr">
        <is>
          <t>Totowa, N.J. : Humana Press, c1998.</t>
        </is>
      </c>
      <c r="M165" t="inlineStr">
        <is>
          <t>1998</t>
        </is>
      </c>
      <c r="O165" t="inlineStr">
        <is>
          <t>eng</t>
        </is>
      </c>
      <c r="P165" t="inlineStr">
        <is>
          <t>nju</t>
        </is>
      </c>
      <c r="R165" t="inlineStr">
        <is>
          <t xml:space="preserve">QZ </t>
        </is>
      </c>
      <c r="S165" t="n">
        <v>9</v>
      </c>
      <c r="T165" t="n">
        <v>9</v>
      </c>
      <c r="U165" t="inlineStr">
        <is>
          <t>2006-08-18</t>
        </is>
      </c>
      <c r="V165" t="inlineStr">
        <is>
          <t>2006-08-18</t>
        </is>
      </c>
      <c r="W165" t="inlineStr">
        <is>
          <t>1998-12-18</t>
        </is>
      </c>
      <c r="X165" t="inlineStr">
        <is>
          <t>1998-12-18</t>
        </is>
      </c>
      <c r="Y165" t="n">
        <v>284</v>
      </c>
      <c r="Z165" t="n">
        <v>195</v>
      </c>
      <c r="AA165" t="n">
        <v>240</v>
      </c>
      <c r="AB165" t="n">
        <v>1</v>
      </c>
      <c r="AC165" t="n">
        <v>1</v>
      </c>
      <c r="AD165" t="n">
        <v>5</v>
      </c>
      <c r="AE165" t="n">
        <v>8</v>
      </c>
      <c r="AF165" t="n">
        <v>2</v>
      </c>
      <c r="AG165" t="n">
        <v>4</v>
      </c>
      <c r="AH165" t="n">
        <v>2</v>
      </c>
      <c r="AI165" t="n">
        <v>3</v>
      </c>
      <c r="AJ165" t="n">
        <v>1</v>
      </c>
      <c r="AK165" t="n">
        <v>3</v>
      </c>
      <c r="AL165" t="n">
        <v>0</v>
      </c>
      <c r="AM165" t="n">
        <v>0</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HYPERLINK("https://creighton-primo.hosted.exlibrisgroup.com/primo-explore/search?tab=default_tab&amp;search_scope=EVERYTHING&amp;vid=01CRU&amp;lang=en_US&amp;offset=0&amp;query=any,contains,991001571599702656","Catalog Record")</f>
        <v/>
      </c>
      <c r="AT165">
        <f>HYPERLINK("http://www.worldcat.org/oclc/38898908","WorldCat Record")</f>
        <v/>
      </c>
      <c r="AU165" t="inlineStr">
        <is>
          <t>56280824:eng</t>
        </is>
      </c>
      <c r="AV165" t="inlineStr">
        <is>
          <t>38898908</t>
        </is>
      </c>
      <c r="AW165" t="inlineStr">
        <is>
          <t>991001571599702656</t>
        </is>
      </c>
      <c r="AX165" t="inlineStr">
        <is>
          <t>991001571599702656</t>
        </is>
      </c>
      <c r="AY165" t="inlineStr">
        <is>
          <t>2260997440002656</t>
        </is>
      </c>
      <c r="AZ165" t="inlineStr">
        <is>
          <t>BOOK</t>
        </is>
      </c>
      <c r="BB165" t="inlineStr">
        <is>
          <t>9780896035294</t>
        </is>
      </c>
      <c r="BC165" t="inlineStr">
        <is>
          <t>30001004037448</t>
        </is>
      </c>
      <c r="BD165" t="inlineStr">
        <is>
          <t>893358722</t>
        </is>
      </c>
    </row>
    <row r="166">
      <c r="A166" t="inlineStr">
        <is>
          <t>No</t>
        </is>
      </c>
      <c r="B166" t="inlineStr">
        <is>
          <t>QZ50 P9573 2006</t>
        </is>
      </c>
      <c r="C166" t="inlineStr">
        <is>
          <t>0                      QZ 0050000P  9573        2006</t>
        </is>
      </c>
      <c r="D166" t="inlineStr">
        <is>
          <t>Principles of molecular medicine / edited by Marschall S. Runge, Cam Patterson ; foreword by Victor A. Mckusick.</t>
        </is>
      </c>
      <c r="F166" t="inlineStr">
        <is>
          <t>No</t>
        </is>
      </c>
      <c r="G166" t="inlineStr">
        <is>
          <t>1</t>
        </is>
      </c>
      <c r="H166" t="inlineStr">
        <is>
          <t>No</t>
        </is>
      </c>
      <c r="I166" t="inlineStr">
        <is>
          <t>No</t>
        </is>
      </c>
      <c r="J166" t="inlineStr">
        <is>
          <t>1</t>
        </is>
      </c>
      <c r="L166" t="inlineStr">
        <is>
          <t>Totowa, N.J. : Humana Press, c2006.</t>
        </is>
      </c>
      <c r="M166" t="inlineStr">
        <is>
          <t>2006</t>
        </is>
      </c>
      <c r="N166" t="inlineStr">
        <is>
          <t>2nd ed.</t>
        </is>
      </c>
      <c r="O166" t="inlineStr">
        <is>
          <t>eng</t>
        </is>
      </c>
      <c r="P166" t="inlineStr">
        <is>
          <t>nju</t>
        </is>
      </c>
      <c r="R166" t="inlineStr">
        <is>
          <t xml:space="preserve">QZ </t>
        </is>
      </c>
      <c r="S166" t="n">
        <v>7</v>
      </c>
      <c r="T166" t="n">
        <v>7</v>
      </c>
      <c r="U166" t="inlineStr">
        <is>
          <t>2007-09-19</t>
        </is>
      </c>
      <c r="V166" t="inlineStr">
        <is>
          <t>2007-09-19</t>
        </is>
      </c>
      <c r="W166" t="inlineStr">
        <is>
          <t>2006-09-22</t>
        </is>
      </c>
      <c r="X166" t="inlineStr">
        <is>
          <t>2006-09-22</t>
        </is>
      </c>
      <c r="Y166" t="n">
        <v>214</v>
      </c>
      <c r="Z166" t="n">
        <v>149</v>
      </c>
      <c r="AA166" t="n">
        <v>399</v>
      </c>
      <c r="AB166" t="n">
        <v>1</v>
      </c>
      <c r="AC166" t="n">
        <v>2</v>
      </c>
      <c r="AD166" t="n">
        <v>3</v>
      </c>
      <c r="AE166" t="n">
        <v>9</v>
      </c>
      <c r="AF166" t="n">
        <v>1</v>
      </c>
      <c r="AG166" t="n">
        <v>4</v>
      </c>
      <c r="AH166" t="n">
        <v>1</v>
      </c>
      <c r="AI166" t="n">
        <v>3</v>
      </c>
      <c r="AJ166" t="n">
        <v>1</v>
      </c>
      <c r="AK166" t="n">
        <v>5</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HYPERLINK("https://creighton-primo.hosted.exlibrisgroup.com/primo-explore/search?tab=default_tab&amp;search_scope=EVERYTHING&amp;vid=01CRU&amp;lang=en_US&amp;offset=0&amp;query=any,contains,991000543609702656","Catalog Record")</f>
        <v/>
      </c>
      <c r="AT166">
        <f>HYPERLINK("http://www.worldcat.org/oclc/62342171","WorldCat Record")</f>
        <v/>
      </c>
      <c r="AU166" t="inlineStr">
        <is>
          <t>905974726:eng</t>
        </is>
      </c>
      <c r="AV166" t="inlineStr">
        <is>
          <t>62342171</t>
        </is>
      </c>
      <c r="AW166" t="inlineStr">
        <is>
          <t>991000543609702656</t>
        </is>
      </c>
      <c r="AX166" t="inlineStr">
        <is>
          <t>991000543609702656</t>
        </is>
      </c>
      <c r="AY166" t="inlineStr">
        <is>
          <t>2260278680002656</t>
        </is>
      </c>
      <c r="AZ166" t="inlineStr">
        <is>
          <t>BOOK</t>
        </is>
      </c>
      <c r="BB166" t="inlineStr">
        <is>
          <t>9781588292025</t>
        </is>
      </c>
      <c r="BC166" t="inlineStr">
        <is>
          <t>30001005176310</t>
        </is>
      </c>
      <c r="BD166" t="inlineStr">
        <is>
          <t>893157899</t>
        </is>
      </c>
    </row>
    <row r="167">
      <c r="A167" t="inlineStr">
        <is>
          <t>No</t>
        </is>
      </c>
      <c r="B167" t="inlineStr">
        <is>
          <t>QZ 50 R282n 2007</t>
        </is>
      </c>
      <c r="C167" t="inlineStr">
        <is>
          <t>0                      QZ 0050000R  282n        2007</t>
        </is>
      </c>
      <c r="D167" t="inlineStr">
        <is>
          <t>New clinical genetics / Andrew Read and Dian Donnai.</t>
        </is>
      </c>
      <c r="F167" t="inlineStr">
        <is>
          <t>No</t>
        </is>
      </c>
      <c r="G167" t="inlineStr">
        <is>
          <t>1</t>
        </is>
      </c>
      <c r="H167" t="inlineStr">
        <is>
          <t>No</t>
        </is>
      </c>
      <c r="I167" t="inlineStr">
        <is>
          <t>No</t>
        </is>
      </c>
      <c r="J167" t="inlineStr">
        <is>
          <t>0</t>
        </is>
      </c>
      <c r="K167" t="inlineStr">
        <is>
          <t>Read, Andrew P., 1939-</t>
        </is>
      </c>
      <c r="L167" t="inlineStr">
        <is>
          <t>Bloxham, Oxfordshire : Scion, 2007.</t>
        </is>
      </c>
      <c r="M167" t="inlineStr">
        <is>
          <t>2007</t>
        </is>
      </c>
      <c r="O167" t="inlineStr">
        <is>
          <t>eng</t>
        </is>
      </c>
      <c r="P167" t="inlineStr">
        <is>
          <t>enk</t>
        </is>
      </c>
      <c r="R167" t="inlineStr">
        <is>
          <t xml:space="preserve">QZ </t>
        </is>
      </c>
      <c r="S167" t="n">
        <v>1</v>
      </c>
      <c r="T167" t="n">
        <v>1</v>
      </c>
      <c r="U167" t="inlineStr">
        <is>
          <t>2009-05-22</t>
        </is>
      </c>
      <c r="V167" t="inlineStr">
        <is>
          <t>2009-05-22</t>
        </is>
      </c>
      <c r="W167" t="inlineStr">
        <is>
          <t>2009-05-21</t>
        </is>
      </c>
      <c r="X167" t="inlineStr">
        <is>
          <t>2009-05-21</t>
        </is>
      </c>
      <c r="Y167" t="n">
        <v>151</v>
      </c>
      <c r="Z167" t="n">
        <v>62</v>
      </c>
      <c r="AA167" t="n">
        <v>232</v>
      </c>
      <c r="AB167" t="n">
        <v>1</v>
      </c>
      <c r="AC167" t="n">
        <v>3</v>
      </c>
      <c r="AD167" t="n">
        <v>1</v>
      </c>
      <c r="AE167" t="n">
        <v>10</v>
      </c>
      <c r="AF167" t="n">
        <v>0</v>
      </c>
      <c r="AG167" t="n">
        <v>1</v>
      </c>
      <c r="AH167" t="n">
        <v>1</v>
      </c>
      <c r="AI167" t="n">
        <v>5</v>
      </c>
      <c r="AJ167" t="n">
        <v>0</v>
      </c>
      <c r="AK167" t="n">
        <v>4</v>
      </c>
      <c r="AL167" t="n">
        <v>0</v>
      </c>
      <c r="AM167" t="n">
        <v>2</v>
      </c>
      <c r="AN167" t="n">
        <v>0</v>
      </c>
      <c r="AO167" t="n">
        <v>0</v>
      </c>
      <c r="AP167" t="inlineStr">
        <is>
          <t>No</t>
        </is>
      </c>
      <c r="AQ167" t="inlineStr">
        <is>
          <t>Yes</t>
        </is>
      </c>
      <c r="AR167">
        <f>HYPERLINK("http://catalog.hathitrust.org/Record/008994692","HathiTrust Record")</f>
        <v/>
      </c>
      <c r="AS167">
        <f>HYPERLINK("https://creighton-primo.hosted.exlibrisgroup.com/primo-explore/search?tab=default_tab&amp;search_scope=EVERYTHING&amp;vid=01CRU&amp;lang=en_US&amp;offset=0&amp;query=any,contains,991001463939702656","Catalog Record")</f>
        <v/>
      </c>
      <c r="AT167">
        <f>HYPERLINK("http://www.worldcat.org/oclc/76941697","WorldCat Record")</f>
        <v/>
      </c>
      <c r="AU167" t="inlineStr">
        <is>
          <t>62690292:eng</t>
        </is>
      </c>
      <c r="AV167" t="inlineStr">
        <is>
          <t>76941697</t>
        </is>
      </c>
      <c r="AW167" t="inlineStr">
        <is>
          <t>991001463939702656</t>
        </is>
      </c>
      <c r="AX167" t="inlineStr">
        <is>
          <t>991001463939702656</t>
        </is>
      </c>
      <c r="AY167" t="inlineStr">
        <is>
          <t>2260807700002656</t>
        </is>
      </c>
      <c r="AZ167" t="inlineStr">
        <is>
          <t>BOOK</t>
        </is>
      </c>
      <c r="BB167" t="inlineStr">
        <is>
          <t>9781904842316</t>
        </is>
      </c>
      <c r="BC167" t="inlineStr">
        <is>
          <t>30001004916781</t>
        </is>
      </c>
      <c r="BD167" t="inlineStr">
        <is>
          <t>893121520</t>
        </is>
      </c>
    </row>
    <row r="168">
      <c r="A168" t="inlineStr">
        <is>
          <t>No</t>
        </is>
      </c>
      <c r="B168" t="inlineStr">
        <is>
          <t>QZ 50 S416 1994</t>
        </is>
      </c>
      <c r="C168" t="inlineStr">
        <is>
          <t>0                      QZ 0050000S  416         1994</t>
        </is>
      </c>
      <c r="D168" t="inlineStr">
        <is>
          <t>Scientific American introduction to molecular medicine / edited by Philip Leder, David A. Clayton, Edward Rubenstein.</t>
        </is>
      </c>
      <c r="F168" t="inlineStr">
        <is>
          <t>No</t>
        </is>
      </c>
      <c r="G168" t="inlineStr">
        <is>
          <t>1</t>
        </is>
      </c>
      <c r="H168" t="inlineStr">
        <is>
          <t>No</t>
        </is>
      </c>
      <c r="I168" t="inlineStr">
        <is>
          <t>No</t>
        </is>
      </c>
      <c r="J168" t="inlineStr">
        <is>
          <t>0</t>
        </is>
      </c>
      <c r="L168" t="inlineStr">
        <is>
          <t>New York, NY : Scientific American, c1994.</t>
        </is>
      </c>
      <c r="M168" t="inlineStr">
        <is>
          <t>1994</t>
        </is>
      </c>
      <c r="O168" t="inlineStr">
        <is>
          <t>eng</t>
        </is>
      </c>
      <c r="P168" t="inlineStr">
        <is>
          <t>nyu</t>
        </is>
      </c>
      <c r="R168" t="inlineStr">
        <is>
          <t xml:space="preserve">QZ </t>
        </is>
      </c>
      <c r="S168" t="n">
        <v>22</v>
      </c>
      <c r="T168" t="n">
        <v>22</v>
      </c>
      <c r="U168" t="inlineStr">
        <is>
          <t>1998-09-20</t>
        </is>
      </c>
      <c r="V168" t="inlineStr">
        <is>
          <t>1998-09-20</t>
        </is>
      </c>
      <c r="W168" t="inlineStr">
        <is>
          <t>1994-08-25</t>
        </is>
      </c>
      <c r="X168" t="inlineStr">
        <is>
          <t>1994-08-25</t>
        </is>
      </c>
      <c r="Y168" t="n">
        <v>172</v>
      </c>
      <c r="Z168" t="n">
        <v>95</v>
      </c>
      <c r="AA168" t="n">
        <v>102</v>
      </c>
      <c r="AB168" t="n">
        <v>1</v>
      </c>
      <c r="AC168" t="n">
        <v>1</v>
      </c>
      <c r="AD168" t="n">
        <v>0</v>
      </c>
      <c r="AE168" t="n">
        <v>0</v>
      </c>
      <c r="AF168" t="n">
        <v>0</v>
      </c>
      <c r="AG168" t="n">
        <v>0</v>
      </c>
      <c r="AH168" t="n">
        <v>0</v>
      </c>
      <c r="AI168" t="n">
        <v>0</v>
      </c>
      <c r="AJ168" t="n">
        <v>0</v>
      </c>
      <c r="AK168" t="n">
        <v>0</v>
      </c>
      <c r="AL168" t="n">
        <v>0</v>
      </c>
      <c r="AM168" t="n">
        <v>0</v>
      </c>
      <c r="AN168" t="n">
        <v>0</v>
      </c>
      <c r="AO168" t="n">
        <v>0</v>
      </c>
      <c r="AP168" t="inlineStr">
        <is>
          <t>No</t>
        </is>
      </c>
      <c r="AQ168" t="inlineStr">
        <is>
          <t>Yes</t>
        </is>
      </c>
      <c r="AR168">
        <f>HYPERLINK("http://catalog.hathitrust.org/Record/003862552","HathiTrust Record")</f>
        <v/>
      </c>
      <c r="AS168">
        <f>HYPERLINK("https://creighton-primo.hosted.exlibrisgroup.com/primo-explore/search?tab=default_tab&amp;search_scope=EVERYTHING&amp;vid=01CRU&amp;lang=en_US&amp;offset=0&amp;query=any,contains,991001232829702656","Catalog Record")</f>
        <v/>
      </c>
      <c r="AT168">
        <f>HYPERLINK("http://www.worldcat.org/oclc/30357571","WorldCat Record")</f>
        <v/>
      </c>
      <c r="AU168" t="inlineStr">
        <is>
          <t>2864806718:eng</t>
        </is>
      </c>
      <c r="AV168" t="inlineStr">
        <is>
          <t>30357571</t>
        </is>
      </c>
      <c r="AW168" t="inlineStr">
        <is>
          <t>991001232829702656</t>
        </is>
      </c>
      <c r="AX168" t="inlineStr">
        <is>
          <t>991001232829702656</t>
        </is>
      </c>
      <c r="AY168" t="inlineStr">
        <is>
          <t>2255923740002656</t>
        </is>
      </c>
      <c r="AZ168" t="inlineStr">
        <is>
          <t>BOOK</t>
        </is>
      </c>
      <c r="BB168" t="inlineStr">
        <is>
          <t>9780894540141</t>
        </is>
      </c>
      <c r="BC168" t="inlineStr">
        <is>
          <t>30001003007061</t>
        </is>
      </c>
      <c r="BD168" t="inlineStr">
        <is>
          <t>893557713</t>
        </is>
      </c>
    </row>
    <row r="169">
      <c r="A169" t="inlineStr">
        <is>
          <t>No</t>
        </is>
      </c>
      <c r="B169" t="inlineStr">
        <is>
          <t>QZ 50 S465 1998</t>
        </is>
      </c>
      <c r="C169" t="inlineStr">
        <is>
          <t>0                      QZ 0050000S  465         1998</t>
        </is>
      </c>
      <c r="D169" t="inlineStr">
        <is>
          <t>Self-assembling complexes for gene delivery : from laboratory to clinical trial / edited by Alexander V. Kabanov, Philip L. Felgner, Leonard W. Seymour.</t>
        </is>
      </c>
      <c r="F169" t="inlineStr">
        <is>
          <t>No</t>
        </is>
      </c>
      <c r="G169" t="inlineStr">
        <is>
          <t>1</t>
        </is>
      </c>
      <c r="H169" t="inlineStr">
        <is>
          <t>No</t>
        </is>
      </c>
      <c r="I169" t="inlineStr">
        <is>
          <t>No</t>
        </is>
      </c>
      <c r="J169" t="inlineStr">
        <is>
          <t>0</t>
        </is>
      </c>
      <c r="L169" t="inlineStr">
        <is>
          <t>Chichester ; New York : Wiley, c1998.</t>
        </is>
      </c>
      <c r="M169" t="inlineStr">
        <is>
          <t>1998</t>
        </is>
      </c>
      <c r="O169" t="inlineStr">
        <is>
          <t>eng</t>
        </is>
      </c>
      <c r="P169" t="inlineStr">
        <is>
          <t>nyu</t>
        </is>
      </c>
      <c r="R169" t="inlineStr">
        <is>
          <t xml:space="preserve">QZ </t>
        </is>
      </c>
      <c r="S169" t="n">
        <v>8</v>
      </c>
      <c r="T169" t="n">
        <v>8</v>
      </c>
      <c r="U169" t="inlineStr">
        <is>
          <t>2005-05-27</t>
        </is>
      </c>
      <c r="V169" t="inlineStr">
        <is>
          <t>2005-05-27</t>
        </is>
      </c>
      <c r="W169" t="inlineStr">
        <is>
          <t>1998-09-29</t>
        </is>
      </c>
      <c r="X169" t="inlineStr">
        <is>
          <t>1998-09-29</t>
        </is>
      </c>
      <c r="Y169" t="n">
        <v>85</v>
      </c>
      <c r="Z169" t="n">
        <v>53</v>
      </c>
      <c r="AA169" t="n">
        <v>55</v>
      </c>
      <c r="AB169" t="n">
        <v>1</v>
      </c>
      <c r="AC169" t="n">
        <v>1</v>
      </c>
      <c r="AD169" t="n">
        <v>3</v>
      </c>
      <c r="AE169" t="n">
        <v>3</v>
      </c>
      <c r="AF169" t="n">
        <v>0</v>
      </c>
      <c r="AG169" t="n">
        <v>0</v>
      </c>
      <c r="AH169" t="n">
        <v>2</v>
      </c>
      <c r="AI169" t="n">
        <v>2</v>
      </c>
      <c r="AJ169" t="n">
        <v>1</v>
      </c>
      <c r="AK169" t="n">
        <v>1</v>
      </c>
      <c r="AL169" t="n">
        <v>0</v>
      </c>
      <c r="AM169" t="n">
        <v>0</v>
      </c>
      <c r="AN169" t="n">
        <v>0</v>
      </c>
      <c r="AO169" t="n">
        <v>0</v>
      </c>
      <c r="AP169" t="inlineStr">
        <is>
          <t>No</t>
        </is>
      </c>
      <c r="AQ169" t="inlineStr">
        <is>
          <t>Yes</t>
        </is>
      </c>
      <c r="AR169">
        <f>HYPERLINK("http://catalog.hathitrust.org/Record/003269871","HathiTrust Record")</f>
        <v/>
      </c>
      <c r="AS169">
        <f>HYPERLINK("https://creighton-primo.hosted.exlibrisgroup.com/primo-explore/search?tab=default_tab&amp;search_scope=EVERYTHING&amp;vid=01CRU&amp;lang=en_US&amp;offset=0&amp;query=any,contains,991000821539702656","Catalog Record")</f>
        <v/>
      </c>
      <c r="AT169">
        <f>HYPERLINK("http://www.worldcat.org/oclc/37910787","WorldCat Record")</f>
        <v/>
      </c>
      <c r="AU169" t="inlineStr">
        <is>
          <t>837020576:eng</t>
        </is>
      </c>
      <c r="AV169" t="inlineStr">
        <is>
          <t>37910787</t>
        </is>
      </c>
      <c r="AW169" t="inlineStr">
        <is>
          <t>991000821539702656</t>
        </is>
      </c>
      <c r="AX169" t="inlineStr">
        <is>
          <t>991000821539702656</t>
        </is>
      </c>
      <c r="AY169" t="inlineStr">
        <is>
          <t>2269059900002656</t>
        </is>
      </c>
      <c r="AZ169" t="inlineStr">
        <is>
          <t>BOOK</t>
        </is>
      </c>
      <c r="BB169" t="inlineStr">
        <is>
          <t>9780471972693</t>
        </is>
      </c>
      <c r="BC169" t="inlineStr">
        <is>
          <t>30001004091593</t>
        </is>
      </c>
      <c r="BD169" t="inlineStr">
        <is>
          <t>893287034</t>
        </is>
      </c>
    </row>
    <row r="170">
      <c r="A170" t="inlineStr">
        <is>
          <t>No</t>
        </is>
      </c>
      <c r="B170" t="inlineStr">
        <is>
          <t>QZ50 S613ga 2003</t>
        </is>
      </c>
      <c r="C170" t="inlineStr">
        <is>
          <t>0                      QZ 0050000S  613ga       2003</t>
        </is>
      </c>
      <c r="D170" t="inlineStr">
        <is>
          <t>Genetics in obstetrics and gynecology / Joe Leigh Simpson, Sherman Elias.</t>
        </is>
      </c>
      <c r="F170" t="inlineStr">
        <is>
          <t>No</t>
        </is>
      </c>
      <c r="G170" t="inlineStr">
        <is>
          <t>1</t>
        </is>
      </c>
      <c r="H170" t="inlineStr">
        <is>
          <t>No</t>
        </is>
      </c>
      <c r="I170" t="inlineStr">
        <is>
          <t>Yes</t>
        </is>
      </c>
      <c r="J170" t="inlineStr">
        <is>
          <t>0</t>
        </is>
      </c>
      <c r="K170" t="inlineStr">
        <is>
          <t>Simpson, Joe Leigh, 1943-</t>
        </is>
      </c>
      <c r="L170" t="inlineStr">
        <is>
          <t>Philadelphia : Saunders, c2003.</t>
        </is>
      </c>
      <c r="M170" t="inlineStr">
        <is>
          <t>2016</t>
        </is>
      </c>
      <c r="N170" t="inlineStr">
        <is>
          <t>3rd ed.</t>
        </is>
      </c>
      <c r="O170" t="inlineStr">
        <is>
          <t>eng</t>
        </is>
      </c>
      <c r="P170" t="inlineStr">
        <is>
          <t xml:space="preserve">xx </t>
        </is>
      </c>
      <c r="R170" t="inlineStr">
        <is>
          <t xml:space="preserve">QZ </t>
        </is>
      </c>
      <c r="S170" t="n">
        <v>0</v>
      </c>
      <c r="T170" t="n">
        <v>0</v>
      </c>
      <c r="U170" t="inlineStr">
        <is>
          <t>2006-10-19</t>
        </is>
      </c>
      <c r="V170" t="inlineStr">
        <is>
          <t>2006-10-19</t>
        </is>
      </c>
      <c r="W170" t="inlineStr">
        <is>
          <t>2006-09-29</t>
        </is>
      </c>
      <c r="X170" t="inlineStr">
        <is>
          <t>2006-09-29</t>
        </is>
      </c>
      <c r="Y170" t="n">
        <v>168</v>
      </c>
      <c r="Z170" t="n">
        <v>114</v>
      </c>
      <c r="AA170" t="n">
        <v>223</v>
      </c>
      <c r="AB170" t="n">
        <v>1</v>
      </c>
      <c r="AC170" t="n">
        <v>2</v>
      </c>
      <c r="AD170" t="n">
        <v>4</v>
      </c>
      <c r="AE170" t="n">
        <v>5</v>
      </c>
      <c r="AF170" t="n">
        <v>1</v>
      </c>
      <c r="AG170" t="n">
        <v>2</v>
      </c>
      <c r="AH170" t="n">
        <v>2</v>
      </c>
      <c r="AI170" t="n">
        <v>2</v>
      </c>
      <c r="AJ170" t="n">
        <v>2</v>
      </c>
      <c r="AK170" t="n">
        <v>3</v>
      </c>
      <c r="AL170" t="n">
        <v>0</v>
      </c>
      <c r="AM170" t="n">
        <v>0</v>
      </c>
      <c r="AN170" t="n">
        <v>0</v>
      </c>
      <c r="AO170" t="n">
        <v>0</v>
      </c>
      <c r="AP170" t="inlineStr">
        <is>
          <t>No</t>
        </is>
      </c>
      <c r="AQ170" t="inlineStr">
        <is>
          <t>Yes</t>
        </is>
      </c>
      <c r="AR170">
        <f>HYPERLINK("http://catalog.hathitrust.org/Record/004298906","HathiTrust Record")</f>
        <v/>
      </c>
      <c r="AS170">
        <f>HYPERLINK("https://creighton-primo.hosted.exlibrisgroup.com/primo-explore/search?tab=default_tab&amp;search_scope=EVERYTHING&amp;vid=01CRU&amp;lang=en_US&amp;offset=0&amp;query=any,contains,991000547439702656","Catalog Record")</f>
        <v/>
      </c>
      <c r="AT170">
        <f>HYPERLINK("http://www.worldcat.org/oclc/50803962","WorldCat Record")</f>
        <v/>
      </c>
      <c r="AU170" t="inlineStr">
        <is>
          <t>2707123:eng</t>
        </is>
      </c>
      <c r="AV170" t="inlineStr">
        <is>
          <t>50803962</t>
        </is>
      </c>
      <c r="AW170" t="inlineStr">
        <is>
          <t>991000547439702656</t>
        </is>
      </c>
      <c r="AX170" t="inlineStr">
        <is>
          <t>991000547439702656</t>
        </is>
      </c>
      <c r="AY170" t="inlineStr">
        <is>
          <t>2268986560002656</t>
        </is>
      </c>
      <c r="AZ170" t="inlineStr">
        <is>
          <t>BOOK</t>
        </is>
      </c>
      <c r="BB170" t="inlineStr">
        <is>
          <t>9780721641645</t>
        </is>
      </c>
      <c r="BC170" t="inlineStr">
        <is>
          <t>30001005175833</t>
        </is>
      </c>
      <c r="BD170" t="inlineStr">
        <is>
          <t>893372154</t>
        </is>
      </c>
    </row>
    <row r="171">
      <c r="A171" t="inlineStr">
        <is>
          <t>No</t>
        </is>
      </c>
      <c r="B171" t="inlineStr">
        <is>
          <t>QZ 50 S638a 2005</t>
        </is>
      </c>
      <c r="C171" t="inlineStr">
        <is>
          <t>0                      QZ 0050000S  638a        2005</t>
        </is>
      </c>
      <c r="D171" t="inlineStr">
        <is>
          <t>Applied genetics in healthcare : a handbook for specialist practitioners / Heather Skirton, Christine Patch, Janet Williams.</t>
        </is>
      </c>
      <c r="F171" t="inlineStr">
        <is>
          <t>No</t>
        </is>
      </c>
      <c r="G171" t="inlineStr">
        <is>
          <t>1</t>
        </is>
      </c>
      <c r="H171" t="inlineStr">
        <is>
          <t>No</t>
        </is>
      </c>
      <c r="I171" t="inlineStr">
        <is>
          <t>No</t>
        </is>
      </c>
      <c r="J171" t="inlineStr">
        <is>
          <t>0</t>
        </is>
      </c>
      <c r="K171" t="inlineStr">
        <is>
          <t>Skirton, Heather.</t>
        </is>
      </c>
      <c r="L171" t="inlineStr">
        <is>
          <t>New York : Taylor &amp; Francis Group, c2005.</t>
        </is>
      </c>
      <c r="M171" t="inlineStr">
        <is>
          <t>2005</t>
        </is>
      </c>
      <c r="O171" t="inlineStr">
        <is>
          <t>eng</t>
        </is>
      </c>
      <c r="P171" t="inlineStr">
        <is>
          <t>nyu</t>
        </is>
      </c>
      <c r="R171" t="inlineStr">
        <is>
          <t xml:space="preserve">QZ </t>
        </is>
      </c>
      <c r="S171" t="n">
        <v>0</v>
      </c>
      <c r="T171" t="n">
        <v>0</v>
      </c>
      <c r="U171" t="inlineStr">
        <is>
          <t>2010-01-07</t>
        </is>
      </c>
      <c r="V171" t="inlineStr">
        <is>
          <t>2010-01-07</t>
        </is>
      </c>
      <c r="W171" t="inlineStr">
        <is>
          <t>2010-01-07</t>
        </is>
      </c>
      <c r="X171" t="inlineStr">
        <is>
          <t>2010-01-07</t>
        </is>
      </c>
      <c r="Y171" t="n">
        <v>154</v>
      </c>
      <c r="Z171" t="n">
        <v>91</v>
      </c>
      <c r="AA171" t="n">
        <v>192</v>
      </c>
      <c r="AB171" t="n">
        <v>2</v>
      </c>
      <c r="AC171" t="n">
        <v>2</v>
      </c>
      <c r="AD171" t="n">
        <v>6</v>
      </c>
      <c r="AE171" t="n">
        <v>8</v>
      </c>
      <c r="AF171" t="n">
        <v>1</v>
      </c>
      <c r="AG171" t="n">
        <v>3</v>
      </c>
      <c r="AH171" t="n">
        <v>2</v>
      </c>
      <c r="AI171" t="n">
        <v>2</v>
      </c>
      <c r="AJ171" t="n">
        <v>3</v>
      </c>
      <c r="AK171" t="n">
        <v>4</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HYPERLINK("https://creighton-primo.hosted.exlibrisgroup.com/primo-explore/search?tab=default_tab&amp;search_scope=EVERYTHING&amp;vid=01CRU&amp;lang=en_US&amp;offset=0&amp;query=any,contains,991001554239702656","Catalog Record")</f>
        <v/>
      </c>
      <c r="AT171">
        <f>HYPERLINK("http://www.worldcat.org/oclc/58807442","WorldCat Record")</f>
        <v/>
      </c>
      <c r="AU171" t="inlineStr">
        <is>
          <t>801526898:eng</t>
        </is>
      </c>
      <c r="AV171" t="inlineStr">
        <is>
          <t>58807442</t>
        </is>
      </c>
      <c r="AW171" t="inlineStr">
        <is>
          <t>991001554239702656</t>
        </is>
      </c>
      <c r="AX171" t="inlineStr">
        <is>
          <t>991001554239702656</t>
        </is>
      </c>
      <c r="AY171" t="inlineStr">
        <is>
          <t>2272450420002656</t>
        </is>
      </c>
      <c r="AZ171" t="inlineStr">
        <is>
          <t>BOOK</t>
        </is>
      </c>
      <c r="BB171" t="inlineStr">
        <is>
          <t>9781859962749</t>
        </is>
      </c>
      <c r="BC171" t="inlineStr">
        <is>
          <t>30001005366556</t>
        </is>
      </c>
      <c r="BD171" t="inlineStr">
        <is>
          <t>893149333</t>
        </is>
      </c>
    </row>
    <row r="172">
      <c r="A172" t="inlineStr">
        <is>
          <t>No</t>
        </is>
      </c>
      <c r="B172" t="inlineStr">
        <is>
          <t>QZ 50 T474t 1991</t>
        </is>
      </c>
      <c r="C172" t="inlineStr">
        <is>
          <t>0                      QZ 0050000T  474t        1991</t>
        </is>
      </c>
      <c r="D172" t="inlineStr">
        <is>
          <t>Thompson &amp; Thompson genetics in medicine / Margaret W. Thompson, Roderick R. McInnes, Huntington F. Willard.</t>
        </is>
      </c>
      <c r="F172" t="inlineStr">
        <is>
          <t>No</t>
        </is>
      </c>
      <c r="G172" t="inlineStr">
        <is>
          <t>1</t>
        </is>
      </c>
      <c r="H172" t="inlineStr">
        <is>
          <t>No</t>
        </is>
      </c>
      <c r="I172" t="inlineStr">
        <is>
          <t>Yes</t>
        </is>
      </c>
      <c r="J172" t="inlineStr">
        <is>
          <t>1</t>
        </is>
      </c>
      <c r="K172" t="inlineStr">
        <is>
          <t>Thompson, Margaret W. (Margaret Wilson), 1920-2014.</t>
        </is>
      </c>
      <c r="L172" t="inlineStr">
        <is>
          <t>Philadelphia : W.B. Saunders Co., c1991.</t>
        </is>
      </c>
      <c r="M172" t="inlineStr">
        <is>
          <t>1991</t>
        </is>
      </c>
      <c r="N172" t="inlineStr">
        <is>
          <t>5th ed.</t>
        </is>
      </c>
      <c r="O172" t="inlineStr">
        <is>
          <t>eng</t>
        </is>
      </c>
      <c r="P172" t="inlineStr">
        <is>
          <t>xxu</t>
        </is>
      </c>
      <c r="R172" t="inlineStr">
        <is>
          <t xml:space="preserve">QZ </t>
        </is>
      </c>
      <c r="S172" t="n">
        <v>27</v>
      </c>
      <c r="T172" t="n">
        <v>27</v>
      </c>
      <c r="U172" t="inlineStr">
        <is>
          <t>2006-01-30</t>
        </is>
      </c>
      <c r="V172" t="inlineStr">
        <is>
          <t>2006-01-30</t>
        </is>
      </c>
      <c r="W172" t="inlineStr">
        <is>
          <t>1991-11-27</t>
        </is>
      </c>
      <c r="X172" t="inlineStr">
        <is>
          <t>1991-11-27</t>
        </is>
      </c>
      <c r="Y172" t="n">
        <v>389</v>
      </c>
      <c r="Z172" t="n">
        <v>275</v>
      </c>
      <c r="AA172" t="n">
        <v>794</v>
      </c>
      <c r="AB172" t="n">
        <v>1</v>
      </c>
      <c r="AC172" t="n">
        <v>3</v>
      </c>
      <c r="AD172" t="n">
        <v>5</v>
      </c>
      <c r="AE172" t="n">
        <v>24</v>
      </c>
      <c r="AF172" t="n">
        <v>1</v>
      </c>
      <c r="AG172" t="n">
        <v>10</v>
      </c>
      <c r="AH172" t="n">
        <v>4</v>
      </c>
      <c r="AI172" t="n">
        <v>8</v>
      </c>
      <c r="AJ172" t="n">
        <v>3</v>
      </c>
      <c r="AK172" t="n">
        <v>10</v>
      </c>
      <c r="AL172" t="n">
        <v>0</v>
      </c>
      <c r="AM172" t="n">
        <v>2</v>
      </c>
      <c r="AN172" t="n">
        <v>0</v>
      </c>
      <c r="AO172" t="n">
        <v>0</v>
      </c>
      <c r="AP172" t="inlineStr">
        <is>
          <t>No</t>
        </is>
      </c>
      <c r="AQ172" t="inlineStr">
        <is>
          <t>Yes</t>
        </is>
      </c>
      <c r="AR172">
        <f>HYPERLINK("http://catalog.hathitrust.org/Record/002475733","HathiTrust Record")</f>
        <v/>
      </c>
      <c r="AS172">
        <f>HYPERLINK("https://creighton-primo.hosted.exlibrisgroup.com/primo-explore/search?tab=default_tab&amp;search_scope=EVERYTHING&amp;vid=01CRU&amp;lang=en_US&amp;offset=0&amp;query=any,contains,991001024139702656","Catalog Record")</f>
        <v/>
      </c>
      <c r="AT172">
        <f>HYPERLINK("http://www.worldcat.org/oclc/23940272","WorldCat Record")</f>
        <v/>
      </c>
      <c r="AU172" t="inlineStr">
        <is>
          <t>3373331796:eng</t>
        </is>
      </c>
      <c r="AV172" t="inlineStr">
        <is>
          <t>23940272</t>
        </is>
      </c>
      <c r="AW172" t="inlineStr">
        <is>
          <t>991001024139702656</t>
        </is>
      </c>
      <c r="AX172" t="inlineStr">
        <is>
          <t>991001024139702656</t>
        </is>
      </c>
      <c r="AY172" t="inlineStr">
        <is>
          <t>2265161740002656</t>
        </is>
      </c>
      <c r="AZ172" t="inlineStr">
        <is>
          <t>BOOK</t>
        </is>
      </c>
      <c r="BB172" t="inlineStr">
        <is>
          <t>9780721628172</t>
        </is>
      </c>
      <c r="BC172" t="inlineStr">
        <is>
          <t>30001002242370</t>
        </is>
      </c>
      <c r="BD172" t="inlineStr">
        <is>
          <t>893540950</t>
        </is>
      </c>
    </row>
    <row r="173">
      <c r="A173" t="inlineStr">
        <is>
          <t>No</t>
        </is>
      </c>
      <c r="B173" t="inlineStr">
        <is>
          <t>QZ 50 T7945 2005</t>
        </is>
      </c>
      <c r="C173" t="inlineStr">
        <is>
          <t>0                      QZ 0050000T  7945        2005</t>
        </is>
      </c>
      <c r="D173" t="inlineStr">
        <is>
          <t>Trends in gene therapy research / Grace W. Redberry, editor.</t>
        </is>
      </c>
      <c r="F173" t="inlineStr">
        <is>
          <t>No</t>
        </is>
      </c>
      <c r="G173" t="inlineStr">
        <is>
          <t>1</t>
        </is>
      </c>
      <c r="H173" t="inlineStr">
        <is>
          <t>No</t>
        </is>
      </c>
      <c r="I173" t="inlineStr">
        <is>
          <t>No</t>
        </is>
      </c>
      <c r="J173" t="inlineStr">
        <is>
          <t>0</t>
        </is>
      </c>
      <c r="L173" t="inlineStr">
        <is>
          <t>New York : Nova Biomedical Books, c2005.</t>
        </is>
      </c>
      <c r="M173" t="inlineStr">
        <is>
          <t>2005</t>
        </is>
      </c>
      <c r="O173" t="inlineStr">
        <is>
          <t>eng</t>
        </is>
      </c>
      <c r="P173" t="inlineStr">
        <is>
          <t>nyu</t>
        </is>
      </c>
      <c r="R173" t="inlineStr">
        <is>
          <t xml:space="preserve">QZ </t>
        </is>
      </c>
      <c r="S173" t="n">
        <v>0</v>
      </c>
      <c r="T173" t="n">
        <v>0</v>
      </c>
      <c r="U173" t="inlineStr">
        <is>
          <t>2007-01-29</t>
        </is>
      </c>
      <c r="V173" t="inlineStr">
        <is>
          <t>2007-01-29</t>
        </is>
      </c>
      <c r="W173" t="inlineStr">
        <is>
          <t>2007-01-17</t>
        </is>
      </c>
      <c r="X173" t="inlineStr">
        <is>
          <t>2007-01-17</t>
        </is>
      </c>
      <c r="Y173" t="n">
        <v>36</v>
      </c>
      <c r="Z173" t="n">
        <v>24</v>
      </c>
      <c r="AA173" t="n">
        <v>26</v>
      </c>
      <c r="AB173" t="n">
        <v>2</v>
      </c>
      <c r="AC173" t="n">
        <v>2</v>
      </c>
      <c r="AD173" t="n">
        <v>2</v>
      </c>
      <c r="AE173" t="n">
        <v>2</v>
      </c>
      <c r="AF173" t="n">
        <v>1</v>
      </c>
      <c r="AG173" t="n">
        <v>1</v>
      </c>
      <c r="AH173" t="n">
        <v>0</v>
      </c>
      <c r="AI173" t="n">
        <v>0</v>
      </c>
      <c r="AJ173" t="n">
        <v>0</v>
      </c>
      <c r="AK173" t="n">
        <v>0</v>
      </c>
      <c r="AL173" t="n">
        <v>1</v>
      </c>
      <c r="AM173" t="n">
        <v>1</v>
      </c>
      <c r="AN173" t="n">
        <v>0</v>
      </c>
      <c r="AO173" t="n">
        <v>0</v>
      </c>
      <c r="AP173" t="inlineStr">
        <is>
          <t>No</t>
        </is>
      </c>
      <c r="AQ173" t="inlineStr">
        <is>
          <t>Yes</t>
        </is>
      </c>
      <c r="AR173">
        <f>HYPERLINK("http://catalog.hathitrust.org/Record/009866620","HathiTrust Record")</f>
        <v/>
      </c>
      <c r="AS173">
        <f>HYPERLINK("https://creighton-primo.hosted.exlibrisgroup.com/primo-explore/search?tab=default_tab&amp;search_scope=EVERYTHING&amp;vid=01CRU&amp;lang=en_US&amp;offset=0&amp;query=any,contains,991000582359702656","Catalog Record")</f>
        <v/>
      </c>
      <c r="AT173">
        <f>HYPERLINK("http://www.worldcat.org/oclc/57531502","WorldCat Record")</f>
        <v/>
      </c>
      <c r="AU173" t="inlineStr">
        <is>
          <t>19183947:eng</t>
        </is>
      </c>
      <c r="AV173" t="inlineStr">
        <is>
          <t>57531502</t>
        </is>
      </c>
      <c r="AW173" t="inlineStr">
        <is>
          <t>991000582359702656</t>
        </is>
      </c>
      <c r="AX173" t="inlineStr">
        <is>
          <t>991000582359702656</t>
        </is>
      </c>
      <c r="AY173" t="inlineStr">
        <is>
          <t>2258771470002656</t>
        </is>
      </c>
      <c r="AZ173" t="inlineStr">
        <is>
          <t>BOOK</t>
        </is>
      </c>
      <c r="BB173" t="inlineStr">
        <is>
          <t>9781594543067</t>
        </is>
      </c>
      <c r="BC173" t="inlineStr">
        <is>
          <t>30001005169802</t>
        </is>
      </c>
      <c r="BD173" t="inlineStr">
        <is>
          <t>893145620</t>
        </is>
      </c>
    </row>
    <row r="174">
      <c r="A174" t="inlineStr">
        <is>
          <t>No</t>
        </is>
      </c>
      <c r="B174" t="inlineStr">
        <is>
          <t>QZ50 T956e 2005</t>
        </is>
      </c>
      <c r="C174" t="inlineStr">
        <is>
          <t>0                      QZ 0050000T  956e        2005</t>
        </is>
      </c>
      <c r="D174" t="inlineStr">
        <is>
          <t>Emery's elements of medical genetics.</t>
        </is>
      </c>
      <c r="F174" t="inlineStr">
        <is>
          <t>No</t>
        </is>
      </c>
      <c r="G174" t="inlineStr">
        <is>
          <t>1</t>
        </is>
      </c>
      <c r="H174" t="inlineStr">
        <is>
          <t>No</t>
        </is>
      </c>
      <c r="I174" t="inlineStr">
        <is>
          <t>Yes</t>
        </is>
      </c>
      <c r="J174" t="inlineStr">
        <is>
          <t>1</t>
        </is>
      </c>
      <c r="K174" t="inlineStr">
        <is>
          <t>Turnpenny, Peter D.</t>
        </is>
      </c>
      <c r="L174" t="inlineStr">
        <is>
          <t>Edinburgh ; New York : Elsevier Churchill Livingstone, 2005.</t>
        </is>
      </c>
      <c r="M174" t="inlineStr">
        <is>
          <t>2005</t>
        </is>
      </c>
      <c r="N174" t="inlineStr">
        <is>
          <t>12th ed. / Peter Turnpenny, Sian Ellard.</t>
        </is>
      </c>
      <c r="O174" t="inlineStr">
        <is>
          <t>eng</t>
        </is>
      </c>
      <c r="P174" t="inlineStr">
        <is>
          <t>stk</t>
        </is>
      </c>
      <c r="R174" t="inlineStr">
        <is>
          <t xml:space="preserve">QZ </t>
        </is>
      </c>
      <c r="S174" t="n">
        <v>2</v>
      </c>
      <c r="T174" t="n">
        <v>2</v>
      </c>
      <c r="U174" t="inlineStr">
        <is>
          <t>2005-05-05</t>
        </is>
      </c>
      <c r="V174" t="inlineStr">
        <is>
          <t>2005-05-05</t>
        </is>
      </c>
      <c r="W174" t="inlineStr">
        <is>
          <t>2005-03-03</t>
        </is>
      </c>
      <c r="X174" t="inlineStr">
        <is>
          <t>2005-03-03</t>
        </is>
      </c>
      <c r="Y174" t="n">
        <v>202</v>
      </c>
      <c r="Z174" t="n">
        <v>95</v>
      </c>
      <c r="AA174" t="n">
        <v>458</v>
      </c>
      <c r="AB174" t="n">
        <v>1</v>
      </c>
      <c r="AC174" t="n">
        <v>3</v>
      </c>
      <c r="AD174" t="n">
        <v>2</v>
      </c>
      <c r="AE174" t="n">
        <v>14</v>
      </c>
      <c r="AF174" t="n">
        <v>0</v>
      </c>
      <c r="AG174" t="n">
        <v>3</v>
      </c>
      <c r="AH174" t="n">
        <v>2</v>
      </c>
      <c r="AI174" t="n">
        <v>7</v>
      </c>
      <c r="AJ174" t="n">
        <v>1</v>
      </c>
      <c r="AK174" t="n">
        <v>7</v>
      </c>
      <c r="AL174" t="n">
        <v>0</v>
      </c>
      <c r="AM174" t="n">
        <v>2</v>
      </c>
      <c r="AN174" t="n">
        <v>0</v>
      </c>
      <c r="AO174" t="n">
        <v>0</v>
      </c>
      <c r="AP174" t="inlineStr">
        <is>
          <t>No</t>
        </is>
      </c>
      <c r="AQ174" t="inlineStr">
        <is>
          <t>Yes</t>
        </is>
      </c>
      <c r="AR174">
        <f>HYPERLINK("http://catalog.hathitrust.org/Record/004953767","HathiTrust Record")</f>
        <v/>
      </c>
      <c r="AS174">
        <f>HYPERLINK("https://creighton-primo.hosted.exlibrisgroup.com/primo-explore/search?tab=default_tab&amp;search_scope=EVERYTHING&amp;vid=01CRU&amp;lang=en_US&amp;offset=0&amp;query=any,contains,991000431149702656","Catalog Record")</f>
        <v/>
      </c>
      <c r="AT174">
        <f>HYPERLINK("http://www.worldcat.org/oclc/56805591","WorldCat Record")</f>
        <v/>
      </c>
      <c r="AU174" t="inlineStr">
        <is>
          <t>2517082833:eng</t>
        </is>
      </c>
      <c r="AV174" t="inlineStr">
        <is>
          <t>56805591</t>
        </is>
      </c>
      <c r="AW174" t="inlineStr">
        <is>
          <t>991000431149702656</t>
        </is>
      </c>
      <c r="AX174" t="inlineStr">
        <is>
          <t>991000431149702656</t>
        </is>
      </c>
      <c r="AY174" t="inlineStr">
        <is>
          <t>2270023570002656</t>
        </is>
      </c>
      <c r="AZ174" t="inlineStr">
        <is>
          <t>BOOK</t>
        </is>
      </c>
      <c r="BB174" t="inlineStr">
        <is>
          <t>9780443100451</t>
        </is>
      </c>
      <c r="BC174" t="inlineStr">
        <is>
          <t>30001004928257</t>
        </is>
      </c>
      <c r="BD174" t="inlineStr">
        <is>
          <t>893633876</t>
        </is>
      </c>
    </row>
    <row r="175">
      <c r="A175" t="inlineStr">
        <is>
          <t>No</t>
        </is>
      </c>
      <c r="B175" t="inlineStr">
        <is>
          <t>QZ 50 W4305s 1996</t>
        </is>
      </c>
      <c r="C175" t="inlineStr">
        <is>
          <t>0                      QZ 0050000W  4305s       1996</t>
        </is>
      </c>
      <c r="D175" t="inlineStr">
        <is>
          <t>Starting and sustaining genetic support groups / Joan O. Weiss and Jayne S. Mackta.</t>
        </is>
      </c>
      <c r="F175" t="inlineStr">
        <is>
          <t>No</t>
        </is>
      </c>
      <c r="G175" t="inlineStr">
        <is>
          <t>1</t>
        </is>
      </c>
      <c r="H175" t="inlineStr">
        <is>
          <t>No</t>
        </is>
      </c>
      <c r="I175" t="inlineStr">
        <is>
          <t>No</t>
        </is>
      </c>
      <c r="J175" t="inlineStr">
        <is>
          <t>0</t>
        </is>
      </c>
      <c r="K175" t="inlineStr">
        <is>
          <t>Weiss, Joan O.</t>
        </is>
      </c>
      <c r="L175" t="inlineStr">
        <is>
          <t>Baltimore : Johns Hopkins University Press, c1996.</t>
        </is>
      </c>
      <c r="M175" t="inlineStr">
        <is>
          <t>1996</t>
        </is>
      </c>
      <c r="O175" t="inlineStr">
        <is>
          <t>eng</t>
        </is>
      </c>
      <c r="P175" t="inlineStr">
        <is>
          <t>mdu</t>
        </is>
      </c>
      <c r="R175" t="inlineStr">
        <is>
          <t xml:space="preserve">QZ </t>
        </is>
      </c>
      <c r="S175" t="n">
        <v>4</v>
      </c>
      <c r="T175" t="n">
        <v>4</v>
      </c>
      <c r="U175" t="inlineStr">
        <is>
          <t>1998-02-24</t>
        </is>
      </c>
      <c r="V175" t="inlineStr">
        <is>
          <t>1998-02-24</t>
        </is>
      </c>
      <c r="W175" t="inlineStr">
        <is>
          <t>1997-02-18</t>
        </is>
      </c>
      <c r="X175" t="inlineStr">
        <is>
          <t>1997-02-18</t>
        </is>
      </c>
      <c r="Y175" t="n">
        <v>114</v>
      </c>
      <c r="Z175" t="n">
        <v>100</v>
      </c>
      <c r="AA175" t="n">
        <v>107</v>
      </c>
      <c r="AB175" t="n">
        <v>1</v>
      </c>
      <c r="AC175" t="n">
        <v>1</v>
      </c>
      <c r="AD175" t="n">
        <v>3</v>
      </c>
      <c r="AE175" t="n">
        <v>3</v>
      </c>
      <c r="AF175" t="n">
        <v>1</v>
      </c>
      <c r="AG175" t="n">
        <v>1</v>
      </c>
      <c r="AH175" t="n">
        <v>1</v>
      </c>
      <c r="AI175" t="n">
        <v>1</v>
      </c>
      <c r="AJ175" t="n">
        <v>3</v>
      </c>
      <c r="AK175" t="n">
        <v>3</v>
      </c>
      <c r="AL175" t="n">
        <v>0</v>
      </c>
      <c r="AM175" t="n">
        <v>0</v>
      </c>
      <c r="AN175" t="n">
        <v>0</v>
      </c>
      <c r="AO175" t="n">
        <v>0</v>
      </c>
      <c r="AP175" t="inlineStr">
        <is>
          <t>No</t>
        </is>
      </c>
      <c r="AQ175" t="inlineStr">
        <is>
          <t>Yes</t>
        </is>
      </c>
      <c r="AR175">
        <f>HYPERLINK("http://catalog.hathitrust.org/Record/003084377","HathiTrust Record")</f>
        <v/>
      </c>
      <c r="AS175">
        <f>HYPERLINK("https://creighton-primo.hosted.exlibrisgroup.com/primo-explore/search?tab=default_tab&amp;search_scope=EVERYTHING&amp;vid=01CRU&amp;lang=en_US&amp;offset=0&amp;query=any,contains,991001552609702656","Catalog Record")</f>
        <v/>
      </c>
      <c r="AT175">
        <f>HYPERLINK("http://www.worldcat.org/oclc/33162880","WorldCat Record")</f>
        <v/>
      </c>
      <c r="AU175" t="inlineStr">
        <is>
          <t>37507204:eng</t>
        </is>
      </c>
      <c r="AV175" t="inlineStr">
        <is>
          <t>33162880</t>
        </is>
      </c>
      <c r="AW175" t="inlineStr">
        <is>
          <t>991001552609702656</t>
        </is>
      </c>
      <c r="AX175" t="inlineStr">
        <is>
          <t>991001552609702656</t>
        </is>
      </c>
      <c r="AY175" t="inlineStr">
        <is>
          <t>2262310140002656</t>
        </is>
      </c>
      <c r="AZ175" t="inlineStr">
        <is>
          <t>BOOK</t>
        </is>
      </c>
      <c r="BB175" t="inlineStr">
        <is>
          <t>9780801852640</t>
        </is>
      </c>
      <c r="BC175" t="inlineStr">
        <is>
          <t>30001003474741</t>
        </is>
      </c>
      <c r="BD175" t="inlineStr">
        <is>
          <t>893279217</t>
        </is>
      </c>
    </row>
    <row r="176">
      <c r="A176" t="inlineStr">
        <is>
          <t>No</t>
        </is>
      </c>
      <c r="B176" t="inlineStr">
        <is>
          <t>QZ 50 W724g 1993</t>
        </is>
      </c>
      <c r="C176" t="inlineStr">
        <is>
          <t>0                      QZ 0050000W  724g        1993</t>
        </is>
      </c>
      <c r="D176" t="inlineStr">
        <is>
          <t>Genetic engineering / J. Williams, A. Ceccarelli, N. Spurr.</t>
        </is>
      </c>
      <c r="F176" t="inlineStr">
        <is>
          <t>No</t>
        </is>
      </c>
      <c r="G176" t="inlineStr">
        <is>
          <t>1</t>
        </is>
      </c>
      <c r="H176" t="inlineStr">
        <is>
          <t>No</t>
        </is>
      </c>
      <c r="I176" t="inlineStr">
        <is>
          <t>Yes</t>
        </is>
      </c>
      <c r="J176" t="inlineStr">
        <is>
          <t>0</t>
        </is>
      </c>
      <c r="K176" t="inlineStr">
        <is>
          <t>Williams, J. G. (John Gordon), 1940-</t>
        </is>
      </c>
      <c r="L176" t="inlineStr">
        <is>
          <t>Oxford, United Kingdom : Bios Scientific Publishers, c1993.</t>
        </is>
      </c>
      <c r="M176" t="inlineStr">
        <is>
          <t>1993</t>
        </is>
      </c>
      <c r="O176" t="inlineStr">
        <is>
          <t>eng</t>
        </is>
      </c>
      <c r="P176" t="inlineStr">
        <is>
          <t>enk</t>
        </is>
      </c>
      <c r="Q176" t="inlineStr">
        <is>
          <t>Medical perspectives series</t>
        </is>
      </c>
      <c r="R176" t="inlineStr">
        <is>
          <t xml:space="preserve">QZ </t>
        </is>
      </c>
      <c r="S176" t="n">
        <v>10</v>
      </c>
      <c r="T176" t="n">
        <v>10</v>
      </c>
      <c r="U176" t="inlineStr">
        <is>
          <t>2000-02-17</t>
        </is>
      </c>
      <c r="V176" t="inlineStr">
        <is>
          <t>2000-02-17</t>
        </is>
      </c>
      <c r="W176" t="inlineStr">
        <is>
          <t>1992-02-20</t>
        </is>
      </c>
      <c r="X176" t="inlineStr">
        <is>
          <t>1992-02-20</t>
        </is>
      </c>
      <c r="Y176" t="n">
        <v>9</v>
      </c>
      <c r="Z176" t="n">
        <v>5</v>
      </c>
      <c r="AA176" t="n">
        <v>411</v>
      </c>
      <c r="AB176" t="n">
        <v>1</v>
      </c>
      <c r="AC176" t="n">
        <v>4</v>
      </c>
      <c r="AD176" t="n">
        <v>0</v>
      </c>
      <c r="AE176" t="n">
        <v>16</v>
      </c>
      <c r="AF176" t="n">
        <v>0</v>
      </c>
      <c r="AG176" t="n">
        <v>5</v>
      </c>
      <c r="AH176" t="n">
        <v>0</v>
      </c>
      <c r="AI176" t="n">
        <v>3</v>
      </c>
      <c r="AJ176" t="n">
        <v>0</v>
      </c>
      <c r="AK176" t="n">
        <v>10</v>
      </c>
      <c r="AL176" t="n">
        <v>0</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HYPERLINK("https://creighton-primo.hosted.exlibrisgroup.com/primo-explore/search?tab=default_tab&amp;search_scope=EVERYTHING&amp;vid=01CRU&amp;lang=en_US&amp;offset=0&amp;query=any,contains,991001033099702656","Catalog Record")</f>
        <v/>
      </c>
      <c r="AT176">
        <f>HYPERLINK("http://www.worldcat.org/oclc/24750842","WorldCat Record")</f>
        <v/>
      </c>
      <c r="AU176" t="inlineStr">
        <is>
          <t>17966833:eng</t>
        </is>
      </c>
      <c r="AV176" t="inlineStr">
        <is>
          <t>24750842</t>
        </is>
      </c>
      <c r="AW176" t="inlineStr">
        <is>
          <t>991001033099702656</t>
        </is>
      </c>
      <c r="AX176" t="inlineStr">
        <is>
          <t>991001033099702656</t>
        </is>
      </c>
      <c r="AY176" t="inlineStr">
        <is>
          <t>2271731780002656</t>
        </is>
      </c>
      <c r="AZ176" t="inlineStr">
        <is>
          <t>BOOK</t>
        </is>
      </c>
      <c r="BB176" t="inlineStr">
        <is>
          <t>9781872748757</t>
        </is>
      </c>
      <c r="BC176" t="inlineStr">
        <is>
          <t>30001002244202</t>
        </is>
      </c>
      <c r="BD176" t="inlineStr">
        <is>
          <t>893268000</t>
        </is>
      </c>
    </row>
    <row r="177">
      <c r="A177" t="inlineStr">
        <is>
          <t>No</t>
        </is>
      </c>
      <c r="B177" t="inlineStr">
        <is>
          <t>QZ 50 Y43e 1993</t>
        </is>
      </c>
      <c r="C177" t="inlineStr">
        <is>
          <t>0                      QZ 0050000Y  43e         1993</t>
        </is>
      </c>
      <c r="D177" t="inlineStr">
        <is>
          <t>Elsi bibliography : ethical legal &amp; social implications of the Human Genome Project / compiled by Michael S. Yesley.</t>
        </is>
      </c>
      <c r="F177" t="inlineStr">
        <is>
          <t>No</t>
        </is>
      </c>
      <c r="G177" t="inlineStr">
        <is>
          <t>1</t>
        </is>
      </c>
      <c r="H177" t="inlineStr">
        <is>
          <t>No</t>
        </is>
      </c>
      <c r="I177" t="inlineStr">
        <is>
          <t>Yes</t>
        </is>
      </c>
      <c r="J177" t="inlineStr">
        <is>
          <t>0</t>
        </is>
      </c>
      <c r="K177" t="inlineStr">
        <is>
          <t>Yesley, Michael S., 1939-</t>
        </is>
      </c>
      <c r="L177" t="inlineStr">
        <is>
          <t>Washington, D.C. : U.S. Dept. of Energy, Office of Energy Research ; [Springfield, VA : Available from National Technical Information Service], 1993.</t>
        </is>
      </c>
      <c r="M177" t="inlineStr">
        <is>
          <t>1993</t>
        </is>
      </c>
      <c r="O177" t="inlineStr">
        <is>
          <t>eng</t>
        </is>
      </c>
      <c r="P177" t="inlineStr">
        <is>
          <t>dcu</t>
        </is>
      </c>
      <c r="R177" t="inlineStr">
        <is>
          <t xml:space="preserve">QZ </t>
        </is>
      </c>
      <c r="S177" t="n">
        <v>5</v>
      </c>
      <c r="T177" t="n">
        <v>5</v>
      </c>
      <c r="U177" t="inlineStr">
        <is>
          <t>1993-12-06</t>
        </is>
      </c>
      <c r="V177" t="inlineStr">
        <is>
          <t>1993-12-06</t>
        </is>
      </c>
      <c r="W177" t="inlineStr">
        <is>
          <t>1993-12-03</t>
        </is>
      </c>
      <c r="X177" t="inlineStr">
        <is>
          <t>1993-12-03</t>
        </is>
      </c>
      <c r="Y177" t="n">
        <v>94</v>
      </c>
      <c r="Z177" t="n">
        <v>86</v>
      </c>
      <c r="AA177" t="n">
        <v>140</v>
      </c>
      <c r="AB177" t="n">
        <v>1</v>
      </c>
      <c r="AC177" t="n">
        <v>1</v>
      </c>
      <c r="AD177" t="n">
        <v>0</v>
      </c>
      <c r="AE177" t="n">
        <v>1</v>
      </c>
      <c r="AF177" t="n">
        <v>0</v>
      </c>
      <c r="AG177" t="n">
        <v>0</v>
      </c>
      <c r="AH177" t="n">
        <v>0</v>
      </c>
      <c r="AI177" t="n">
        <v>0</v>
      </c>
      <c r="AJ177" t="n">
        <v>0</v>
      </c>
      <c r="AK177" t="n">
        <v>0</v>
      </c>
      <c r="AL177" t="n">
        <v>0</v>
      </c>
      <c r="AM177" t="n">
        <v>0</v>
      </c>
      <c r="AN177" t="n">
        <v>0</v>
      </c>
      <c r="AO177" t="n">
        <v>1</v>
      </c>
      <c r="AP177" t="inlineStr">
        <is>
          <t>No</t>
        </is>
      </c>
      <c r="AQ177" t="inlineStr">
        <is>
          <t>Yes</t>
        </is>
      </c>
      <c r="AR177">
        <f>HYPERLINK("http://catalog.hathitrust.org/Record/102340200","HathiTrust Record")</f>
        <v/>
      </c>
      <c r="AS177">
        <f>HYPERLINK("https://creighton-primo.hosted.exlibrisgroup.com/primo-explore/search?tab=default_tab&amp;search_scope=EVERYTHING&amp;vid=01CRU&amp;lang=en_US&amp;offset=0&amp;query=any,contains,991000549149702656","Catalog Record")</f>
        <v/>
      </c>
      <c r="AT177">
        <f>HYPERLINK("http://www.worldcat.org/oclc/29439655","WorldCat Record")</f>
        <v/>
      </c>
      <c r="AU177" t="inlineStr">
        <is>
          <t>30448385:eng</t>
        </is>
      </c>
      <c r="AV177" t="inlineStr">
        <is>
          <t>29439655</t>
        </is>
      </c>
      <c r="AW177" t="inlineStr">
        <is>
          <t>991000549149702656</t>
        </is>
      </c>
      <c r="AX177" t="inlineStr">
        <is>
          <t>991000549149702656</t>
        </is>
      </c>
      <c r="AY177" t="inlineStr">
        <is>
          <t>2256976030002656</t>
        </is>
      </c>
      <c r="AZ177" t="inlineStr">
        <is>
          <t>BOOK</t>
        </is>
      </c>
      <c r="BC177" t="inlineStr">
        <is>
          <t>30001002670786</t>
        </is>
      </c>
      <c r="BD177" t="inlineStr">
        <is>
          <t>893550170</t>
        </is>
      </c>
    </row>
    <row r="178">
      <c r="A178" t="inlineStr">
        <is>
          <t>No</t>
        </is>
      </c>
      <c r="B178" t="inlineStr">
        <is>
          <t>QZ 50 Y47b 1992</t>
        </is>
      </c>
      <c r="C178" t="inlineStr">
        <is>
          <t>0                      QZ 0050000Y  47b         1992</t>
        </is>
      </c>
      <c r="D178" t="inlineStr">
        <is>
          <t>Bibliography : ethical and legal and social implications of the Human Genome Project / compiled by Michael S. Yesley.</t>
        </is>
      </c>
      <c r="F178" t="inlineStr">
        <is>
          <t>No</t>
        </is>
      </c>
      <c r="G178" t="inlineStr">
        <is>
          <t>1</t>
        </is>
      </c>
      <c r="H178" t="inlineStr">
        <is>
          <t>No</t>
        </is>
      </c>
      <c r="I178" t="inlineStr">
        <is>
          <t>Yes</t>
        </is>
      </c>
      <c r="J178" t="inlineStr">
        <is>
          <t>0</t>
        </is>
      </c>
      <c r="K178" t="inlineStr">
        <is>
          <t>Yesley, Michael S., 1939-</t>
        </is>
      </c>
      <c r="L178" t="inlineStr">
        <is>
          <t>[Washington, D.C.] : U.S. Department of Energy, Office of Energy Research, 1992.</t>
        </is>
      </c>
      <c r="M178" t="inlineStr">
        <is>
          <t>1992</t>
        </is>
      </c>
      <c r="O178" t="inlineStr">
        <is>
          <t>eng</t>
        </is>
      </c>
      <c r="P178" t="inlineStr">
        <is>
          <t>dcu</t>
        </is>
      </c>
      <c r="R178" t="inlineStr">
        <is>
          <t xml:space="preserve">QZ </t>
        </is>
      </c>
      <c r="S178" t="n">
        <v>8</v>
      </c>
      <c r="T178" t="n">
        <v>8</v>
      </c>
      <c r="U178" t="inlineStr">
        <is>
          <t>1994-09-30</t>
        </is>
      </c>
      <c r="V178" t="inlineStr">
        <is>
          <t>1994-09-30</t>
        </is>
      </c>
      <c r="W178" t="inlineStr">
        <is>
          <t>1993-03-12</t>
        </is>
      </c>
      <c r="X178" t="inlineStr">
        <is>
          <t>1993-03-12</t>
        </is>
      </c>
      <c r="Y178" t="n">
        <v>22</v>
      </c>
      <c r="Z178" t="n">
        <v>22</v>
      </c>
      <c r="AA178" t="n">
        <v>140</v>
      </c>
      <c r="AB178" t="n">
        <v>1</v>
      </c>
      <c r="AC178" t="n">
        <v>1</v>
      </c>
      <c r="AD178" t="n">
        <v>0</v>
      </c>
      <c r="AE178" t="n">
        <v>1</v>
      </c>
      <c r="AF178" t="n">
        <v>0</v>
      </c>
      <c r="AG178" t="n">
        <v>0</v>
      </c>
      <c r="AH178" t="n">
        <v>0</v>
      </c>
      <c r="AI178" t="n">
        <v>0</v>
      </c>
      <c r="AJ178" t="n">
        <v>0</v>
      </c>
      <c r="AK178" t="n">
        <v>0</v>
      </c>
      <c r="AL178" t="n">
        <v>0</v>
      </c>
      <c r="AM178" t="n">
        <v>0</v>
      </c>
      <c r="AN178" t="n">
        <v>0</v>
      </c>
      <c r="AO178" t="n">
        <v>1</v>
      </c>
      <c r="AP178" t="inlineStr">
        <is>
          <t>No</t>
        </is>
      </c>
      <c r="AQ178" t="inlineStr">
        <is>
          <t>No</t>
        </is>
      </c>
      <c r="AS178">
        <f>HYPERLINK("https://creighton-primo.hosted.exlibrisgroup.com/primo-explore/search?tab=default_tab&amp;search_scope=EVERYTHING&amp;vid=01CRU&amp;lang=en_US&amp;offset=0&amp;query=any,contains,991001479499702656","Catalog Record")</f>
        <v/>
      </c>
      <c r="AT178">
        <f>HYPERLINK("http://www.worldcat.org/oclc/27651982","WorldCat Record")</f>
        <v/>
      </c>
      <c r="AU178" t="inlineStr">
        <is>
          <t>30448385:eng</t>
        </is>
      </c>
      <c r="AV178" t="inlineStr">
        <is>
          <t>27651982</t>
        </is>
      </c>
      <c r="AW178" t="inlineStr">
        <is>
          <t>991001479499702656</t>
        </is>
      </c>
      <c r="AX178" t="inlineStr">
        <is>
          <t>991001479499702656</t>
        </is>
      </c>
      <c r="AY178" t="inlineStr">
        <is>
          <t>2261627350002656</t>
        </is>
      </c>
      <c r="AZ178" t="inlineStr">
        <is>
          <t>BOOK</t>
        </is>
      </c>
      <c r="BC178" t="inlineStr">
        <is>
          <t>30001002566406</t>
        </is>
      </c>
      <c r="BD178" t="inlineStr">
        <is>
          <t>893832229</t>
        </is>
      </c>
    </row>
    <row r="179">
      <c r="A179" t="inlineStr">
        <is>
          <t>No</t>
        </is>
      </c>
      <c r="B179" t="inlineStr">
        <is>
          <t>QZ 50 Y72i 1991</t>
        </is>
      </c>
      <c r="C179" t="inlineStr">
        <is>
          <t>0                      QZ 0050000Y  72i         1991</t>
        </is>
      </c>
      <c r="D179" t="inlineStr">
        <is>
          <t>Introduction to risk calculation in genetic counselling / Ian D. Young.</t>
        </is>
      </c>
      <c r="F179" t="inlineStr">
        <is>
          <t>No</t>
        </is>
      </c>
      <c r="G179" t="inlineStr">
        <is>
          <t>1</t>
        </is>
      </c>
      <c r="H179" t="inlineStr">
        <is>
          <t>No</t>
        </is>
      </c>
      <c r="I179" t="inlineStr">
        <is>
          <t>No</t>
        </is>
      </c>
      <c r="J179" t="inlineStr">
        <is>
          <t>1</t>
        </is>
      </c>
      <c r="K179" t="inlineStr">
        <is>
          <t>Young, Ian D.</t>
        </is>
      </c>
      <c r="L179" t="inlineStr">
        <is>
          <t>Oxford ; New York : Oxford University Press, c1991.</t>
        </is>
      </c>
      <c r="M179" t="inlineStr">
        <is>
          <t>1991</t>
        </is>
      </c>
      <c r="O179" t="inlineStr">
        <is>
          <t>eng</t>
        </is>
      </c>
      <c r="P179" t="inlineStr">
        <is>
          <t>enk</t>
        </is>
      </c>
      <c r="R179" t="inlineStr">
        <is>
          <t xml:space="preserve">QZ </t>
        </is>
      </c>
      <c r="S179" t="n">
        <v>6</v>
      </c>
      <c r="T179" t="n">
        <v>6</v>
      </c>
      <c r="U179" t="inlineStr">
        <is>
          <t>2000-01-13</t>
        </is>
      </c>
      <c r="V179" t="inlineStr">
        <is>
          <t>2000-01-13</t>
        </is>
      </c>
      <c r="W179" t="inlineStr">
        <is>
          <t>1991-09-17</t>
        </is>
      </c>
      <c r="X179" t="inlineStr">
        <is>
          <t>1991-09-17</t>
        </is>
      </c>
      <c r="Y179" t="n">
        <v>128</v>
      </c>
      <c r="Z179" t="n">
        <v>66</v>
      </c>
      <c r="AA179" t="n">
        <v>1060</v>
      </c>
      <c r="AB179" t="n">
        <v>1</v>
      </c>
      <c r="AC179" t="n">
        <v>18</v>
      </c>
      <c r="AD179" t="n">
        <v>1</v>
      </c>
      <c r="AE179" t="n">
        <v>36</v>
      </c>
      <c r="AF179" t="n">
        <v>0</v>
      </c>
      <c r="AG179" t="n">
        <v>8</v>
      </c>
      <c r="AH179" t="n">
        <v>0</v>
      </c>
      <c r="AI179" t="n">
        <v>7</v>
      </c>
      <c r="AJ179" t="n">
        <v>1</v>
      </c>
      <c r="AK179" t="n">
        <v>10</v>
      </c>
      <c r="AL179" t="n">
        <v>0</v>
      </c>
      <c r="AM179" t="n">
        <v>14</v>
      </c>
      <c r="AN179" t="n">
        <v>0</v>
      </c>
      <c r="AO179" t="n">
        <v>1</v>
      </c>
      <c r="AP179" t="inlineStr">
        <is>
          <t>No</t>
        </is>
      </c>
      <c r="AQ179" t="inlineStr">
        <is>
          <t>Yes</t>
        </is>
      </c>
      <c r="AR179">
        <f>HYPERLINK("http://catalog.hathitrust.org/Record/002453366","HathiTrust Record")</f>
        <v/>
      </c>
      <c r="AS179">
        <f>HYPERLINK("https://creighton-primo.hosted.exlibrisgroup.com/primo-explore/search?tab=default_tab&amp;search_scope=EVERYTHING&amp;vid=01CRU&amp;lang=en_US&amp;offset=0&amp;query=any,contains,991001015669702656","Catalog Record")</f>
        <v/>
      </c>
      <c r="AT179">
        <f>HYPERLINK("http://www.worldcat.org/oclc/22419975","WorldCat Record")</f>
        <v/>
      </c>
      <c r="AU179" t="inlineStr">
        <is>
          <t>26252676:eng</t>
        </is>
      </c>
      <c r="AV179" t="inlineStr">
        <is>
          <t>22419975</t>
        </is>
      </c>
      <c r="AW179" t="inlineStr">
        <is>
          <t>991001015669702656</t>
        </is>
      </c>
      <c r="AX179" t="inlineStr">
        <is>
          <t>991001015669702656</t>
        </is>
      </c>
      <c r="AY179" t="inlineStr">
        <is>
          <t>2264571660002656</t>
        </is>
      </c>
      <c r="AZ179" t="inlineStr">
        <is>
          <t>BOOK</t>
        </is>
      </c>
      <c r="BB179" t="inlineStr">
        <is>
          <t>9780199632053</t>
        </is>
      </c>
      <c r="BC179" t="inlineStr">
        <is>
          <t>30001002240648</t>
        </is>
      </c>
      <c r="BD179" t="inlineStr">
        <is>
          <t>893552049</t>
        </is>
      </c>
    </row>
    <row r="180">
      <c r="A180" t="inlineStr">
        <is>
          <t>No</t>
        </is>
      </c>
      <c r="B180" t="inlineStr">
        <is>
          <t>QZ53 P957 2004</t>
        </is>
      </c>
      <c r="C180" t="inlineStr">
        <is>
          <t>0                      QZ 0053000P  957         2004</t>
        </is>
      </c>
      <c r="D180" t="inlineStr">
        <is>
          <t>Principles of gender-specific medicine / edited by Marianne J. Legato ; section editors, John P. Bilezikian ... [et al.].</t>
        </is>
      </c>
      <c r="E180" t="inlineStr">
        <is>
          <t>V.1</t>
        </is>
      </c>
      <c r="F180" t="inlineStr">
        <is>
          <t>Yes</t>
        </is>
      </c>
      <c r="G180" t="inlineStr">
        <is>
          <t>1</t>
        </is>
      </c>
      <c r="H180" t="inlineStr">
        <is>
          <t>No</t>
        </is>
      </c>
      <c r="I180" t="inlineStr">
        <is>
          <t>Yes</t>
        </is>
      </c>
      <c r="J180" t="inlineStr">
        <is>
          <t>1</t>
        </is>
      </c>
      <c r="L180" t="inlineStr">
        <is>
          <t>Amsterdam ; Boston : Elsevier Academic Press, c2004.</t>
        </is>
      </c>
      <c r="M180" t="inlineStr">
        <is>
          <t>2004</t>
        </is>
      </c>
      <c r="O180" t="inlineStr">
        <is>
          <t>eng</t>
        </is>
      </c>
      <c r="P180" t="inlineStr">
        <is>
          <t xml:space="preserve">ne </t>
        </is>
      </c>
      <c r="R180" t="inlineStr">
        <is>
          <t xml:space="preserve">QZ </t>
        </is>
      </c>
      <c r="S180" t="n">
        <v>0</v>
      </c>
      <c r="T180" t="n">
        <v>0</v>
      </c>
      <c r="U180" t="inlineStr">
        <is>
          <t>2006-09-20</t>
        </is>
      </c>
      <c r="V180" t="inlineStr">
        <is>
          <t>2006-09-20</t>
        </is>
      </c>
      <c r="W180" t="inlineStr">
        <is>
          <t>2006-09-15</t>
        </is>
      </c>
      <c r="X180" t="inlineStr">
        <is>
          <t>2006-09-15</t>
        </is>
      </c>
      <c r="Y180" t="n">
        <v>166</v>
      </c>
      <c r="Z180" t="n">
        <v>130</v>
      </c>
      <c r="AA180" t="n">
        <v>437</v>
      </c>
      <c r="AB180" t="n">
        <v>1</v>
      </c>
      <c r="AC180" t="n">
        <v>5</v>
      </c>
      <c r="AD180" t="n">
        <v>4</v>
      </c>
      <c r="AE180" t="n">
        <v>16</v>
      </c>
      <c r="AF180" t="n">
        <v>2</v>
      </c>
      <c r="AG180" t="n">
        <v>5</v>
      </c>
      <c r="AH180" t="n">
        <v>1</v>
      </c>
      <c r="AI180" t="n">
        <v>4</v>
      </c>
      <c r="AJ180" t="n">
        <v>1</v>
      </c>
      <c r="AK180" t="n">
        <v>4</v>
      </c>
      <c r="AL180" t="n">
        <v>0</v>
      </c>
      <c r="AM180" t="n">
        <v>4</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HYPERLINK("https://creighton-primo.hosted.exlibrisgroup.com/primo-explore/search?tab=default_tab&amp;search_scope=EVERYTHING&amp;vid=01CRU&amp;lang=en_US&amp;offset=0&amp;query=any,contains,991000540649702656","Catalog Record")</f>
        <v/>
      </c>
      <c r="AT180">
        <f>HYPERLINK("http://www.worldcat.org/oclc/55152160","WorldCat Record")</f>
        <v/>
      </c>
      <c r="AU180" t="inlineStr">
        <is>
          <t>1005391434:eng</t>
        </is>
      </c>
      <c r="AV180" t="inlineStr">
        <is>
          <t>55152160</t>
        </is>
      </c>
      <c r="AW180" t="inlineStr">
        <is>
          <t>991000540649702656</t>
        </is>
      </c>
      <c r="AX180" t="inlineStr">
        <is>
          <t>991000540649702656</t>
        </is>
      </c>
      <c r="AY180" t="inlineStr">
        <is>
          <t>2264172610002656</t>
        </is>
      </c>
      <c r="AZ180" t="inlineStr">
        <is>
          <t>BOOK</t>
        </is>
      </c>
      <c r="BB180" t="inlineStr">
        <is>
          <t>9780124409057</t>
        </is>
      </c>
      <c r="BC180" t="inlineStr">
        <is>
          <t>30001005175635</t>
        </is>
      </c>
      <c r="BD180" t="inlineStr">
        <is>
          <t>893725180</t>
        </is>
      </c>
    </row>
    <row r="181">
      <c r="A181" t="inlineStr">
        <is>
          <t>No</t>
        </is>
      </c>
      <c r="B181" t="inlineStr">
        <is>
          <t>QZ53 P957 2004</t>
        </is>
      </c>
      <c r="C181" t="inlineStr">
        <is>
          <t>0                      QZ 0053000P  957         2004</t>
        </is>
      </c>
      <c r="D181" t="inlineStr">
        <is>
          <t>Principles of gender-specific medicine / edited by Marianne J. Legato ; section editors, John P. Bilezikian ... [et al.].</t>
        </is>
      </c>
      <c r="E181" t="inlineStr">
        <is>
          <t>V.2</t>
        </is>
      </c>
      <c r="F181" t="inlineStr">
        <is>
          <t>Yes</t>
        </is>
      </c>
      <c r="G181" t="inlineStr">
        <is>
          <t>1</t>
        </is>
      </c>
      <c r="H181" t="inlineStr">
        <is>
          <t>No</t>
        </is>
      </c>
      <c r="I181" t="inlineStr">
        <is>
          <t>Yes</t>
        </is>
      </c>
      <c r="J181" t="inlineStr">
        <is>
          <t>1</t>
        </is>
      </c>
      <c r="L181" t="inlineStr">
        <is>
          <t>Amsterdam ; Boston : Elsevier Academic Press, c2004.</t>
        </is>
      </c>
      <c r="M181" t="inlineStr">
        <is>
          <t>2004</t>
        </is>
      </c>
      <c r="O181" t="inlineStr">
        <is>
          <t>eng</t>
        </is>
      </c>
      <c r="P181" t="inlineStr">
        <is>
          <t xml:space="preserve">ne </t>
        </is>
      </c>
      <c r="R181" t="inlineStr">
        <is>
          <t xml:space="preserve">QZ </t>
        </is>
      </c>
      <c r="S181" t="n">
        <v>0</v>
      </c>
      <c r="T181" t="n">
        <v>0</v>
      </c>
      <c r="U181" t="inlineStr">
        <is>
          <t>2006-09-20</t>
        </is>
      </c>
      <c r="V181" t="inlineStr">
        <is>
          <t>2006-09-20</t>
        </is>
      </c>
      <c r="W181" t="inlineStr">
        <is>
          <t>2006-09-15</t>
        </is>
      </c>
      <c r="X181" t="inlineStr">
        <is>
          <t>2006-09-15</t>
        </is>
      </c>
      <c r="Y181" t="n">
        <v>166</v>
      </c>
      <c r="Z181" t="n">
        <v>130</v>
      </c>
      <c r="AA181" t="n">
        <v>437</v>
      </c>
      <c r="AB181" t="n">
        <v>1</v>
      </c>
      <c r="AC181" t="n">
        <v>5</v>
      </c>
      <c r="AD181" t="n">
        <v>4</v>
      </c>
      <c r="AE181" t="n">
        <v>16</v>
      </c>
      <c r="AF181" t="n">
        <v>2</v>
      </c>
      <c r="AG181" t="n">
        <v>5</v>
      </c>
      <c r="AH181" t="n">
        <v>1</v>
      </c>
      <c r="AI181" t="n">
        <v>4</v>
      </c>
      <c r="AJ181" t="n">
        <v>1</v>
      </c>
      <c r="AK181" t="n">
        <v>4</v>
      </c>
      <c r="AL181" t="n">
        <v>0</v>
      </c>
      <c r="AM181" t="n">
        <v>4</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HYPERLINK("https://creighton-primo.hosted.exlibrisgroup.com/primo-explore/search?tab=default_tab&amp;search_scope=EVERYTHING&amp;vid=01CRU&amp;lang=en_US&amp;offset=0&amp;query=any,contains,991000540649702656","Catalog Record")</f>
        <v/>
      </c>
      <c r="AT181">
        <f>HYPERLINK("http://www.worldcat.org/oclc/55152160","WorldCat Record")</f>
        <v/>
      </c>
      <c r="AU181" t="inlineStr">
        <is>
          <t>1005391434:eng</t>
        </is>
      </c>
      <c r="AV181" t="inlineStr">
        <is>
          <t>55152160</t>
        </is>
      </c>
      <c r="AW181" t="inlineStr">
        <is>
          <t>991000540649702656</t>
        </is>
      </c>
      <c r="AX181" t="inlineStr">
        <is>
          <t>991000540649702656</t>
        </is>
      </c>
      <c r="AY181" t="inlineStr">
        <is>
          <t>2264172610002656</t>
        </is>
      </c>
      <c r="AZ181" t="inlineStr">
        <is>
          <t>BOOK</t>
        </is>
      </c>
      <c r="BB181" t="inlineStr">
        <is>
          <t>9780124409057</t>
        </is>
      </c>
      <c r="BC181" t="inlineStr">
        <is>
          <t>30001005175577</t>
        </is>
      </c>
      <c r="BD181" t="inlineStr">
        <is>
          <t>893738887</t>
        </is>
      </c>
    </row>
    <row r="182">
      <c r="A182" t="inlineStr">
        <is>
          <t>No</t>
        </is>
      </c>
      <c r="B182" t="inlineStr">
        <is>
          <t>QZ 65 W583m 1986</t>
        </is>
      </c>
      <c r="C182" t="inlineStr">
        <is>
          <t>0                      QZ 0065000W  583m        1986</t>
        </is>
      </c>
      <c r="D182" t="inlineStr">
        <is>
          <t>Medical virology / David O. White, Frank Fenner.</t>
        </is>
      </c>
      <c r="F182" t="inlineStr">
        <is>
          <t>No</t>
        </is>
      </c>
      <c r="G182" t="inlineStr">
        <is>
          <t>1</t>
        </is>
      </c>
      <c r="H182" t="inlineStr">
        <is>
          <t>No</t>
        </is>
      </c>
      <c r="I182" t="inlineStr">
        <is>
          <t>No</t>
        </is>
      </c>
      <c r="J182" t="inlineStr">
        <is>
          <t>0</t>
        </is>
      </c>
      <c r="K182" t="inlineStr">
        <is>
          <t>White, David O.</t>
        </is>
      </c>
      <c r="L182" t="inlineStr">
        <is>
          <t>Orlando : Academic Press, c1986.</t>
        </is>
      </c>
      <c r="M182" t="inlineStr">
        <is>
          <t>1986</t>
        </is>
      </c>
      <c r="N182" t="inlineStr">
        <is>
          <t>3rd ed.</t>
        </is>
      </c>
      <c r="O182" t="inlineStr">
        <is>
          <t>eng</t>
        </is>
      </c>
      <c r="P182" t="inlineStr">
        <is>
          <t>flu</t>
        </is>
      </c>
      <c r="R182" t="inlineStr">
        <is>
          <t xml:space="preserve">QZ </t>
        </is>
      </c>
      <c r="S182" t="n">
        <v>1</v>
      </c>
      <c r="T182" t="n">
        <v>1</v>
      </c>
      <c r="U182" t="inlineStr">
        <is>
          <t>2000-10-07</t>
        </is>
      </c>
      <c r="V182" t="inlineStr">
        <is>
          <t>2000-10-07</t>
        </is>
      </c>
      <c r="W182" t="inlineStr">
        <is>
          <t>1988-02-12</t>
        </is>
      </c>
      <c r="X182" t="inlineStr">
        <is>
          <t>1988-02-12</t>
        </is>
      </c>
      <c r="Y182" t="n">
        <v>421</v>
      </c>
      <c r="Z182" t="n">
        <v>306</v>
      </c>
      <c r="AA182" t="n">
        <v>628</v>
      </c>
      <c r="AB182" t="n">
        <v>4</v>
      </c>
      <c r="AC182" t="n">
        <v>6</v>
      </c>
      <c r="AD182" t="n">
        <v>14</v>
      </c>
      <c r="AE182" t="n">
        <v>25</v>
      </c>
      <c r="AF182" t="n">
        <v>4</v>
      </c>
      <c r="AG182" t="n">
        <v>9</v>
      </c>
      <c r="AH182" t="n">
        <v>2</v>
      </c>
      <c r="AI182" t="n">
        <v>5</v>
      </c>
      <c r="AJ182" t="n">
        <v>8</v>
      </c>
      <c r="AK182" t="n">
        <v>12</v>
      </c>
      <c r="AL182" t="n">
        <v>3</v>
      </c>
      <c r="AM182" t="n">
        <v>5</v>
      </c>
      <c r="AN182" t="n">
        <v>0</v>
      </c>
      <c r="AO182" t="n">
        <v>0</v>
      </c>
      <c r="AP182" t="inlineStr">
        <is>
          <t>No</t>
        </is>
      </c>
      <c r="AQ182" t="inlineStr">
        <is>
          <t>Yes</t>
        </is>
      </c>
      <c r="AR182">
        <f>HYPERLINK("http://catalog.hathitrust.org/Record/000538376","HathiTrust Record")</f>
        <v/>
      </c>
      <c r="AS182">
        <f>HYPERLINK("https://creighton-primo.hosted.exlibrisgroup.com/primo-explore/search?tab=default_tab&amp;search_scope=EVERYTHING&amp;vid=01CRU&amp;lang=en_US&amp;offset=0&amp;query=any,contains,991001267689702656","Catalog Record")</f>
        <v/>
      </c>
      <c r="AT182">
        <f>HYPERLINK("http://www.worldcat.org/oclc/12263172","WorldCat Record")</f>
        <v/>
      </c>
      <c r="AU182" t="inlineStr">
        <is>
          <t>3503713327:eng</t>
        </is>
      </c>
      <c r="AV182" t="inlineStr">
        <is>
          <t>12263172</t>
        </is>
      </c>
      <c r="AW182" t="inlineStr">
        <is>
          <t>991001267689702656</t>
        </is>
      </c>
      <c r="AX182" t="inlineStr">
        <is>
          <t>991001267689702656</t>
        </is>
      </c>
      <c r="AY182" t="inlineStr">
        <is>
          <t>2265277600002656</t>
        </is>
      </c>
      <c r="AZ182" t="inlineStr">
        <is>
          <t>BOOK</t>
        </is>
      </c>
      <c r="BB182" t="inlineStr">
        <is>
          <t>9780127466408</t>
        </is>
      </c>
      <c r="BC182" t="inlineStr">
        <is>
          <t>30001000353856</t>
        </is>
      </c>
      <c r="BD182" t="inlineStr">
        <is>
          <t>893450997</t>
        </is>
      </c>
    </row>
    <row r="183">
      <c r="A183" t="inlineStr">
        <is>
          <t>No</t>
        </is>
      </c>
      <c r="B183" t="inlineStr">
        <is>
          <t>QZ65 W751b 2002</t>
        </is>
      </c>
      <c r="C183" t="inlineStr">
        <is>
          <t>0                      QZ 0065000W  751b        2002</t>
        </is>
      </c>
      <c r="D183" t="inlineStr">
        <is>
          <t>Bacterial disease mechanisms : an introduction to cellular microbiology / Michael Wilson, Rod McNab and Brian Henderson.</t>
        </is>
      </c>
      <c r="F183" t="inlineStr">
        <is>
          <t>No</t>
        </is>
      </c>
      <c r="G183" t="inlineStr">
        <is>
          <t>1</t>
        </is>
      </c>
      <c r="H183" t="inlineStr">
        <is>
          <t>No</t>
        </is>
      </c>
      <c r="I183" t="inlineStr">
        <is>
          <t>No</t>
        </is>
      </c>
      <c r="J183" t="inlineStr">
        <is>
          <t>0</t>
        </is>
      </c>
      <c r="K183" t="inlineStr">
        <is>
          <t>Wilson, Michael, 1947-</t>
        </is>
      </c>
      <c r="L183" t="inlineStr">
        <is>
          <t>Cambridge : Cambridge University Press, 2002.</t>
        </is>
      </c>
      <c r="M183" t="inlineStr">
        <is>
          <t>2002</t>
        </is>
      </c>
      <c r="O183" t="inlineStr">
        <is>
          <t>eng</t>
        </is>
      </c>
      <c r="P183" t="inlineStr">
        <is>
          <t>enk</t>
        </is>
      </c>
      <c r="R183" t="inlineStr">
        <is>
          <t xml:space="preserve">QZ </t>
        </is>
      </c>
      <c r="S183" t="n">
        <v>0</v>
      </c>
      <c r="T183" t="n">
        <v>0</v>
      </c>
      <c r="U183" t="inlineStr">
        <is>
          <t>2003-11-03</t>
        </is>
      </c>
      <c r="V183" t="inlineStr">
        <is>
          <t>2003-11-03</t>
        </is>
      </c>
      <c r="W183" t="inlineStr">
        <is>
          <t>2003-10-16</t>
        </is>
      </c>
      <c r="X183" t="inlineStr">
        <is>
          <t>2003-10-16</t>
        </is>
      </c>
      <c r="Y183" t="n">
        <v>323</v>
      </c>
      <c r="Z183" t="n">
        <v>187</v>
      </c>
      <c r="AA183" t="n">
        <v>196</v>
      </c>
      <c r="AB183" t="n">
        <v>3</v>
      </c>
      <c r="AC183" t="n">
        <v>3</v>
      </c>
      <c r="AD183" t="n">
        <v>11</v>
      </c>
      <c r="AE183" t="n">
        <v>11</v>
      </c>
      <c r="AF183" t="n">
        <v>4</v>
      </c>
      <c r="AG183" t="n">
        <v>4</v>
      </c>
      <c r="AH183" t="n">
        <v>3</v>
      </c>
      <c r="AI183" t="n">
        <v>3</v>
      </c>
      <c r="AJ183" t="n">
        <v>4</v>
      </c>
      <c r="AK183" t="n">
        <v>4</v>
      </c>
      <c r="AL183" t="n">
        <v>2</v>
      </c>
      <c r="AM183" t="n">
        <v>2</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HYPERLINK("https://creighton-primo.hosted.exlibrisgroup.com/primo-explore/search?tab=default_tab&amp;search_scope=EVERYTHING&amp;vid=01CRU&amp;lang=en_US&amp;offset=0&amp;query=any,contains,991000357989702656","Catalog Record")</f>
        <v/>
      </c>
      <c r="AT183">
        <f>HYPERLINK("http://www.worldcat.org/oclc/48572034","WorldCat Record")</f>
        <v/>
      </c>
      <c r="AU183" t="inlineStr">
        <is>
          <t>180693250:eng</t>
        </is>
      </c>
      <c r="AV183" t="inlineStr">
        <is>
          <t>48572034</t>
        </is>
      </c>
      <c r="AW183" t="inlineStr">
        <is>
          <t>991000357989702656</t>
        </is>
      </c>
      <c r="AX183" t="inlineStr">
        <is>
          <t>991000357989702656</t>
        </is>
      </c>
      <c r="AY183" t="inlineStr">
        <is>
          <t>2259581000002656</t>
        </is>
      </c>
      <c r="AZ183" t="inlineStr">
        <is>
          <t>BOOK</t>
        </is>
      </c>
      <c r="BB183" t="inlineStr">
        <is>
          <t>9780521792509</t>
        </is>
      </c>
      <c r="BC183" t="inlineStr">
        <is>
          <t>30001004505964</t>
        </is>
      </c>
      <c r="BD183" t="inlineStr">
        <is>
          <t>893629168</t>
        </is>
      </c>
    </row>
    <row r="184">
      <c r="A184" t="inlineStr">
        <is>
          <t>No</t>
        </is>
      </c>
      <c r="B184" t="inlineStr">
        <is>
          <t>QZ 105 W124d 1984</t>
        </is>
      </c>
      <c r="C184" t="inlineStr">
        <is>
          <t>0                      QZ 0105000W  124d        1984</t>
        </is>
      </c>
      <c r="D184" t="inlineStr">
        <is>
          <t>The diet and health of isolated populations / G.R. Wadsworth.</t>
        </is>
      </c>
      <c r="F184" t="inlineStr">
        <is>
          <t>No</t>
        </is>
      </c>
      <c r="G184" t="inlineStr">
        <is>
          <t>1</t>
        </is>
      </c>
      <c r="H184" t="inlineStr">
        <is>
          <t>No</t>
        </is>
      </c>
      <c r="I184" t="inlineStr">
        <is>
          <t>No</t>
        </is>
      </c>
      <c r="J184" t="inlineStr">
        <is>
          <t>0</t>
        </is>
      </c>
      <c r="K184" t="inlineStr">
        <is>
          <t>Wadsworth, George, 1916-</t>
        </is>
      </c>
      <c r="L184" t="inlineStr">
        <is>
          <t>Boca Raton, Fla. : CRC Press, c1984.</t>
        </is>
      </c>
      <c r="M184" t="inlineStr">
        <is>
          <t>1984</t>
        </is>
      </c>
      <c r="O184" t="inlineStr">
        <is>
          <t>eng</t>
        </is>
      </c>
      <c r="P184" t="inlineStr">
        <is>
          <t>xxu</t>
        </is>
      </c>
      <c r="R184" t="inlineStr">
        <is>
          <t xml:space="preserve">QZ </t>
        </is>
      </c>
      <c r="S184" t="n">
        <v>4</v>
      </c>
      <c r="T184" t="n">
        <v>4</v>
      </c>
      <c r="U184" t="inlineStr">
        <is>
          <t>1990-09-25</t>
        </is>
      </c>
      <c r="V184" t="inlineStr">
        <is>
          <t>1990-09-25</t>
        </is>
      </c>
      <c r="W184" t="inlineStr">
        <is>
          <t>1988-02-12</t>
        </is>
      </c>
      <c r="X184" t="inlineStr">
        <is>
          <t>1988-02-12</t>
        </is>
      </c>
      <c r="Y184" t="n">
        <v>178</v>
      </c>
      <c r="Z184" t="n">
        <v>140</v>
      </c>
      <c r="AA184" t="n">
        <v>140</v>
      </c>
      <c r="AB184" t="n">
        <v>1</v>
      </c>
      <c r="AC184" t="n">
        <v>1</v>
      </c>
      <c r="AD184" t="n">
        <v>3</v>
      </c>
      <c r="AE184" t="n">
        <v>3</v>
      </c>
      <c r="AF184" t="n">
        <v>0</v>
      </c>
      <c r="AG184" t="n">
        <v>0</v>
      </c>
      <c r="AH184" t="n">
        <v>1</v>
      </c>
      <c r="AI184" t="n">
        <v>1</v>
      </c>
      <c r="AJ184" t="n">
        <v>2</v>
      </c>
      <c r="AK184" t="n">
        <v>2</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HYPERLINK("https://creighton-primo.hosted.exlibrisgroup.com/primo-explore/search?tab=default_tab&amp;search_scope=EVERYTHING&amp;vid=01CRU&amp;lang=en_US&amp;offset=0&amp;query=any,contains,991001090339702656","Catalog Record")</f>
        <v/>
      </c>
      <c r="AT184">
        <f>HYPERLINK("http://www.worldcat.org/oclc/9083340","WorldCat Record")</f>
        <v/>
      </c>
      <c r="AU184" t="inlineStr">
        <is>
          <t>43558303:eng</t>
        </is>
      </c>
      <c r="AV184" t="inlineStr">
        <is>
          <t>9083340</t>
        </is>
      </c>
      <c r="AW184" t="inlineStr">
        <is>
          <t>991001090339702656</t>
        </is>
      </c>
      <c r="AX184" t="inlineStr">
        <is>
          <t>991001090339702656</t>
        </is>
      </c>
      <c r="AY184" t="inlineStr">
        <is>
          <t>2266661440002656</t>
        </is>
      </c>
      <c r="AZ184" t="inlineStr">
        <is>
          <t>BOOK</t>
        </is>
      </c>
      <c r="BB184" t="inlineStr">
        <is>
          <t>9780849361012</t>
        </is>
      </c>
      <c r="BC184" t="inlineStr">
        <is>
          <t>30001000262164</t>
        </is>
      </c>
      <c r="BD184" t="inlineStr">
        <is>
          <t>893731641</t>
        </is>
      </c>
    </row>
    <row r="185">
      <c r="A185" t="inlineStr">
        <is>
          <t>No</t>
        </is>
      </c>
      <c r="B185" t="inlineStr">
        <is>
          <t>QZ 140 B938p 1984</t>
        </is>
      </c>
      <c r="C185" t="inlineStr">
        <is>
          <t>0                      QZ 0140000B  938p        1984</t>
        </is>
      </c>
      <c r="D185" t="inlineStr">
        <is>
          <t>Pathophysiology : adaptations and alterations in function / Barbara L. Bullock, Pearl Philbrook Rosendahl.</t>
        </is>
      </c>
      <c r="F185" t="inlineStr">
        <is>
          <t>No</t>
        </is>
      </c>
      <c r="G185" t="inlineStr">
        <is>
          <t>1</t>
        </is>
      </c>
      <c r="H185" t="inlineStr">
        <is>
          <t>No</t>
        </is>
      </c>
      <c r="I185" t="inlineStr">
        <is>
          <t>Yes</t>
        </is>
      </c>
      <c r="J185" t="inlineStr">
        <is>
          <t>0</t>
        </is>
      </c>
      <c r="K185" t="inlineStr">
        <is>
          <t>Bullock, Barbara L.</t>
        </is>
      </c>
      <c r="L185" t="inlineStr">
        <is>
          <t>Boston : Little Brown, c1984.</t>
        </is>
      </c>
      <c r="M185" t="inlineStr">
        <is>
          <t>1984</t>
        </is>
      </c>
      <c r="N185" t="inlineStr">
        <is>
          <t>1st. ed.</t>
        </is>
      </c>
      <c r="O185" t="inlineStr">
        <is>
          <t>eng</t>
        </is>
      </c>
      <c r="P185" t="inlineStr">
        <is>
          <t>mau</t>
        </is>
      </c>
      <c r="R185" t="inlineStr">
        <is>
          <t xml:space="preserve">QZ </t>
        </is>
      </c>
      <c r="S185" t="n">
        <v>23</v>
      </c>
      <c r="T185" t="n">
        <v>23</v>
      </c>
      <c r="U185" t="inlineStr">
        <is>
          <t>1998-09-25</t>
        </is>
      </c>
      <c r="V185" t="inlineStr">
        <is>
          <t>1998-09-25</t>
        </is>
      </c>
      <c r="W185" t="inlineStr">
        <is>
          <t>1988-02-12</t>
        </is>
      </c>
      <c r="X185" t="inlineStr">
        <is>
          <t>1988-02-12</t>
        </is>
      </c>
      <c r="Y185" t="n">
        <v>176</v>
      </c>
      <c r="Z185" t="n">
        <v>149</v>
      </c>
      <c r="AA185" t="n">
        <v>504</v>
      </c>
      <c r="AB185" t="n">
        <v>1</v>
      </c>
      <c r="AC185" t="n">
        <v>2</v>
      </c>
      <c r="AD185" t="n">
        <v>5</v>
      </c>
      <c r="AE185" t="n">
        <v>18</v>
      </c>
      <c r="AF185" t="n">
        <v>2</v>
      </c>
      <c r="AG185" t="n">
        <v>10</v>
      </c>
      <c r="AH185" t="n">
        <v>1</v>
      </c>
      <c r="AI185" t="n">
        <v>4</v>
      </c>
      <c r="AJ185" t="n">
        <v>4</v>
      </c>
      <c r="AK185" t="n">
        <v>11</v>
      </c>
      <c r="AL185" t="n">
        <v>0</v>
      </c>
      <c r="AM185" t="n">
        <v>0</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HYPERLINK("https://creighton-primo.hosted.exlibrisgroup.com/primo-explore/search?tab=default_tab&amp;search_scope=EVERYTHING&amp;vid=01CRU&amp;lang=en_US&amp;offset=0&amp;query=any,contains,991001090789702656","Catalog Record")</f>
        <v/>
      </c>
      <c r="AT185">
        <f>HYPERLINK("http://www.worldcat.org/oclc/10447911","WorldCat Record")</f>
        <v/>
      </c>
      <c r="AU185" t="inlineStr">
        <is>
          <t>3637904:eng</t>
        </is>
      </c>
      <c r="AV185" t="inlineStr">
        <is>
          <t>10447911</t>
        </is>
      </c>
      <c r="AW185" t="inlineStr">
        <is>
          <t>991001090789702656</t>
        </is>
      </c>
      <c r="AX185" t="inlineStr">
        <is>
          <t>991001090789702656</t>
        </is>
      </c>
      <c r="AY185" t="inlineStr">
        <is>
          <t>2268653480002656</t>
        </is>
      </c>
      <c r="AZ185" t="inlineStr">
        <is>
          <t>BOOK</t>
        </is>
      </c>
      <c r="BB185" t="inlineStr">
        <is>
          <t>9780316114790</t>
        </is>
      </c>
      <c r="BC185" t="inlineStr">
        <is>
          <t>30001000262420</t>
        </is>
      </c>
      <c r="BD185" t="inlineStr">
        <is>
          <t>893816083</t>
        </is>
      </c>
    </row>
    <row r="186">
      <c r="A186" t="inlineStr">
        <is>
          <t>No</t>
        </is>
      </c>
      <c r="B186" t="inlineStr">
        <is>
          <t>QZ 140 F848e 2004</t>
        </is>
      </c>
      <c r="C186" t="inlineStr">
        <is>
          <t>0                      QZ 0140000F  848e        2004</t>
        </is>
      </c>
      <c r="D186" t="inlineStr">
        <is>
          <t>Essentials of human diseases and conditions / Margaret Schell Frazier, Jeanette Wist Drzymkowski.</t>
        </is>
      </c>
      <c r="F186" t="inlineStr">
        <is>
          <t>No</t>
        </is>
      </c>
      <c r="G186" t="inlineStr">
        <is>
          <t>1</t>
        </is>
      </c>
      <c r="H186" t="inlineStr">
        <is>
          <t>Yes</t>
        </is>
      </c>
      <c r="I186" t="inlineStr">
        <is>
          <t>Yes</t>
        </is>
      </c>
      <c r="J186" t="inlineStr">
        <is>
          <t>0</t>
        </is>
      </c>
      <c r="K186" t="inlineStr">
        <is>
          <t>Frazier, Margaret Schell.</t>
        </is>
      </c>
      <c r="L186" t="inlineStr">
        <is>
          <t>St. Louis, MO : Saunders, c2004.</t>
        </is>
      </c>
      <c r="M186" t="inlineStr">
        <is>
          <t>2004</t>
        </is>
      </c>
      <c r="N186" t="inlineStr">
        <is>
          <t>3rd ed.</t>
        </is>
      </c>
      <c r="O186" t="inlineStr">
        <is>
          <t>eng</t>
        </is>
      </c>
      <c r="P186" t="inlineStr">
        <is>
          <t>mou</t>
        </is>
      </c>
      <c r="R186" t="inlineStr">
        <is>
          <t xml:space="preserve">QZ </t>
        </is>
      </c>
      <c r="S186" t="n">
        <v>2</v>
      </c>
      <c r="T186" t="n">
        <v>3</v>
      </c>
      <c r="U186" t="inlineStr">
        <is>
          <t>2001-07-19</t>
        </is>
      </c>
      <c r="V186" t="inlineStr">
        <is>
          <t>2004-11-02</t>
        </is>
      </c>
      <c r="W186" t="inlineStr">
        <is>
          <t>2000-07-20</t>
        </is>
      </c>
      <c r="X186" t="inlineStr">
        <is>
          <t>2004-09-13</t>
        </is>
      </c>
      <c r="Y186" t="n">
        <v>200</v>
      </c>
      <c r="Z186" t="n">
        <v>171</v>
      </c>
      <c r="AA186" t="n">
        <v>670</v>
      </c>
      <c r="AB186" t="n">
        <v>2</v>
      </c>
      <c r="AC186" t="n">
        <v>6</v>
      </c>
      <c r="AD186" t="n">
        <v>3</v>
      </c>
      <c r="AE186" t="n">
        <v>13</v>
      </c>
      <c r="AF186" t="n">
        <v>0</v>
      </c>
      <c r="AG186" t="n">
        <v>3</v>
      </c>
      <c r="AH186" t="n">
        <v>1</v>
      </c>
      <c r="AI186" t="n">
        <v>1</v>
      </c>
      <c r="AJ186" t="n">
        <v>2</v>
      </c>
      <c r="AK186" t="n">
        <v>6</v>
      </c>
      <c r="AL186" t="n">
        <v>1</v>
      </c>
      <c r="AM186" t="n">
        <v>4</v>
      </c>
      <c r="AN186" t="n">
        <v>0</v>
      </c>
      <c r="AO186" t="n">
        <v>0</v>
      </c>
      <c r="AP186" t="inlineStr">
        <is>
          <t>No</t>
        </is>
      </c>
      <c r="AQ186" t="inlineStr">
        <is>
          <t>Yes</t>
        </is>
      </c>
      <c r="AR186">
        <f>HYPERLINK("http://catalog.hathitrust.org/Record/004735848","HathiTrust Record")</f>
        <v/>
      </c>
      <c r="AS186">
        <f>HYPERLINK("https://creighton-primo.hosted.exlibrisgroup.com/primo-explore/search?tab=default_tab&amp;search_scope=EVERYTHING&amp;vid=01CRU&amp;lang=en_US&amp;offset=0&amp;query=any,contains,991001729799702656","Catalog Record")</f>
        <v/>
      </c>
      <c r="AT186">
        <f>HYPERLINK("http://www.worldcat.org/oclc/56367482","WorldCat Record")</f>
        <v/>
      </c>
      <c r="AU186" t="inlineStr">
        <is>
          <t>2706263:eng</t>
        </is>
      </c>
      <c r="AV186" t="inlineStr">
        <is>
          <t>56367482</t>
        </is>
      </c>
      <c r="AW186" t="inlineStr">
        <is>
          <t>991001729799702656</t>
        </is>
      </c>
      <c r="AX186" t="inlineStr">
        <is>
          <t>991001729799702656</t>
        </is>
      </c>
      <c r="AY186" t="inlineStr">
        <is>
          <t>2258344080002656</t>
        </is>
      </c>
      <c r="AZ186" t="inlineStr">
        <is>
          <t>BOOK</t>
        </is>
      </c>
      <c r="BB186" t="inlineStr">
        <is>
          <t>9780721602561</t>
        </is>
      </c>
      <c r="BC186" t="inlineStr">
        <is>
          <t>30001003884378</t>
        </is>
      </c>
      <c r="BD186" t="inlineStr">
        <is>
          <t>893149398</t>
        </is>
      </c>
    </row>
    <row r="187">
      <c r="A187" t="inlineStr">
        <is>
          <t>No</t>
        </is>
      </c>
      <c r="B187" t="inlineStr">
        <is>
          <t>QZ140 F848E 2004</t>
        </is>
      </c>
      <c r="C187" t="inlineStr">
        <is>
          <t>0                      QZ 0140000F  848E        2004</t>
        </is>
      </c>
      <c r="D187" t="inlineStr">
        <is>
          <t>Essentials of human diseases and conditions / Margaret Schell Frazier, Jeanette Wist Drzymkowski.</t>
        </is>
      </c>
      <c r="F187" t="inlineStr">
        <is>
          <t>No</t>
        </is>
      </c>
      <c r="G187" t="inlineStr">
        <is>
          <t>1</t>
        </is>
      </c>
      <c r="H187" t="inlineStr">
        <is>
          <t>Yes</t>
        </is>
      </c>
      <c r="I187" t="inlineStr">
        <is>
          <t>Yes</t>
        </is>
      </c>
      <c r="J187" t="inlineStr">
        <is>
          <t>0</t>
        </is>
      </c>
      <c r="K187" t="inlineStr">
        <is>
          <t>Frazier, Margaret Schell.</t>
        </is>
      </c>
      <c r="L187" t="inlineStr">
        <is>
          <t>St. Louis, MO : Saunders, c2004.</t>
        </is>
      </c>
      <c r="M187" t="inlineStr">
        <is>
          <t>2004</t>
        </is>
      </c>
      <c r="N187" t="inlineStr">
        <is>
          <t>3rd ed.</t>
        </is>
      </c>
      <c r="O187" t="inlineStr">
        <is>
          <t>eng</t>
        </is>
      </c>
      <c r="P187" t="inlineStr">
        <is>
          <t>mou</t>
        </is>
      </c>
      <c r="R187" t="inlineStr">
        <is>
          <t xml:space="preserve">QZ </t>
        </is>
      </c>
      <c r="S187" t="n">
        <v>1</v>
      </c>
      <c r="T187" t="n">
        <v>3</v>
      </c>
      <c r="U187" t="inlineStr">
        <is>
          <t>2004-11-02</t>
        </is>
      </c>
      <c r="V187" t="inlineStr">
        <is>
          <t>2004-11-02</t>
        </is>
      </c>
      <c r="W187" t="inlineStr">
        <is>
          <t>2004-09-13</t>
        </is>
      </c>
      <c r="X187" t="inlineStr">
        <is>
          <t>2004-09-13</t>
        </is>
      </c>
      <c r="Y187" t="n">
        <v>200</v>
      </c>
      <c r="Z187" t="n">
        <v>171</v>
      </c>
      <c r="AA187" t="n">
        <v>670</v>
      </c>
      <c r="AB187" t="n">
        <v>2</v>
      </c>
      <c r="AC187" t="n">
        <v>6</v>
      </c>
      <c r="AD187" t="n">
        <v>3</v>
      </c>
      <c r="AE187" t="n">
        <v>13</v>
      </c>
      <c r="AF187" t="n">
        <v>0</v>
      </c>
      <c r="AG187" t="n">
        <v>3</v>
      </c>
      <c r="AH187" t="n">
        <v>1</v>
      </c>
      <c r="AI187" t="n">
        <v>1</v>
      </c>
      <c r="AJ187" t="n">
        <v>2</v>
      </c>
      <c r="AK187" t="n">
        <v>6</v>
      </c>
      <c r="AL187" t="n">
        <v>1</v>
      </c>
      <c r="AM187" t="n">
        <v>4</v>
      </c>
      <c r="AN187" t="n">
        <v>0</v>
      </c>
      <c r="AO187" t="n">
        <v>0</v>
      </c>
      <c r="AP187" t="inlineStr">
        <is>
          <t>No</t>
        </is>
      </c>
      <c r="AQ187" t="inlineStr">
        <is>
          <t>Yes</t>
        </is>
      </c>
      <c r="AR187">
        <f>HYPERLINK("http://catalog.hathitrust.org/Record/004735848","HathiTrust Record")</f>
        <v/>
      </c>
      <c r="AS187">
        <f>HYPERLINK("https://creighton-primo.hosted.exlibrisgroup.com/primo-explore/search?tab=default_tab&amp;search_scope=EVERYTHING&amp;vid=01CRU&amp;lang=en_US&amp;offset=0&amp;query=any,contains,991001729799702656","Catalog Record")</f>
        <v/>
      </c>
      <c r="AT187">
        <f>HYPERLINK("http://www.worldcat.org/oclc/56367482","WorldCat Record")</f>
        <v/>
      </c>
      <c r="AU187" t="inlineStr">
        <is>
          <t>2706263:eng</t>
        </is>
      </c>
      <c r="AV187" t="inlineStr">
        <is>
          <t>56367482</t>
        </is>
      </c>
      <c r="AW187" t="inlineStr">
        <is>
          <t>991001729799702656</t>
        </is>
      </c>
      <c r="AX187" t="inlineStr">
        <is>
          <t>991001729799702656</t>
        </is>
      </c>
      <c r="AY187" t="inlineStr">
        <is>
          <t>2258344080002656</t>
        </is>
      </c>
      <c r="AZ187" t="inlineStr">
        <is>
          <t>BOOK</t>
        </is>
      </c>
      <c r="BB187" t="inlineStr">
        <is>
          <t>9780721602561</t>
        </is>
      </c>
      <c r="BC187" t="inlineStr">
        <is>
          <t>30001004921591</t>
        </is>
      </c>
      <c r="BD187" t="inlineStr">
        <is>
          <t>893121796</t>
        </is>
      </c>
    </row>
    <row r="188">
      <c r="A188" t="inlineStr">
        <is>
          <t>No</t>
        </is>
      </c>
      <c r="B188" t="inlineStr">
        <is>
          <t>QZ 140 G653p 1998</t>
        </is>
      </c>
      <c r="C188" t="inlineStr">
        <is>
          <t>0                      QZ 0140000G  653p        1998</t>
        </is>
      </c>
      <c r="D188" t="inlineStr">
        <is>
          <t>Pathology : implications for the physical therapist / Catherine Cavallaro Goodman, William G. Boissonnault.</t>
        </is>
      </c>
      <c r="F188" t="inlineStr">
        <is>
          <t>No</t>
        </is>
      </c>
      <c r="G188" t="inlineStr">
        <is>
          <t>1</t>
        </is>
      </c>
      <c r="H188" t="inlineStr">
        <is>
          <t>No</t>
        </is>
      </c>
      <c r="I188" t="inlineStr">
        <is>
          <t>Yes</t>
        </is>
      </c>
      <c r="J188" t="inlineStr">
        <is>
          <t>0</t>
        </is>
      </c>
      <c r="K188" t="inlineStr">
        <is>
          <t>Goodman, Catherine Cavallaro.</t>
        </is>
      </c>
      <c r="L188" t="inlineStr">
        <is>
          <t>Philadelphia : Saunders, c1998.</t>
        </is>
      </c>
      <c r="M188" t="inlineStr">
        <is>
          <t>1998</t>
        </is>
      </c>
      <c r="O188" t="inlineStr">
        <is>
          <t>eng</t>
        </is>
      </c>
      <c r="P188" t="inlineStr">
        <is>
          <t>pau</t>
        </is>
      </c>
      <c r="R188" t="inlineStr">
        <is>
          <t xml:space="preserve">QZ </t>
        </is>
      </c>
      <c r="S188" t="n">
        <v>64</v>
      </c>
      <c r="T188" t="n">
        <v>64</v>
      </c>
      <c r="U188" t="inlineStr">
        <is>
          <t>2007-01-21</t>
        </is>
      </c>
      <c r="V188" t="inlineStr">
        <is>
          <t>2007-01-21</t>
        </is>
      </c>
      <c r="W188" t="inlineStr">
        <is>
          <t>1999-02-02</t>
        </is>
      </c>
      <c r="X188" t="inlineStr">
        <is>
          <t>1999-02-02</t>
        </is>
      </c>
      <c r="Y188" t="n">
        <v>212</v>
      </c>
      <c r="Z188" t="n">
        <v>164</v>
      </c>
      <c r="AA188" t="n">
        <v>456</v>
      </c>
      <c r="AB188" t="n">
        <v>1</v>
      </c>
      <c r="AC188" t="n">
        <v>1</v>
      </c>
      <c r="AD188" t="n">
        <v>5</v>
      </c>
      <c r="AE188" t="n">
        <v>16</v>
      </c>
      <c r="AF188" t="n">
        <v>4</v>
      </c>
      <c r="AG188" t="n">
        <v>10</v>
      </c>
      <c r="AH188" t="n">
        <v>1</v>
      </c>
      <c r="AI188" t="n">
        <v>2</v>
      </c>
      <c r="AJ188" t="n">
        <v>2</v>
      </c>
      <c r="AK188" t="n">
        <v>6</v>
      </c>
      <c r="AL188" t="n">
        <v>0</v>
      </c>
      <c r="AM188" t="n">
        <v>0</v>
      </c>
      <c r="AN188" t="n">
        <v>0</v>
      </c>
      <c r="AO188" t="n">
        <v>0</v>
      </c>
      <c r="AP188" t="inlineStr">
        <is>
          <t>No</t>
        </is>
      </c>
      <c r="AQ188" t="inlineStr">
        <is>
          <t>Yes</t>
        </is>
      </c>
      <c r="AR188">
        <f>HYPERLINK("http://catalog.hathitrust.org/Record/003959870","HathiTrust Record")</f>
        <v/>
      </c>
      <c r="AS188">
        <f>HYPERLINK("https://creighton-primo.hosted.exlibrisgroup.com/primo-explore/search?tab=default_tab&amp;search_scope=EVERYTHING&amp;vid=01CRU&amp;lang=en_US&amp;offset=0&amp;query=any,contains,991001533949702656","Catalog Record")</f>
        <v/>
      </c>
      <c r="AT188">
        <f>HYPERLINK("http://www.worldcat.org/oclc/36430954","WorldCat Record")</f>
        <v/>
      </c>
      <c r="AU188" t="inlineStr">
        <is>
          <t>792048390:eng</t>
        </is>
      </c>
      <c r="AV188" t="inlineStr">
        <is>
          <t>36430954</t>
        </is>
      </c>
      <c r="AW188" t="inlineStr">
        <is>
          <t>991001533949702656</t>
        </is>
      </c>
      <c r="AX188" t="inlineStr">
        <is>
          <t>991001533949702656</t>
        </is>
      </c>
      <c r="AY188" t="inlineStr">
        <is>
          <t>2267841930002656</t>
        </is>
      </c>
      <c r="AZ188" t="inlineStr">
        <is>
          <t>BOOK</t>
        </is>
      </c>
      <c r="BB188" t="inlineStr">
        <is>
          <t>9780721656366</t>
        </is>
      </c>
      <c r="BC188" t="inlineStr">
        <is>
          <t>30001003962299</t>
        </is>
      </c>
      <c r="BD188" t="inlineStr">
        <is>
          <t>893649305</t>
        </is>
      </c>
    </row>
    <row r="189">
      <c r="A189" t="inlineStr">
        <is>
          <t>No</t>
        </is>
      </c>
      <c r="B189" t="inlineStr">
        <is>
          <t>QZ 140 H569s 1971</t>
        </is>
      </c>
      <c r="C189" t="inlineStr">
        <is>
          <t>0                      QZ 0140000H  569s        1971</t>
        </is>
      </c>
      <c r="D189" t="inlineStr">
        <is>
          <t>Septic shock in man : [proceedings] / Edited by S. G. Hershey, Louis R. M. Del Guercio [and] Rita McConn. Foreword by John M. Howard and Sam F. Seeley.</t>
        </is>
      </c>
      <c r="F189" t="inlineStr">
        <is>
          <t>No</t>
        </is>
      </c>
      <c r="G189" t="inlineStr">
        <is>
          <t>1</t>
        </is>
      </c>
      <c r="H189" t="inlineStr">
        <is>
          <t>No</t>
        </is>
      </c>
      <c r="I189" t="inlineStr">
        <is>
          <t>No</t>
        </is>
      </c>
      <c r="J189" t="inlineStr">
        <is>
          <t>0</t>
        </is>
      </c>
      <c r="K189" t="inlineStr">
        <is>
          <t>Conference on the Dynamics of Septic Shock in Man (1968 : Albert Einstein College of Medicine)</t>
        </is>
      </c>
      <c r="L189" t="inlineStr">
        <is>
          <t>Boston : Little, Brown, [1971]</t>
        </is>
      </c>
      <c r="M189" t="inlineStr">
        <is>
          <t>1971</t>
        </is>
      </c>
      <c r="N189" t="inlineStr">
        <is>
          <t>[1st ed.]</t>
        </is>
      </c>
      <c r="O189" t="inlineStr">
        <is>
          <t>eng</t>
        </is>
      </c>
      <c r="P189" t="inlineStr">
        <is>
          <t>mau</t>
        </is>
      </c>
      <c r="R189" t="inlineStr">
        <is>
          <t xml:space="preserve">QZ </t>
        </is>
      </c>
      <c r="S189" t="n">
        <v>8</v>
      </c>
      <c r="T189" t="n">
        <v>8</v>
      </c>
      <c r="U189" t="inlineStr">
        <is>
          <t>2001-09-18</t>
        </is>
      </c>
      <c r="V189" t="inlineStr">
        <is>
          <t>2001-09-18</t>
        </is>
      </c>
      <c r="W189" t="inlineStr">
        <is>
          <t>1988-03-27</t>
        </is>
      </c>
      <c r="X189" t="inlineStr">
        <is>
          <t>1988-03-27</t>
        </is>
      </c>
      <c r="Y189" t="n">
        <v>115</v>
      </c>
      <c r="Z189" t="n">
        <v>78</v>
      </c>
      <c r="AA189" t="n">
        <v>80</v>
      </c>
      <c r="AB189" t="n">
        <v>1</v>
      </c>
      <c r="AC189" t="n">
        <v>1</v>
      </c>
      <c r="AD189" t="n">
        <v>1</v>
      </c>
      <c r="AE189" t="n">
        <v>1</v>
      </c>
      <c r="AF189" t="n">
        <v>0</v>
      </c>
      <c r="AG189" t="n">
        <v>0</v>
      </c>
      <c r="AH189" t="n">
        <v>0</v>
      </c>
      <c r="AI189" t="n">
        <v>0</v>
      </c>
      <c r="AJ189" t="n">
        <v>1</v>
      </c>
      <c r="AK189" t="n">
        <v>1</v>
      </c>
      <c r="AL189" t="n">
        <v>0</v>
      </c>
      <c r="AM189" t="n">
        <v>0</v>
      </c>
      <c r="AN189" t="n">
        <v>0</v>
      </c>
      <c r="AO189" t="n">
        <v>0</v>
      </c>
      <c r="AP189" t="inlineStr">
        <is>
          <t>No</t>
        </is>
      </c>
      <c r="AQ189" t="inlineStr">
        <is>
          <t>Yes</t>
        </is>
      </c>
      <c r="AR189">
        <f>HYPERLINK("http://catalog.hathitrust.org/Record/001562280","HathiTrust Record")</f>
        <v/>
      </c>
      <c r="AS189">
        <f>HYPERLINK("https://creighton-primo.hosted.exlibrisgroup.com/primo-explore/search?tab=default_tab&amp;search_scope=EVERYTHING&amp;vid=01CRU&amp;lang=en_US&amp;offset=0&amp;query=any,contains,991001090429702656","Catalog Record")</f>
        <v/>
      </c>
      <c r="AT189">
        <f>HYPERLINK("http://www.worldcat.org/oclc/216237","WorldCat Record")</f>
        <v/>
      </c>
      <c r="AU189" t="inlineStr">
        <is>
          <t>1306344:eng</t>
        </is>
      </c>
      <c r="AV189" t="inlineStr">
        <is>
          <t>216237</t>
        </is>
      </c>
      <c r="AW189" t="inlineStr">
        <is>
          <t>991001090429702656</t>
        </is>
      </c>
      <c r="AX189" t="inlineStr">
        <is>
          <t>991001090429702656</t>
        </is>
      </c>
      <c r="AY189" t="inlineStr">
        <is>
          <t>2257046970002656</t>
        </is>
      </c>
      <c r="AZ189" t="inlineStr">
        <is>
          <t>BOOK</t>
        </is>
      </c>
      <c r="BC189" t="inlineStr">
        <is>
          <t>30001000262222</t>
        </is>
      </c>
      <c r="BD189" t="inlineStr">
        <is>
          <t>893284376</t>
        </is>
      </c>
    </row>
    <row r="190">
      <c r="A190" t="inlineStr">
        <is>
          <t>No</t>
        </is>
      </c>
      <c r="B190" t="inlineStr">
        <is>
          <t>QZ 140 M96158 1996</t>
        </is>
      </c>
      <c r="C190" t="inlineStr">
        <is>
          <t>0                      QZ 0140000M  96158       1996</t>
        </is>
      </c>
      <c r="D190" t="inlineStr">
        <is>
          <t>Multiple organ dysfunction &amp; failure : pathophysiology and clinical implications / [edited by] Virginia Huddleston Secor.</t>
        </is>
      </c>
      <c r="F190" t="inlineStr">
        <is>
          <t>No</t>
        </is>
      </c>
      <c r="G190" t="inlineStr">
        <is>
          <t>1</t>
        </is>
      </c>
      <c r="H190" t="inlineStr">
        <is>
          <t>No</t>
        </is>
      </c>
      <c r="I190" t="inlineStr">
        <is>
          <t>No</t>
        </is>
      </c>
      <c r="J190" t="inlineStr">
        <is>
          <t>0</t>
        </is>
      </c>
      <c r="L190" t="inlineStr">
        <is>
          <t>St. Louis : Mosby, c1996.</t>
        </is>
      </c>
      <c r="M190" t="inlineStr">
        <is>
          <t>1996</t>
        </is>
      </c>
      <c r="N190" t="inlineStr">
        <is>
          <t>2nd ed.</t>
        </is>
      </c>
      <c r="O190" t="inlineStr">
        <is>
          <t>eng</t>
        </is>
      </c>
      <c r="P190" t="inlineStr">
        <is>
          <t>mou</t>
        </is>
      </c>
      <c r="R190" t="inlineStr">
        <is>
          <t xml:space="preserve">QZ </t>
        </is>
      </c>
      <c r="S190" t="n">
        <v>3</v>
      </c>
      <c r="T190" t="n">
        <v>3</v>
      </c>
      <c r="U190" t="inlineStr">
        <is>
          <t>2001-08-27</t>
        </is>
      </c>
      <c r="V190" t="inlineStr">
        <is>
          <t>2001-08-27</t>
        </is>
      </c>
      <c r="W190" t="inlineStr">
        <is>
          <t>1998-01-29</t>
        </is>
      </c>
      <c r="X190" t="inlineStr">
        <is>
          <t>1998-01-29</t>
        </is>
      </c>
      <c r="Y190" t="n">
        <v>187</v>
      </c>
      <c r="Z190" t="n">
        <v>156</v>
      </c>
      <c r="AA190" t="n">
        <v>163</v>
      </c>
      <c r="AB190" t="n">
        <v>2</v>
      </c>
      <c r="AC190" t="n">
        <v>2</v>
      </c>
      <c r="AD190" t="n">
        <v>7</v>
      </c>
      <c r="AE190" t="n">
        <v>7</v>
      </c>
      <c r="AF190" t="n">
        <v>1</v>
      </c>
      <c r="AG190" t="n">
        <v>1</v>
      </c>
      <c r="AH190" t="n">
        <v>3</v>
      </c>
      <c r="AI190" t="n">
        <v>3</v>
      </c>
      <c r="AJ190" t="n">
        <v>3</v>
      </c>
      <c r="AK190" t="n">
        <v>3</v>
      </c>
      <c r="AL190" t="n">
        <v>1</v>
      </c>
      <c r="AM190" t="n">
        <v>1</v>
      </c>
      <c r="AN190" t="n">
        <v>0</v>
      </c>
      <c r="AO190" t="n">
        <v>0</v>
      </c>
      <c r="AP190" t="inlineStr">
        <is>
          <t>No</t>
        </is>
      </c>
      <c r="AQ190" t="inlineStr">
        <is>
          <t>Yes</t>
        </is>
      </c>
      <c r="AR190">
        <f>HYPERLINK("http://catalog.hathitrust.org/Record/003067565","HathiTrust Record")</f>
        <v/>
      </c>
      <c r="AS190">
        <f>HYPERLINK("https://creighton-primo.hosted.exlibrisgroup.com/primo-explore/search?tab=default_tab&amp;search_scope=EVERYTHING&amp;vid=01CRU&amp;lang=en_US&amp;offset=0&amp;query=any,contains,991001135019702656","Catalog Record")</f>
        <v/>
      </c>
      <c r="AT190">
        <f>HYPERLINK("http://www.worldcat.org/oclc/34470942","WorldCat Record")</f>
        <v/>
      </c>
      <c r="AU190" t="inlineStr">
        <is>
          <t>39711868:eng</t>
        </is>
      </c>
      <c r="AV190" t="inlineStr">
        <is>
          <t>34470942</t>
        </is>
      </c>
      <c r="AW190" t="inlineStr">
        <is>
          <t>991001135019702656</t>
        </is>
      </c>
      <c r="AX190" t="inlineStr">
        <is>
          <t>991001135019702656</t>
        </is>
      </c>
      <c r="AY190" t="inlineStr">
        <is>
          <t>2268004450002656</t>
        </is>
      </c>
      <c r="AZ190" t="inlineStr">
        <is>
          <t>BOOK</t>
        </is>
      </c>
      <c r="BB190" t="inlineStr">
        <is>
          <t>9780815143253</t>
        </is>
      </c>
      <c r="BC190" t="inlineStr">
        <is>
          <t>30001003626183</t>
        </is>
      </c>
      <c r="BD190" t="inlineStr">
        <is>
          <t>893820939</t>
        </is>
      </c>
    </row>
    <row r="191">
      <c r="A191" t="inlineStr">
        <is>
          <t>No</t>
        </is>
      </c>
      <c r="B191" t="inlineStr">
        <is>
          <t>QZ 140 O68 1994</t>
        </is>
      </c>
      <c r="C191" t="inlineStr">
        <is>
          <t>0                      QZ 0140000O  68          1994</t>
        </is>
      </c>
      <c r="D191" t="inlineStr">
        <is>
          <t>Organ metabolism and nutrition : ideas for future critical care / editors, John M. Kinney, Hugh N. Tucker.</t>
        </is>
      </c>
      <c r="F191" t="inlineStr">
        <is>
          <t>No</t>
        </is>
      </c>
      <c r="G191" t="inlineStr">
        <is>
          <t>1</t>
        </is>
      </c>
      <c r="H191" t="inlineStr">
        <is>
          <t>No</t>
        </is>
      </c>
      <c r="I191" t="inlineStr">
        <is>
          <t>No</t>
        </is>
      </c>
      <c r="J191" t="inlineStr">
        <is>
          <t>0</t>
        </is>
      </c>
      <c r="L191" t="inlineStr">
        <is>
          <t>New York, NY : Raven Press, c1994.</t>
        </is>
      </c>
      <c r="M191" t="inlineStr">
        <is>
          <t>1994</t>
        </is>
      </c>
      <c r="O191" t="inlineStr">
        <is>
          <t>eng</t>
        </is>
      </c>
      <c r="P191" t="inlineStr">
        <is>
          <t>nyu</t>
        </is>
      </c>
      <c r="R191" t="inlineStr">
        <is>
          <t xml:space="preserve">QZ </t>
        </is>
      </c>
      <c r="S191" t="n">
        <v>8</v>
      </c>
      <c r="T191" t="n">
        <v>8</v>
      </c>
      <c r="U191" t="inlineStr">
        <is>
          <t>1996-11-01</t>
        </is>
      </c>
      <c r="V191" t="inlineStr">
        <is>
          <t>1996-11-01</t>
        </is>
      </c>
      <c r="W191" t="inlineStr">
        <is>
          <t>1994-09-07</t>
        </is>
      </c>
      <c r="X191" t="inlineStr">
        <is>
          <t>1994-09-07</t>
        </is>
      </c>
      <c r="Y191" t="n">
        <v>166</v>
      </c>
      <c r="Z191" t="n">
        <v>132</v>
      </c>
      <c r="AA191" t="n">
        <v>139</v>
      </c>
      <c r="AB191" t="n">
        <v>1</v>
      </c>
      <c r="AC191" t="n">
        <v>1</v>
      </c>
      <c r="AD191" t="n">
        <v>2</v>
      </c>
      <c r="AE191" t="n">
        <v>2</v>
      </c>
      <c r="AF191" t="n">
        <v>1</v>
      </c>
      <c r="AG191" t="n">
        <v>1</v>
      </c>
      <c r="AH191" t="n">
        <v>1</v>
      </c>
      <c r="AI191" t="n">
        <v>1</v>
      </c>
      <c r="AJ191" t="n">
        <v>1</v>
      </c>
      <c r="AK191" t="n">
        <v>1</v>
      </c>
      <c r="AL191" t="n">
        <v>0</v>
      </c>
      <c r="AM191" t="n">
        <v>0</v>
      </c>
      <c r="AN191" t="n">
        <v>0</v>
      </c>
      <c r="AO191" t="n">
        <v>0</v>
      </c>
      <c r="AP191" t="inlineStr">
        <is>
          <t>No</t>
        </is>
      </c>
      <c r="AQ191" t="inlineStr">
        <is>
          <t>Yes</t>
        </is>
      </c>
      <c r="AR191">
        <f>HYPERLINK("http://catalog.hathitrust.org/Record/002882688","HathiTrust Record")</f>
        <v/>
      </c>
      <c r="AS191">
        <f>HYPERLINK("https://creighton-primo.hosted.exlibrisgroup.com/primo-explore/search?tab=default_tab&amp;search_scope=EVERYTHING&amp;vid=01CRU&amp;lang=en_US&amp;offset=0&amp;query=any,contains,991000676899702656","Catalog Record")</f>
        <v/>
      </c>
      <c r="AT191">
        <f>HYPERLINK("http://www.worldcat.org/oclc/29185440","WorldCat Record")</f>
        <v/>
      </c>
      <c r="AU191" t="inlineStr">
        <is>
          <t>890632490:eng</t>
        </is>
      </c>
      <c r="AV191" t="inlineStr">
        <is>
          <t>29185440</t>
        </is>
      </c>
      <c r="AW191" t="inlineStr">
        <is>
          <t>991000676899702656</t>
        </is>
      </c>
      <c r="AX191" t="inlineStr">
        <is>
          <t>991000676899702656</t>
        </is>
      </c>
      <c r="AY191" t="inlineStr">
        <is>
          <t>2260879730002656</t>
        </is>
      </c>
      <c r="AZ191" t="inlineStr">
        <is>
          <t>BOOK</t>
        </is>
      </c>
      <c r="BB191" t="inlineStr">
        <is>
          <t>9780781701600</t>
        </is>
      </c>
      <c r="BC191" t="inlineStr">
        <is>
          <t>30001002696609</t>
        </is>
      </c>
      <c r="BD191" t="inlineStr">
        <is>
          <t>893647938</t>
        </is>
      </c>
    </row>
    <row r="192">
      <c r="A192" t="inlineStr">
        <is>
          <t>No</t>
        </is>
      </c>
      <c r="B192" t="inlineStr">
        <is>
          <t>QZ 140 P2945 2003</t>
        </is>
      </c>
      <c r="C192" t="inlineStr">
        <is>
          <t>0                      QZ 0140000P  2945        2003</t>
        </is>
      </c>
      <c r="D192" t="inlineStr">
        <is>
          <t>Pathophysiology of disease : an introduction to clinical medicine / [edited by] Stephen J. McPhee, Vishwanath R. Lingappa, William F. Ganong.</t>
        </is>
      </c>
      <c r="F192" t="inlineStr">
        <is>
          <t>No</t>
        </is>
      </c>
      <c r="G192" t="inlineStr">
        <is>
          <t>1</t>
        </is>
      </c>
      <c r="H192" t="inlineStr">
        <is>
          <t>No</t>
        </is>
      </c>
      <c r="I192" t="inlineStr">
        <is>
          <t>No</t>
        </is>
      </c>
      <c r="J192" t="inlineStr">
        <is>
          <t>3</t>
        </is>
      </c>
      <c r="L192" t="inlineStr">
        <is>
          <t>New York : Lange Medical Books/McGraw-Hill, c2003.</t>
        </is>
      </c>
      <c r="M192" t="inlineStr">
        <is>
          <t>2003</t>
        </is>
      </c>
      <c r="N192" t="inlineStr">
        <is>
          <t>4th ed.</t>
        </is>
      </c>
      <c r="O192" t="inlineStr">
        <is>
          <t>eng</t>
        </is>
      </c>
      <c r="P192" t="inlineStr">
        <is>
          <t>nyu</t>
        </is>
      </c>
      <c r="R192" t="inlineStr">
        <is>
          <t xml:space="preserve">QZ </t>
        </is>
      </c>
      <c r="S192" t="n">
        <v>18</v>
      </c>
      <c r="T192" t="n">
        <v>18</v>
      </c>
      <c r="U192" t="inlineStr">
        <is>
          <t>2003-10-06</t>
        </is>
      </c>
      <c r="V192" t="inlineStr">
        <is>
          <t>2003-10-06</t>
        </is>
      </c>
      <c r="W192" t="inlineStr">
        <is>
          <t>2003-04-28</t>
        </is>
      </c>
      <c r="X192" t="inlineStr">
        <is>
          <t>2003-04-28</t>
        </is>
      </c>
      <c r="Y192" t="n">
        <v>266</v>
      </c>
      <c r="Z192" t="n">
        <v>181</v>
      </c>
      <c r="AA192" t="n">
        <v>701</v>
      </c>
      <c r="AB192" t="n">
        <v>1</v>
      </c>
      <c r="AC192" t="n">
        <v>3</v>
      </c>
      <c r="AD192" t="n">
        <v>5</v>
      </c>
      <c r="AE192" t="n">
        <v>33</v>
      </c>
      <c r="AF192" t="n">
        <v>1</v>
      </c>
      <c r="AG192" t="n">
        <v>16</v>
      </c>
      <c r="AH192" t="n">
        <v>4</v>
      </c>
      <c r="AI192" t="n">
        <v>6</v>
      </c>
      <c r="AJ192" t="n">
        <v>2</v>
      </c>
      <c r="AK192" t="n">
        <v>15</v>
      </c>
      <c r="AL192" t="n">
        <v>0</v>
      </c>
      <c r="AM192" t="n">
        <v>2</v>
      </c>
      <c r="AN192" t="n">
        <v>0</v>
      </c>
      <c r="AO192" t="n">
        <v>0</v>
      </c>
      <c r="AP192" t="inlineStr">
        <is>
          <t>No</t>
        </is>
      </c>
      <c r="AQ192" t="inlineStr">
        <is>
          <t>Yes</t>
        </is>
      </c>
      <c r="AR192">
        <f>HYPERLINK("http://catalog.hathitrust.org/Record/004288302","HathiTrust Record")</f>
        <v/>
      </c>
      <c r="AS192">
        <f>HYPERLINK("https://creighton-primo.hosted.exlibrisgroup.com/primo-explore/search?tab=default_tab&amp;search_scope=EVERYTHING&amp;vid=01CRU&amp;lang=en_US&amp;offset=0&amp;query=any,contains,991000346219702656","Catalog Record")</f>
        <v/>
      </c>
      <c r="AT192">
        <f>HYPERLINK("http://www.worldcat.org/oclc/50883306","WorldCat Record")</f>
        <v/>
      </c>
      <c r="AU192" t="inlineStr">
        <is>
          <t>794152473:eng</t>
        </is>
      </c>
      <c r="AV192" t="inlineStr">
        <is>
          <t>50883306</t>
        </is>
      </c>
      <c r="AW192" t="inlineStr">
        <is>
          <t>991000346219702656</t>
        </is>
      </c>
      <c r="AX192" t="inlineStr">
        <is>
          <t>991000346219702656</t>
        </is>
      </c>
      <c r="AY192" t="inlineStr">
        <is>
          <t>2259268670002656</t>
        </is>
      </c>
      <c r="AZ192" t="inlineStr">
        <is>
          <t>BOOK</t>
        </is>
      </c>
      <c r="BB192" t="inlineStr">
        <is>
          <t>9780071212403</t>
        </is>
      </c>
      <c r="BC192" t="inlineStr">
        <is>
          <t>30001004634889</t>
        </is>
      </c>
      <c r="BD192" t="inlineStr">
        <is>
          <t>893285514</t>
        </is>
      </c>
    </row>
    <row r="193">
      <c r="A193" t="inlineStr">
        <is>
          <t>No</t>
        </is>
      </c>
      <c r="B193" t="inlineStr">
        <is>
          <t>QZ 140 P296 1982</t>
        </is>
      </c>
      <c r="C193" t="inlineStr">
        <is>
          <t>0                      QZ 0140000P  296         1982</t>
        </is>
      </c>
      <c r="D193" t="inlineStr">
        <is>
          <t>Pathophysiology of shock, anoxia, and ischemia / [edited by] R Adams Cowley, Benjamin F. Trump.</t>
        </is>
      </c>
      <c r="F193" t="inlineStr">
        <is>
          <t>No</t>
        </is>
      </c>
      <c r="G193" t="inlineStr">
        <is>
          <t>1</t>
        </is>
      </c>
      <c r="H193" t="inlineStr">
        <is>
          <t>No</t>
        </is>
      </c>
      <c r="I193" t="inlineStr">
        <is>
          <t>No</t>
        </is>
      </c>
      <c r="J193" t="inlineStr">
        <is>
          <t>0</t>
        </is>
      </c>
      <c r="L193" t="inlineStr">
        <is>
          <t>Baltimore : Williams &amp; Wilkins, c1982.</t>
        </is>
      </c>
      <c r="M193" t="inlineStr">
        <is>
          <t>1982</t>
        </is>
      </c>
      <c r="O193" t="inlineStr">
        <is>
          <t>eng</t>
        </is>
      </c>
      <c r="P193" t="inlineStr">
        <is>
          <t>xxu</t>
        </is>
      </c>
      <c r="R193" t="inlineStr">
        <is>
          <t xml:space="preserve">QZ </t>
        </is>
      </c>
      <c r="S193" t="n">
        <v>17</v>
      </c>
      <c r="T193" t="n">
        <v>17</v>
      </c>
      <c r="U193" t="inlineStr">
        <is>
          <t>1995-07-13</t>
        </is>
      </c>
      <c r="V193" t="inlineStr">
        <is>
          <t>1995-07-13</t>
        </is>
      </c>
      <c r="W193" t="inlineStr">
        <is>
          <t>1988-02-12</t>
        </is>
      </c>
      <c r="X193" t="inlineStr">
        <is>
          <t>1988-02-12</t>
        </is>
      </c>
      <c r="Y193" t="n">
        <v>203</v>
      </c>
      <c r="Z193" t="n">
        <v>138</v>
      </c>
      <c r="AA193" t="n">
        <v>140</v>
      </c>
      <c r="AB193" t="n">
        <v>1</v>
      </c>
      <c r="AC193" t="n">
        <v>1</v>
      </c>
      <c r="AD193" t="n">
        <v>1</v>
      </c>
      <c r="AE193" t="n">
        <v>1</v>
      </c>
      <c r="AF193" t="n">
        <v>0</v>
      </c>
      <c r="AG193" t="n">
        <v>0</v>
      </c>
      <c r="AH193" t="n">
        <v>1</v>
      </c>
      <c r="AI193" t="n">
        <v>1</v>
      </c>
      <c r="AJ193" t="n">
        <v>0</v>
      </c>
      <c r="AK193" t="n">
        <v>0</v>
      </c>
      <c r="AL193" t="n">
        <v>0</v>
      </c>
      <c r="AM193" t="n">
        <v>0</v>
      </c>
      <c r="AN193" t="n">
        <v>0</v>
      </c>
      <c r="AO193" t="n">
        <v>0</v>
      </c>
      <c r="AP193" t="inlineStr">
        <is>
          <t>No</t>
        </is>
      </c>
      <c r="AQ193" t="inlineStr">
        <is>
          <t>Yes</t>
        </is>
      </c>
      <c r="AR193">
        <f>HYPERLINK("http://catalog.hathitrust.org/Record/000270624","HathiTrust Record")</f>
        <v/>
      </c>
      <c r="AS193">
        <f>HYPERLINK("https://creighton-primo.hosted.exlibrisgroup.com/primo-explore/search?tab=default_tab&amp;search_scope=EVERYTHING&amp;vid=01CRU&amp;lang=en_US&amp;offset=0&amp;query=any,contains,991001090529702656","Catalog Record")</f>
        <v/>
      </c>
      <c r="AT193">
        <f>HYPERLINK("http://www.worldcat.org/oclc/6648345","WorldCat Record")</f>
        <v/>
      </c>
      <c r="AU193" t="inlineStr">
        <is>
          <t>350056927:eng</t>
        </is>
      </c>
      <c r="AV193" t="inlineStr">
        <is>
          <t>6648345</t>
        </is>
      </c>
      <c r="AW193" t="inlineStr">
        <is>
          <t>991001090529702656</t>
        </is>
      </c>
      <c r="AX193" t="inlineStr">
        <is>
          <t>991001090529702656</t>
        </is>
      </c>
      <c r="AY193" t="inlineStr">
        <is>
          <t>2255499990002656</t>
        </is>
      </c>
      <c r="AZ193" t="inlineStr">
        <is>
          <t>BOOK</t>
        </is>
      </c>
      <c r="BB193" t="inlineStr">
        <is>
          <t>9780683021493</t>
        </is>
      </c>
      <c r="BC193" t="inlineStr">
        <is>
          <t>30001000262255</t>
        </is>
      </c>
      <c r="BD193" t="inlineStr">
        <is>
          <t>893363745</t>
        </is>
      </c>
    </row>
    <row r="194">
      <c r="A194" t="inlineStr">
        <is>
          <t>No</t>
        </is>
      </c>
      <c r="B194" t="inlineStr">
        <is>
          <t>QZ 140 P29856 1989</t>
        </is>
      </c>
      <c r="C194" t="inlineStr">
        <is>
          <t>0                      QZ 0140000P  29856       1989</t>
        </is>
      </c>
      <c r="D194" t="inlineStr">
        <is>
          <t>Pathology : the mechanisms of disease / Roderick A. Cawson ... [et al.].</t>
        </is>
      </c>
      <c r="F194" t="inlineStr">
        <is>
          <t>No</t>
        </is>
      </c>
      <c r="G194" t="inlineStr">
        <is>
          <t>1</t>
        </is>
      </c>
      <c r="H194" t="inlineStr">
        <is>
          <t>No</t>
        </is>
      </c>
      <c r="I194" t="inlineStr">
        <is>
          <t>No</t>
        </is>
      </c>
      <c r="J194" t="inlineStr">
        <is>
          <t>0</t>
        </is>
      </c>
      <c r="L194" t="inlineStr">
        <is>
          <t>St. Louis : Mosby, c1989.</t>
        </is>
      </c>
      <c r="M194" t="inlineStr">
        <is>
          <t>1989</t>
        </is>
      </c>
      <c r="N194" t="inlineStr">
        <is>
          <t>2nd ed.</t>
        </is>
      </c>
      <c r="O194" t="inlineStr">
        <is>
          <t>eng</t>
        </is>
      </c>
      <c r="P194" t="inlineStr">
        <is>
          <t>xxu</t>
        </is>
      </c>
      <c r="R194" t="inlineStr">
        <is>
          <t xml:space="preserve">QZ </t>
        </is>
      </c>
      <c r="S194" t="n">
        <v>35</v>
      </c>
      <c r="T194" t="n">
        <v>35</v>
      </c>
      <c r="U194" t="inlineStr">
        <is>
          <t>1998-11-29</t>
        </is>
      </c>
      <c r="V194" t="inlineStr">
        <is>
          <t>1998-11-29</t>
        </is>
      </c>
      <c r="W194" t="inlineStr">
        <is>
          <t>1989-09-08</t>
        </is>
      </c>
      <c r="X194" t="inlineStr">
        <is>
          <t>1989-09-08</t>
        </is>
      </c>
      <c r="Y194" t="n">
        <v>171</v>
      </c>
      <c r="Z194" t="n">
        <v>105</v>
      </c>
      <c r="AA194" t="n">
        <v>107</v>
      </c>
      <c r="AB194" t="n">
        <v>1</v>
      </c>
      <c r="AC194" t="n">
        <v>1</v>
      </c>
      <c r="AD194" t="n">
        <v>2</v>
      </c>
      <c r="AE194" t="n">
        <v>2</v>
      </c>
      <c r="AF194" t="n">
        <v>1</v>
      </c>
      <c r="AG194" t="n">
        <v>1</v>
      </c>
      <c r="AH194" t="n">
        <v>0</v>
      </c>
      <c r="AI194" t="n">
        <v>0</v>
      </c>
      <c r="AJ194" t="n">
        <v>1</v>
      </c>
      <c r="AK194" t="n">
        <v>1</v>
      </c>
      <c r="AL194" t="n">
        <v>0</v>
      </c>
      <c r="AM194" t="n">
        <v>0</v>
      </c>
      <c r="AN194" t="n">
        <v>0</v>
      </c>
      <c r="AO194" t="n">
        <v>0</v>
      </c>
      <c r="AP194" t="inlineStr">
        <is>
          <t>No</t>
        </is>
      </c>
      <c r="AQ194" t="inlineStr">
        <is>
          <t>Yes</t>
        </is>
      </c>
      <c r="AR194">
        <f>HYPERLINK("http://catalog.hathitrust.org/Record/001098764","HathiTrust Record")</f>
        <v/>
      </c>
      <c r="AS194">
        <f>HYPERLINK("https://creighton-primo.hosted.exlibrisgroup.com/primo-explore/search?tab=default_tab&amp;search_scope=EVERYTHING&amp;vid=01CRU&amp;lang=en_US&amp;offset=0&amp;query=any,contains,991001316289702656","Catalog Record")</f>
        <v/>
      </c>
      <c r="AT194">
        <f>HYPERLINK("http://www.worldcat.org/oclc/18907992","WorldCat Record")</f>
        <v/>
      </c>
      <c r="AU194" t="inlineStr">
        <is>
          <t>18344516:eng</t>
        </is>
      </c>
      <c r="AV194" t="inlineStr">
        <is>
          <t>18907992</t>
        </is>
      </c>
      <c r="AW194" t="inlineStr">
        <is>
          <t>991001316289702656</t>
        </is>
      </c>
      <c r="AX194" t="inlineStr">
        <is>
          <t>991001316289702656</t>
        </is>
      </c>
      <c r="AY194" t="inlineStr">
        <is>
          <t>2254902430002656</t>
        </is>
      </c>
      <c r="AZ194" t="inlineStr">
        <is>
          <t>BOOK</t>
        </is>
      </c>
      <c r="BB194" t="inlineStr">
        <is>
          <t>9780801612466</t>
        </is>
      </c>
      <c r="BC194" t="inlineStr">
        <is>
          <t>30001001752981</t>
        </is>
      </c>
      <c r="BD194" t="inlineStr">
        <is>
          <t>893643454</t>
        </is>
      </c>
    </row>
    <row r="195">
      <c r="A195" t="inlineStr">
        <is>
          <t>No</t>
        </is>
      </c>
      <c r="B195" t="inlineStr">
        <is>
          <t>QZ 140 P986s 1989</t>
        </is>
      </c>
      <c r="C195" t="inlineStr">
        <is>
          <t>0                      QZ 0140000P  986s        1989</t>
        </is>
      </c>
      <c r="D195" t="inlineStr">
        <is>
          <t>A survey of human diseases / David T. Purtilo, Ruth B. Purtilo.</t>
        </is>
      </c>
      <c r="F195" t="inlineStr">
        <is>
          <t>No</t>
        </is>
      </c>
      <c r="G195" t="inlineStr">
        <is>
          <t>1</t>
        </is>
      </c>
      <c r="H195" t="inlineStr">
        <is>
          <t>No</t>
        </is>
      </c>
      <c r="I195" t="inlineStr">
        <is>
          <t>No</t>
        </is>
      </c>
      <c r="J195" t="inlineStr">
        <is>
          <t>0</t>
        </is>
      </c>
      <c r="K195" t="inlineStr">
        <is>
          <t>Purtilo, David T., 1939-</t>
        </is>
      </c>
      <c r="L195" t="inlineStr">
        <is>
          <t>Boston : Little, Brown, c1989.</t>
        </is>
      </c>
      <c r="M195" t="inlineStr">
        <is>
          <t>1989</t>
        </is>
      </c>
      <c r="N195" t="inlineStr">
        <is>
          <t>2nd ed.</t>
        </is>
      </c>
      <c r="O195" t="inlineStr">
        <is>
          <t>eng</t>
        </is>
      </c>
      <c r="P195" t="inlineStr">
        <is>
          <t>mau</t>
        </is>
      </c>
      <c r="R195" t="inlineStr">
        <is>
          <t xml:space="preserve">QZ </t>
        </is>
      </c>
      <c r="S195" t="n">
        <v>6</v>
      </c>
      <c r="T195" t="n">
        <v>6</v>
      </c>
      <c r="U195" t="inlineStr">
        <is>
          <t>1998-11-29</t>
        </is>
      </c>
      <c r="V195" t="inlineStr">
        <is>
          <t>1998-11-29</t>
        </is>
      </c>
      <c r="W195" t="inlineStr">
        <is>
          <t>1994-09-23</t>
        </is>
      </c>
      <c r="X195" t="inlineStr">
        <is>
          <t>1994-09-23</t>
        </is>
      </c>
      <c r="Y195" t="n">
        <v>180</v>
      </c>
      <c r="Z195" t="n">
        <v>149</v>
      </c>
      <c r="AA195" t="n">
        <v>289</v>
      </c>
      <c r="AB195" t="n">
        <v>1</v>
      </c>
      <c r="AC195" t="n">
        <v>3</v>
      </c>
      <c r="AD195" t="n">
        <v>4</v>
      </c>
      <c r="AE195" t="n">
        <v>8</v>
      </c>
      <c r="AF195" t="n">
        <v>2</v>
      </c>
      <c r="AG195" t="n">
        <v>2</v>
      </c>
      <c r="AH195" t="n">
        <v>1</v>
      </c>
      <c r="AI195" t="n">
        <v>2</v>
      </c>
      <c r="AJ195" t="n">
        <v>4</v>
      </c>
      <c r="AK195" t="n">
        <v>5</v>
      </c>
      <c r="AL195" t="n">
        <v>0</v>
      </c>
      <c r="AM195" t="n">
        <v>2</v>
      </c>
      <c r="AN195" t="n">
        <v>0</v>
      </c>
      <c r="AO195" t="n">
        <v>0</v>
      </c>
      <c r="AP195" t="inlineStr">
        <is>
          <t>No</t>
        </is>
      </c>
      <c r="AQ195" t="inlineStr">
        <is>
          <t>Yes</t>
        </is>
      </c>
      <c r="AR195">
        <f>HYPERLINK("http://catalog.hathitrust.org/Record/001099402","HathiTrust Record")</f>
        <v/>
      </c>
      <c r="AS195">
        <f>HYPERLINK("https://creighton-primo.hosted.exlibrisgroup.com/primo-explore/search?tab=default_tab&amp;search_scope=EVERYTHING&amp;vid=01CRU&amp;lang=en_US&amp;offset=0&amp;query=any,contains,991000680899702656","Catalog Record")</f>
        <v/>
      </c>
      <c r="AT195">
        <f>HYPERLINK("http://www.worldcat.org/oclc/19170576","WorldCat Record")</f>
        <v/>
      </c>
      <c r="AU195" t="inlineStr">
        <is>
          <t>416975:eng</t>
        </is>
      </c>
      <c r="AV195" t="inlineStr">
        <is>
          <t>19170576</t>
        </is>
      </c>
      <c r="AW195" t="inlineStr">
        <is>
          <t>991000680899702656</t>
        </is>
      </c>
      <c r="AX195" t="inlineStr">
        <is>
          <t>991000680899702656</t>
        </is>
      </c>
      <c r="AY195" t="inlineStr">
        <is>
          <t>2272413180002656</t>
        </is>
      </c>
      <c r="AZ195" t="inlineStr">
        <is>
          <t>BOOK</t>
        </is>
      </c>
      <c r="BB195" t="inlineStr">
        <is>
          <t>9780316722506</t>
        </is>
      </c>
      <c r="BC195" t="inlineStr">
        <is>
          <t>30001002697474</t>
        </is>
      </c>
      <c r="BD195" t="inlineStr">
        <is>
          <t>893815145</t>
        </is>
      </c>
    </row>
    <row r="196">
      <c r="A196" t="inlineStr">
        <is>
          <t>No</t>
        </is>
      </c>
      <c r="B196" t="inlineStr">
        <is>
          <t>QZ 140 S243 1985</t>
        </is>
      </c>
      <c r="C196" t="inlineStr">
        <is>
          <t>0                      QZ 0140000S  243         1985</t>
        </is>
      </c>
      <c r="D196" t="inlineStr">
        <is>
          <t>Sarcoidosis / edited by Jack Lieberman.</t>
        </is>
      </c>
      <c r="F196" t="inlineStr">
        <is>
          <t>No</t>
        </is>
      </c>
      <c r="G196" t="inlineStr">
        <is>
          <t>1</t>
        </is>
      </c>
      <c r="H196" t="inlineStr">
        <is>
          <t>No</t>
        </is>
      </c>
      <c r="I196" t="inlineStr">
        <is>
          <t>No</t>
        </is>
      </c>
      <c r="J196" t="inlineStr">
        <is>
          <t>0</t>
        </is>
      </c>
      <c r="L196" t="inlineStr">
        <is>
          <t>Orlando : Grune &amp; Stratton, c1985.</t>
        </is>
      </c>
      <c r="M196" t="inlineStr">
        <is>
          <t>1985</t>
        </is>
      </c>
      <c r="O196" t="inlineStr">
        <is>
          <t>eng</t>
        </is>
      </c>
      <c r="P196" t="inlineStr">
        <is>
          <t>xxu</t>
        </is>
      </c>
      <c r="R196" t="inlineStr">
        <is>
          <t xml:space="preserve">QZ </t>
        </is>
      </c>
      <c r="S196" t="n">
        <v>15</v>
      </c>
      <c r="T196" t="n">
        <v>15</v>
      </c>
      <c r="U196" t="inlineStr">
        <is>
          <t>1995-04-10</t>
        </is>
      </c>
      <c r="V196" t="inlineStr">
        <is>
          <t>1995-04-10</t>
        </is>
      </c>
      <c r="W196" t="inlineStr">
        <is>
          <t>1989-07-16</t>
        </is>
      </c>
      <c r="X196" t="inlineStr">
        <is>
          <t>1989-07-16</t>
        </is>
      </c>
      <c r="Y196" t="n">
        <v>114</v>
      </c>
      <c r="Z196" t="n">
        <v>96</v>
      </c>
      <c r="AA196" t="n">
        <v>98</v>
      </c>
      <c r="AB196" t="n">
        <v>1</v>
      </c>
      <c r="AC196" t="n">
        <v>1</v>
      </c>
      <c r="AD196" t="n">
        <v>1</v>
      </c>
      <c r="AE196" t="n">
        <v>1</v>
      </c>
      <c r="AF196" t="n">
        <v>0</v>
      </c>
      <c r="AG196" t="n">
        <v>0</v>
      </c>
      <c r="AH196" t="n">
        <v>1</v>
      </c>
      <c r="AI196" t="n">
        <v>1</v>
      </c>
      <c r="AJ196" t="n">
        <v>0</v>
      </c>
      <c r="AK196" t="n">
        <v>0</v>
      </c>
      <c r="AL196" t="n">
        <v>0</v>
      </c>
      <c r="AM196" t="n">
        <v>0</v>
      </c>
      <c r="AN196" t="n">
        <v>0</v>
      </c>
      <c r="AO196" t="n">
        <v>0</v>
      </c>
      <c r="AP196" t="inlineStr">
        <is>
          <t>No</t>
        </is>
      </c>
      <c r="AQ196" t="inlineStr">
        <is>
          <t>Yes</t>
        </is>
      </c>
      <c r="AR196">
        <f>HYPERLINK("http://catalog.hathitrust.org/Record/000611066","HathiTrust Record")</f>
        <v/>
      </c>
      <c r="AS196">
        <f>HYPERLINK("https://creighton-primo.hosted.exlibrisgroup.com/primo-explore/search?tab=default_tab&amp;search_scope=EVERYTHING&amp;vid=01CRU&amp;lang=en_US&amp;offset=0&amp;query=any,contains,991001090629702656","Catalog Record")</f>
        <v/>
      </c>
      <c r="AT196">
        <f>HYPERLINK("http://www.worldcat.org/oclc/11867513","WorldCat Record")</f>
        <v/>
      </c>
      <c r="AU196" t="inlineStr">
        <is>
          <t>5608805896:eng</t>
        </is>
      </c>
      <c r="AV196" t="inlineStr">
        <is>
          <t>11867513</t>
        </is>
      </c>
      <c r="AW196" t="inlineStr">
        <is>
          <t>991001090629702656</t>
        </is>
      </c>
      <c r="AX196" t="inlineStr">
        <is>
          <t>991001090629702656</t>
        </is>
      </c>
      <c r="AY196" t="inlineStr">
        <is>
          <t>2264519950002656</t>
        </is>
      </c>
      <c r="AZ196" t="inlineStr">
        <is>
          <t>BOOK</t>
        </is>
      </c>
      <c r="BB196" t="inlineStr">
        <is>
          <t>9780808917281</t>
        </is>
      </c>
      <c r="BC196" t="inlineStr">
        <is>
          <t>30001000262313</t>
        </is>
      </c>
      <c r="BD196" t="inlineStr">
        <is>
          <t>893736201</t>
        </is>
      </c>
    </row>
    <row r="197">
      <c r="A197" t="inlineStr">
        <is>
          <t>No</t>
        </is>
      </c>
      <c r="B197" t="inlineStr">
        <is>
          <t>QZ 140 S469p</t>
        </is>
      </c>
      <c r="C197" t="inlineStr">
        <is>
          <t>0                      QZ 0140000S  469p</t>
        </is>
      </c>
      <c r="D197" t="inlineStr">
        <is>
          <t>The physiology and pathology of exposure to stress : a treatise based on the concepts of the general-adaptation-syndrome and the diseases of adaptation.</t>
        </is>
      </c>
      <c r="F197" t="inlineStr">
        <is>
          <t>No</t>
        </is>
      </c>
      <c r="G197" t="inlineStr">
        <is>
          <t>1</t>
        </is>
      </c>
      <c r="H197" t="inlineStr">
        <is>
          <t>No</t>
        </is>
      </c>
      <c r="I197" t="inlineStr">
        <is>
          <t>No</t>
        </is>
      </c>
      <c r="J197" t="inlineStr">
        <is>
          <t>0</t>
        </is>
      </c>
      <c r="K197" t="inlineStr">
        <is>
          <t>Selye, Hans, 1907-1982.</t>
        </is>
      </c>
      <c r="L197" t="inlineStr">
        <is>
          <t>Montreal : Acta, [1950]</t>
        </is>
      </c>
      <c r="M197" t="inlineStr">
        <is>
          <t>1950</t>
        </is>
      </c>
      <c r="N197" t="inlineStr">
        <is>
          <t>[1st ed.]</t>
        </is>
      </c>
      <c r="O197" t="inlineStr">
        <is>
          <t>eng</t>
        </is>
      </c>
      <c r="P197" t="inlineStr">
        <is>
          <t>quc</t>
        </is>
      </c>
      <c r="R197" t="inlineStr">
        <is>
          <t xml:space="preserve">QZ </t>
        </is>
      </c>
      <c r="S197" t="n">
        <v>4</v>
      </c>
      <c r="T197" t="n">
        <v>4</v>
      </c>
      <c r="U197" t="inlineStr">
        <is>
          <t>1988-11-07</t>
        </is>
      </c>
      <c r="V197" t="inlineStr">
        <is>
          <t>1988-11-07</t>
        </is>
      </c>
      <c r="W197" t="inlineStr">
        <is>
          <t>1988-03-24</t>
        </is>
      </c>
      <c r="X197" t="inlineStr">
        <is>
          <t>1988-03-24</t>
        </is>
      </c>
      <c r="Y197" t="n">
        <v>353</v>
      </c>
      <c r="Z197" t="n">
        <v>271</v>
      </c>
      <c r="AA197" t="n">
        <v>273</v>
      </c>
      <c r="AB197" t="n">
        <v>1</v>
      </c>
      <c r="AC197" t="n">
        <v>1</v>
      </c>
      <c r="AD197" t="n">
        <v>10</v>
      </c>
      <c r="AE197" t="n">
        <v>10</v>
      </c>
      <c r="AF197" t="n">
        <v>2</v>
      </c>
      <c r="AG197" t="n">
        <v>2</v>
      </c>
      <c r="AH197" t="n">
        <v>3</v>
      </c>
      <c r="AI197" t="n">
        <v>3</v>
      </c>
      <c r="AJ197" t="n">
        <v>7</v>
      </c>
      <c r="AK197" t="n">
        <v>7</v>
      </c>
      <c r="AL197" t="n">
        <v>0</v>
      </c>
      <c r="AM197" t="n">
        <v>0</v>
      </c>
      <c r="AN197" t="n">
        <v>0</v>
      </c>
      <c r="AO197" t="n">
        <v>0</v>
      </c>
      <c r="AP197" t="inlineStr">
        <is>
          <t>No</t>
        </is>
      </c>
      <c r="AQ197" t="inlineStr">
        <is>
          <t>No</t>
        </is>
      </c>
      <c r="AR197">
        <f>HYPERLINK("http://catalog.hathitrust.org/Record/001561060","HathiTrust Record")</f>
        <v/>
      </c>
      <c r="AS197">
        <f>HYPERLINK("https://creighton-primo.hosted.exlibrisgroup.com/primo-explore/search?tab=default_tab&amp;search_scope=EVERYTHING&amp;vid=01CRU&amp;lang=en_US&amp;offset=0&amp;query=any,contains,991001090689702656","Catalog Record")</f>
        <v/>
      </c>
      <c r="AT197">
        <f>HYPERLINK("http://www.worldcat.org/oclc/875872","WorldCat Record")</f>
        <v/>
      </c>
      <c r="AU197" t="inlineStr">
        <is>
          <t>288899140:eng</t>
        </is>
      </c>
      <c r="AV197" t="inlineStr">
        <is>
          <t>875872</t>
        </is>
      </c>
      <c r="AW197" t="inlineStr">
        <is>
          <t>991001090689702656</t>
        </is>
      </c>
      <c r="AX197" t="inlineStr">
        <is>
          <t>991001090689702656</t>
        </is>
      </c>
      <c r="AY197" t="inlineStr">
        <is>
          <t>2263368690002656</t>
        </is>
      </c>
      <c r="AZ197" t="inlineStr">
        <is>
          <t>BOOK</t>
        </is>
      </c>
      <c r="BC197" t="inlineStr">
        <is>
          <t>30001000262339</t>
        </is>
      </c>
      <c r="BD197" t="inlineStr">
        <is>
          <t>893731642</t>
        </is>
      </c>
    </row>
    <row r="198">
      <c r="A198" t="inlineStr">
        <is>
          <t>No</t>
        </is>
      </c>
      <c r="B198" t="inlineStr">
        <is>
          <t>QZ 140 S676 1983</t>
        </is>
      </c>
      <c r="C198" t="inlineStr">
        <is>
          <t>0                      QZ 0140000S  676         1983</t>
        </is>
      </c>
      <c r="D198" t="inlineStr">
        <is>
          <t>Shock, comprehensive nursing management / editors, Anne Griffin Perry, Patricia Ann Potter ; co-authors, Judith L. Myers, Linda Niedringhaus, Angela Smith-Collins.</t>
        </is>
      </c>
      <c r="F198" t="inlineStr">
        <is>
          <t>No</t>
        </is>
      </c>
      <c r="G198" t="inlineStr">
        <is>
          <t>1</t>
        </is>
      </c>
      <c r="H198" t="inlineStr">
        <is>
          <t>No</t>
        </is>
      </c>
      <c r="I198" t="inlineStr">
        <is>
          <t>No</t>
        </is>
      </c>
      <c r="J198" t="inlineStr">
        <is>
          <t>0</t>
        </is>
      </c>
      <c r="L198" t="inlineStr">
        <is>
          <t>St. Louis : Mosby, c1983.</t>
        </is>
      </c>
      <c r="M198" t="inlineStr">
        <is>
          <t>1983</t>
        </is>
      </c>
      <c r="O198" t="inlineStr">
        <is>
          <t>eng</t>
        </is>
      </c>
      <c r="P198" t="inlineStr">
        <is>
          <t>xxu</t>
        </is>
      </c>
      <c r="R198" t="inlineStr">
        <is>
          <t xml:space="preserve">QZ </t>
        </is>
      </c>
      <c r="S198" t="n">
        <v>10</v>
      </c>
      <c r="T198" t="n">
        <v>10</v>
      </c>
      <c r="U198" t="inlineStr">
        <is>
          <t>1997-11-10</t>
        </is>
      </c>
      <c r="V198" t="inlineStr">
        <is>
          <t>1997-11-10</t>
        </is>
      </c>
      <c r="W198" t="inlineStr">
        <is>
          <t>1987-10-03</t>
        </is>
      </c>
      <c r="X198" t="inlineStr">
        <is>
          <t>1987-10-03</t>
        </is>
      </c>
      <c r="Y198" t="n">
        <v>33</v>
      </c>
      <c r="Z198" t="n">
        <v>32</v>
      </c>
      <c r="AA198" t="n">
        <v>176</v>
      </c>
      <c r="AB198" t="n">
        <v>1</v>
      </c>
      <c r="AC198" t="n">
        <v>1</v>
      </c>
      <c r="AD198" t="n">
        <v>0</v>
      </c>
      <c r="AE198" t="n">
        <v>5</v>
      </c>
      <c r="AF198" t="n">
        <v>0</v>
      </c>
      <c r="AG198" t="n">
        <v>2</v>
      </c>
      <c r="AH198" t="n">
        <v>0</v>
      </c>
      <c r="AI198" t="n">
        <v>1</v>
      </c>
      <c r="AJ198" t="n">
        <v>0</v>
      </c>
      <c r="AK198" t="n">
        <v>4</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HYPERLINK("https://creighton-primo.hosted.exlibrisgroup.com/primo-explore/search?tab=default_tab&amp;search_scope=EVERYTHING&amp;vid=01CRU&amp;lang=en_US&amp;offset=0&amp;query=any,contains,991000756999702656","Catalog Record")</f>
        <v/>
      </c>
      <c r="AT198">
        <f>HYPERLINK("http://www.worldcat.org/oclc/8284910","WorldCat Record")</f>
        <v/>
      </c>
      <c r="AU198" t="inlineStr">
        <is>
          <t>30943350:eng</t>
        </is>
      </c>
      <c r="AV198" t="inlineStr">
        <is>
          <t>8284910</t>
        </is>
      </c>
      <c r="AW198" t="inlineStr">
        <is>
          <t>991000756999702656</t>
        </is>
      </c>
      <c r="AX198" t="inlineStr">
        <is>
          <t>991000756999702656</t>
        </is>
      </c>
      <c r="AY198" t="inlineStr">
        <is>
          <t>2268059710002656</t>
        </is>
      </c>
      <c r="AZ198" t="inlineStr">
        <is>
          <t>BOOK</t>
        </is>
      </c>
      <c r="BB198" t="inlineStr">
        <is>
          <t>9780801638275</t>
        </is>
      </c>
      <c r="BC198" t="inlineStr">
        <is>
          <t>30001000053563</t>
        </is>
      </c>
      <c r="BD198" t="inlineStr">
        <is>
          <t>893362979</t>
        </is>
      </c>
    </row>
    <row r="199">
      <c r="A199" t="inlineStr">
        <is>
          <t>No</t>
        </is>
      </c>
      <c r="B199" t="inlineStr">
        <is>
          <t>QZ 140 S679p 1985</t>
        </is>
      </c>
      <c r="C199" t="inlineStr">
        <is>
          <t>0                      QZ 0140000S  679p        1985</t>
        </is>
      </c>
      <c r="D199" t="inlineStr">
        <is>
          <t>Sodeman's Pathologic physiology : mechanisms of disease.</t>
        </is>
      </c>
      <c r="F199" t="inlineStr">
        <is>
          <t>No</t>
        </is>
      </c>
      <c r="G199" t="inlineStr">
        <is>
          <t>1</t>
        </is>
      </c>
      <c r="H199" t="inlineStr">
        <is>
          <t>No</t>
        </is>
      </c>
      <c r="I199" t="inlineStr">
        <is>
          <t>No</t>
        </is>
      </c>
      <c r="J199" t="inlineStr">
        <is>
          <t>0</t>
        </is>
      </c>
      <c r="K199" t="inlineStr">
        <is>
          <t>Sodeman, William A. (William Anthony), 1936-</t>
        </is>
      </c>
      <c r="L199" t="inlineStr">
        <is>
          <t>Philadelphia : Saunders, c1985.</t>
        </is>
      </c>
      <c r="M199" t="inlineStr">
        <is>
          <t>1985</t>
        </is>
      </c>
      <c r="N199" t="inlineStr">
        <is>
          <t>7th ed. / William A. Sodeman, Jr., Thomas M. Sodeman.</t>
        </is>
      </c>
      <c r="O199" t="inlineStr">
        <is>
          <t>eng</t>
        </is>
      </c>
      <c r="P199" t="inlineStr">
        <is>
          <t>xxu</t>
        </is>
      </c>
      <c r="R199" t="inlineStr">
        <is>
          <t xml:space="preserve">QZ </t>
        </is>
      </c>
      <c r="S199" t="n">
        <v>35</v>
      </c>
      <c r="T199" t="n">
        <v>35</v>
      </c>
      <c r="U199" t="inlineStr">
        <is>
          <t>1998-05-10</t>
        </is>
      </c>
      <c r="V199" t="inlineStr">
        <is>
          <t>1998-05-10</t>
        </is>
      </c>
      <c r="W199" t="inlineStr">
        <is>
          <t>1987-10-03</t>
        </is>
      </c>
      <c r="X199" t="inlineStr">
        <is>
          <t>1987-10-03</t>
        </is>
      </c>
      <c r="Y199" t="n">
        <v>322</v>
      </c>
      <c r="Z199" t="n">
        <v>258</v>
      </c>
      <c r="AA199" t="n">
        <v>359</v>
      </c>
      <c r="AB199" t="n">
        <v>1</v>
      </c>
      <c r="AC199" t="n">
        <v>2</v>
      </c>
      <c r="AD199" t="n">
        <v>3</v>
      </c>
      <c r="AE199" t="n">
        <v>8</v>
      </c>
      <c r="AF199" t="n">
        <v>0</v>
      </c>
      <c r="AG199" t="n">
        <v>2</v>
      </c>
      <c r="AH199" t="n">
        <v>2</v>
      </c>
      <c r="AI199" t="n">
        <v>2</v>
      </c>
      <c r="AJ199" t="n">
        <v>2</v>
      </c>
      <c r="AK199" t="n">
        <v>6</v>
      </c>
      <c r="AL199" t="n">
        <v>0</v>
      </c>
      <c r="AM199" t="n">
        <v>1</v>
      </c>
      <c r="AN199" t="n">
        <v>0</v>
      </c>
      <c r="AO199" t="n">
        <v>0</v>
      </c>
      <c r="AP199" t="inlineStr">
        <is>
          <t>No</t>
        </is>
      </c>
      <c r="AQ199" t="inlineStr">
        <is>
          <t>Yes</t>
        </is>
      </c>
      <c r="AR199">
        <f>HYPERLINK("http://catalog.hathitrust.org/Record/000464200","HathiTrust Record")</f>
        <v/>
      </c>
      <c r="AS199">
        <f>HYPERLINK("https://creighton-primo.hosted.exlibrisgroup.com/primo-explore/search?tab=default_tab&amp;search_scope=EVERYTHING&amp;vid=01CRU&amp;lang=en_US&amp;offset=0&amp;query=any,contains,991000756959702656","Catalog Record")</f>
        <v/>
      </c>
      <c r="AT199">
        <f>HYPERLINK("http://www.worldcat.org/oclc/9686851","WorldCat Record")</f>
        <v/>
      </c>
      <c r="AU199" t="inlineStr">
        <is>
          <t>9639934025:eng</t>
        </is>
      </c>
      <c r="AV199" t="inlineStr">
        <is>
          <t>9686851</t>
        </is>
      </c>
      <c r="AW199" t="inlineStr">
        <is>
          <t>991000756959702656</t>
        </is>
      </c>
      <c r="AX199" t="inlineStr">
        <is>
          <t>991000756959702656</t>
        </is>
      </c>
      <c r="AY199" t="inlineStr">
        <is>
          <t>2269581850002656</t>
        </is>
      </c>
      <c r="AZ199" t="inlineStr">
        <is>
          <t>BOOK</t>
        </is>
      </c>
      <c r="BB199" t="inlineStr">
        <is>
          <t>9780721610108</t>
        </is>
      </c>
      <c r="BC199" t="inlineStr">
        <is>
          <t>30001000053555</t>
        </is>
      </c>
      <c r="BD199" t="inlineStr">
        <is>
          <t>893283699</t>
        </is>
      </c>
    </row>
    <row r="200">
      <c r="A200" t="inlineStr">
        <is>
          <t>No</t>
        </is>
      </c>
      <c r="B200" t="inlineStr">
        <is>
          <t>QZ 140 T365s 1971</t>
        </is>
      </c>
      <c r="C200" t="inlineStr">
        <is>
          <t>0                      QZ 0140000T  365s        1971</t>
        </is>
      </c>
      <c r="D200" t="inlineStr">
        <is>
          <t>Shock : a physiologic basis for treatment / Alan P. Thal [and others] With a foreword by Owen H. Wangensteen.</t>
        </is>
      </c>
      <c r="F200" t="inlineStr">
        <is>
          <t>No</t>
        </is>
      </c>
      <c r="G200" t="inlineStr">
        <is>
          <t>1</t>
        </is>
      </c>
      <c r="H200" t="inlineStr">
        <is>
          <t>No</t>
        </is>
      </c>
      <c r="I200" t="inlineStr">
        <is>
          <t>No</t>
        </is>
      </c>
      <c r="J200" t="inlineStr">
        <is>
          <t>0</t>
        </is>
      </c>
      <c r="L200" t="inlineStr">
        <is>
          <t>Chicago : Year Book Medical Publishers, [1971]</t>
        </is>
      </c>
      <c r="M200" t="inlineStr">
        <is>
          <t>1971</t>
        </is>
      </c>
      <c r="O200" t="inlineStr">
        <is>
          <t>eng</t>
        </is>
      </c>
      <c r="P200" t="inlineStr">
        <is>
          <t>ilu</t>
        </is>
      </c>
      <c r="R200" t="inlineStr">
        <is>
          <t xml:space="preserve">QZ </t>
        </is>
      </c>
      <c r="S200" t="n">
        <v>13</v>
      </c>
      <c r="T200" t="n">
        <v>13</v>
      </c>
      <c r="U200" t="inlineStr">
        <is>
          <t>1997-11-10</t>
        </is>
      </c>
      <c r="V200" t="inlineStr">
        <is>
          <t>1997-11-10</t>
        </is>
      </c>
      <c r="W200" t="inlineStr">
        <is>
          <t>1988-03-17</t>
        </is>
      </c>
      <c r="X200" t="inlineStr">
        <is>
          <t>1988-03-17</t>
        </is>
      </c>
      <c r="Y200" t="n">
        <v>151</v>
      </c>
      <c r="Z200" t="n">
        <v>99</v>
      </c>
      <c r="AA200" t="n">
        <v>101</v>
      </c>
      <c r="AB200" t="n">
        <v>2</v>
      </c>
      <c r="AC200" t="n">
        <v>2</v>
      </c>
      <c r="AD200" t="n">
        <v>1</v>
      </c>
      <c r="AE200" t="n">
        <v>1</v>
      </c>
      <c r="AF200" t="n">
        <v>0</v>
      </c>
      <c r="AG200" t="n">
        <v>0</v>
      </c>
      <c r="AH200" t="n">
        <v>0</v>
      </c>
      <c r="AI200" t="n">
        <v>0</v>
      </c>
      <c r="AJ200" t="n">
        <v>0</v>
      </c>
      <c r="AK200" t="n">
        <v>0</v>
      </c>
      <c r="AL200" t="n">
        <v>1</v>
      </c>
      <c r="AM200" t="n">
        <v>1</v>
      </c>
      <c r="AN200" t="n">
        <v>0</v>
      </c>
      <c r="AO200" t="n">
        <v>0</v>
      </c>
      <c r="AP200" t="inlineStr">
        <is>
          <t>No</t>
        </is>
      </c>
      <c r="AQ200" t="inlineStr">
        <is>
          <t>Yes</t>
        </is>
      </c>
      <c r="AR200">
        <f>HYPERLINK("http://catalog.hathitrust.org/Record/001561237","HathiTrust Record")</f>
        <v/>
      </c>
      <c r="AS200">
        <f>HYPERLINK("https://creighton-primo.hosted.exlibrisgroup.com/primo-explore/search?tab=default_tab&amp;search_scope=EVERYTHING&amp;vid=01CRU&amp;lang=en_US&amp;offset=0&amp;query=any,contains,991001166469702656","Catalog Record")</f>
        <v/>
      </c>
      <c r="AT200">
        <f>HYPERLINK("http://www.worldcat.org/oclc/130396","WorldCat Record")</f>
        <v/>
      </c>
      <c r="AU200" t="inlineStr">
        <is>
          <t>1265026:eng</t>
        </is>
      </c>
      <c r="AV200" t="inlineStr">
        <is>
          <t>130396</t>
        </is>
      </c>
      <c r="AW200" t="inlineStr">
        <is>
          <t>991001166469702656</t>
        </is>
      </c>
      <c r="AX200" t="inlineStr">
        <is>
          <t>991001166469702656</t>
        </is>
      </c>
      <c r="AY200" t="inlineStr">
        <is>
          <t>2255054750002656</t>
        </is>
      </c>
      <c r="AZ200" t="inlineStr">
        <is>
          <t>BOOK</t>
        </is>
      </c>
      <c r="BB200" t="inlineStr">
        <is>
          <t>9780815187882</t>
        </is>
      </c>
      <c r="BC200" t="inlineStr">
        <is>
          <t>30001000304479</t>
        </is>
      </c>
      <c r="BD200" t="inlineStr">
        <is>
          <t>893273834</t>
        </is>
      </c>
    </row>
    <row r="201">
      <c r="A201" t="inlineStr">
        <is>
          <t>No</t>
        </is>
      </c>
      <c r="B201" t="inlineStr">
        <is>
          <t>QZ 140 T7554 1991</t>
        </is>
      </c>
      <c r="C201" t="inlineStr">
        <is>
          <t>0                      QZ 0140000T  7554        1991</t>
        </is>
      </c>
      <c r="D201" t="inlineStr">
        <is>
          <t>Toxic shock syndrome / editors, Merlin S. Bergdoll, P. Joan Chesney.</t>
        </is>
      </c>
      <c r="F201" t="inlineStr">
        <is>
          <t>No</t>
        </is>
      </c>
      <c r="G201" t="inlineStr">
        <is>
          <t>1</t>
        </is>
      </c>
      <c r="H201" t="inlineStr">
        <is>
          <t>No</t>
        </is>
      </c>
      <c r="I201" t="inlineStr">
        <is>
          <t>No</t>
        </is>
      </c>
      <c r="J201" t="inlineStr">
        <is>
          <t>0</t>
        </is>
      </c>
      <c r="L201" t="inlineStr">
        <is>
          <t>Boca Raton : CRC Press, c1991.</t>
        </is>
      </c>
      <c r="M201" t="inlineStr">
        <is>
          <t>1991</t>
        </is>
      </c>
      <c r="O201" t="inlineStr">
        <is>
          <t>eng</t>
        </is>
      </c>
      <c r="P201" t="inlineStr">
        <is>
          <t>flu</t>
        </is>
      </c>
      <c r="R201" t="inlineStr">
        <is>
          <t xml:space="preserve">QZ </t>
        </is>
      </c>
      <c r="S201" t="n">
        <v>12</v>
      </c>
      <c r="T201" t="n">
        <v>12</v>
      </c>
      <c r="U201" t="inlineStr">
        <is>
          <t>1996-09-05</t>
        </is>
      </c>
      <c r="V201" t="inlineStr">
        <is>
          <t>1996-09-05</t>
        </is>
      </c>
      <c r="W201" t="inlineStr">
        <is>
          <t>1991-02-19</t>
        </is>
      </c>
      <c r="X201" t="inlineStr">
        <is>
          <t>1991-02-19</t>
        </is>
      </c>
      <c r="Y201" t="n">
        <v>100</v>
      </c>
      <c r="Z201" t="n">
        <v>77</v>
      </c>
      <c r="AA201" t="n">
        <v>79</v>
      </c>
      <c r="AB201" t="n">
        <v>1</v>
      </c>
      <c r="AC201" t="n">
        <v>1</v>
      </c>
      <c r="AD201" t="n">
        <v>0</v>
      </c>
      <c r="AE201" t="n">
        <v>0</v>
      </c>
      <c r="AF201" t="n">
        <v>0</v>
      </c>
      <c r="AG201" t="n">
        <v>0</v>
      </c>
      <c r="AH201" t="n">
        <v>0</v>
      </c>
      <c r="AI201" t="n">
        <v>0</v>
      </c>
      <c r="AJ201" t="n">
        <v>0</v>
      </c>
      <c r="AK201" t="n">
        <v>0</v>
      </c>
      <c r="AL201" t="n">
        <v>0</v>
      </c>
      <c r="AM201" t="n">
        <v>0</v>
      </c>
      <c r="AN201" t="n">
        <v>0</v>
      </c>
      <c r="AO201" t="n">
        <v>0</v>
      </c>
      <c r="AP201" t="inlineStr">
        <is>
          <t>No</t>
        </is>
      </c>
      <c r="AQ201" t="inlineStr">
        <is>
          <t>Yes</t>
        </is>
      </c>
      <c r="AR201">
        <f>HYPERLINK("http://catalog.hathitrust.org/Record/008514017","HathiTrust Record")</f>
        <v/>
      </c>
      <c r="AS201">
        <f>HYPERLINK("https://creighton-primo.hosted.exlibrisgroup.com/primo-explore/search?tab=default_tab&amp;search_scope=EVERYTHING&amp;vid=01CRU&amp;lang=en_US&amp;offset=0&amp;query=any,contains,991000821399702656","Catalog Record")</f>
        <v/>
      </c>
      <c r="AT201">
        <f>HYPERLINK("http://www.worldcat.org/oclc/22665389","WorldCat Record")</f>
        <v/>
      </c>
      <c r="AU201" t="inlineStr">
        <is>
          <t>24185107:eng</t>
        </is>
      </c>
      <c r="AV201" t="inlineStr">
        <is>
          <t>22665389</t>
        </is>
      </c>
      <c r="AW201" t="inlineStr">
        <is>
          <t>991000821399702656</t>
        </is>
      </c>
      <c r="AX201" t="inlineStr">
        <is>
          <t>991000821399702656</t>
        </is>
      </c>
      <c r="AY201" t="inlineStr">
        <is>
          <t>2257357470002656</t>
        </is>
      </c>
      <c r="AZ201" t="inlineStr">
        <is>
          <t>BOOK</t>
        </is>
      </c>
      <c r="BB201" t="inlineStr">
        <is>
          <t>9780849366710</t>
        </is>
      </c>
      <c r="BC201" t="inlineStr">
        <is>
          <t>30001002087593</t>
        </is>
      </c>
      <c r="BD201" t="inlineStr">
        <is>
          <t>893740371</t>
        </is>
      </c>
    </row>
    <row r="202">
      <c r="A202" t="inlineStr">
        <is>
          <t>No</t>
        </is>
      </c>
      <c r="B202" t="inlineStr">
        <is>
          <t>QZ140 Z396e 2003</t>
        </is>
      </c>
      <c r="C202" t="inlineStr">
        <is>
          <t>0                      QZ 0140000Z  396e        2003</t>
        </is>
      </c>
      <c r="D202" t="inlineStr">
        <is>
          <t>Essentials of pathophysiology for pharmacy / Martin M. Zdanowicz.</t>
        </is>
      </c>
      <c r="F202" t="inlineStr">
        <is>
          <t>No</t>
        </is>
      </c>
      <c r="G202" t="inlineStr">
        <is>
          <t>1</t>
        </is>
      </c>
      <c r="H202" t="inlineStr">
        <is>
          <t>No</t>
        </is>
      </c>
      <c r="I202" t="inlineStr">
        <is>
          <t>No</t>
        </is>
      </c>
      <c r="J202" t="inlineStr">
        <is>
          <t>0</t>
        </is>
      </c>
      <c r="K202" t="inlineStr">
        <is>
          <t>Zdanowicz, Martin M.</t>
        </is>
      </c>
      <c r="L202" t="inlineStr">
        <is>
          <t>Boca Raton : CRC Press, c2003.</t>
        </is>
      </c>
      <c r="M202" t="inlineStr">
        <is>
          <t>2003</t>
        </is>
      </c>
      <c r="O202" t="inlineStr">
        <is>
          <t>eng</t>
        </is>
      </c>
      <c r="P202" t="inlineStr">
        <is>
          <t>flu</t>
        </is>
      </c>
      <c r="Q202" t="inlineStr">
        <is>
          <t>CRC Press pharmacy education series</t>
        </is>
      </c>
      <c r="R202" t="inlineStr">
        <is>
          <t xml:space="preserve">QZ </t>
        </is>
      </c>
      <c r="S202" t="n">
        <v>5</v>
      </c>
      <c r="T202" t="n">
        <v>5</v>
      </c>
      <c r="U202" t="inlineStr">
        <is>
          <t>2007-04-05</t>
        </is>
      </c>
      <c r="V202" t="inlineStr">
        <is>
          <t>2007-04-05</t>
        </is>
      </c>
      <c r="W202" t="inlineStr">
        <is>
          <t>2005-04-06</t>
        </is>
      </c>
      <c r="X202" t="inlineStr">
        <is>
          <t>2005-04-06</t>
        </is>
      </c>
      <c r="Y202" t="n">
        <v>82</v>
      </c>
      <c r="Z202" t="n">
        <v>47</v>
      </c>
      <c r="AA202" t="n">
        <v>76</v>
      </c>
      <c r="AB202" t="n">
        <v>1</v>
      </c>
      <c r="AC202" t="n">
        <v>1</v>
      </c>
      <c r="AD202" t="n">
        <v>2</v>
      </c>
      <c r="AE202" t="n">
        <v>2</v>
      </c>
      <c r="AF202" t="n">
        <v>2</v>
      </c>
      <c r="AG202" t="n">
        <v>2</v>
      </c>
      <c r="AH202" t="n">
        <v>0</v>
      </c>
      <c r="AI202" t="n">
        <v>0</v>
      </c>
      <c r="AJ202" t="n">
        <v>0</v>
      </c>
      <c r="AK202" t="n">
        <v>0</v>
      </c>
      <c r="AL202" t="n">
        <v>0</v>
      </c>
      <c r="AM202" t="n">
        <v>0</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HYPERLINK("https://creighton-primo.hosted.exlibrisgroup.com/primo-explore/search?tab=default_tab&amp;search_scope=EVERYTHING&amp;vid=01CRU&amp;lang=en_US&amp;offset=0&amp;query=any,contains,991000435299702656","Catalog Record")</f>
        <v/>
      </c>
      <c r="AT202">
        <f>HYPERLINK("http://www.worldcat.org/oclc/49558622","WorldCat Record")</f>
        <v/>
      </c>
      <c r="AU202" t="inlineStr">
        <is>
          <t>7088708:eng</t>
        </is>
      </c>
      <c r="AV202" t="inlineStr">
        <is>
          <t>49558622</t>
        </is>
      </c>
      <c r="AW202" t="inlineStr">
        <is>
          <t>991000435299702656</t>
        </is>
      </c>
      <c r="AX202" t="inlineStr">
        <is>
          <t>991000435299702656</t>
        </is>
      </c>
      <c r="AY202" t="inlineStr">
        <is>
          <t>2262766130002656</t>
        </is>
      </c>
      <c r="AZ202" t="inlineStr">
        <is>
          <t>BOOK</t>
        </is>
      </c>
      <c r="BB202" t="inlineStr">
        <is>
          <t>9781587160363</t>
        </is>
      </c>
      <c r="BC202" t="inlineStr">
        <is>
          <t>30001004929198</t>
        </is>
      </c>
      <c r="BD202" t="inlineStr">
        <is>
          <t>893123092</t>
        </is>
      </c>
    </row>
    <row r="203">
      <c r="A203" t="inlineStr">
        <is>
          <t>No</t>
        </is>
      </c>
      <c r="B203" t="inlineStr">
        <is>
          <t>QZ 150 I435 1992</t>
        </is>
      </c>
      <c r="C203" t="inlineStr">
        <is>
          <t>0                      QZ 0150000I  435         1992</t>
        </is>
      </c>
      <c r="D203" t="inlineStr">
        <is>
          <t>Inflammation : basic principles and clinical correlates / editors, John I. Gallin, Ira M. Goldstein, Ralph Snyderman.</t>
        </is>
      </c>
      <c r="F203" t="inlineStr">
        <is>
          <t>No</t>
        </is>
      </c>
      <c r="G203" t="inlineStr">
        <is>
          <t>1</t>
        </is>
      </c>
      <c r="H203" t="inlineStr">
        <is>
          <t>No</t>
        </is>
      </c>
      <c r="I203" t="inlineStr">
        <is>
          <t>No</t>
        </is>
      </c>
      <c r="J203" t="inlineStr">
        <is>
          <t>0</t>
        </is>
      </c>
      <c r="L203" t="inlineStr">
        <is>
          <t>New York : Raven Press, c1992.</t>
        </is>
      </c>
      <c r="M203" t="inlineStr">
        <is>
          <t>1992</t>
        </is>
      </c>
      <c r="N203" t="inlineStr">
        <is>
          <t>2nd ed.</t>
        </is>
      </c>
      <c r="O203" t="inlineStr">
        <is>
          <t>eng</t>
        </is>
      </c>
      <c r="P203" t="inlineStr">
        <is>
          <t>nyu</t>
        </is>
      </c>
      <c r="R203" t="inlineStr">
        <is>
          <t xml:space="preserve">QZ </t>
        </is>
      </c>
      <c r="S203" t="n">
        <v>48</v>
      </c>
      <c r="T203" t="n">
        <v>48</v>
      </c>
      <c r="U203" t="inlineStr">
        <is>
          <t>2008-11-06</t>
        </is>
      </c>
      <c r="V203" t="inlineStr">
        <is>
          <t>2008-11-06</t>
        </is>
      </c>
      <c r="W203" t="inlineStr">
        <is>
          <t>1993-12-07</t>
        </is>
      </c>
      <c r="X203" t="inlineStr">
        <is>
          <t>1993-12-07</t>
        </is>
      </c>
      <c r="Y203" t="n">
        <v>256</v>
      </c>
      <c r="Z203" t="n">
        <v>169</v>
      </c>
      <c r="AA203" t="n">
        <v>310</v>
      </c>
      <c r="AB203" t="n">
        <v>1</v>
      </c>
      <c r="AC203" t="n">
        <v>2</v>
      </c>
      <c r="AD203" t="n">
        <v>6</v>
      </c>
      <c r="AE203" t="n">
        <v>11</v>
      </c>
      <c r="AF203" t="n">
        <v>2</v>
      </c>
      <c r="AG203" t="n">
        <v>5</v>
      </c>
      <c r="AH203" t="n">
        <v>2</v>
      </c>
      <c r="AI203" t="n">
        <v>2</v>
      </c>
      <c r="AJ203" t="n">
        <v>3</v>
      </c>
      <c r="AK203" t="n">
        <v>4</v>
      </c>
      <c r="AL203" t="n">
        <v>0</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HYPERLINK("https://creighton-primo.hosted.exlibrisgroup.com/primo-explore/search?tab=default_tab&amp;search_scope=EVERYTHING&amp;vid=01CRU&amp;lang=en_US&amp;offset=0&amp;query=any,contains,991000549329702656","Catalog Record")</f>
        <v/>
      </c>
      <c r="AT203">
        <f>HYPERLINK("http://www.worldcat.org/oclc/25091511","WorldCat Record")</f>
        <v/>
      </c>
      <c r="AU203" t="inlineStr">
        <is>
          <t>836992683:eng</t>
        </is>
      </c>
      <c r="AV203" t="inlineStr">
        <is>
          <t>25091511</t>
        </is>
      </c>
      <c r="AW203" t="inlineStr">
        <is>
          <t>991000549329702656</t>
        </is>
      </c>
      <c r="AX203" t="inlineStr">
        <is>
          <t>991000549329702656</t>
        </is>
      </c>
      <c r="AY203" t="inlineStr">
        <is>
          <t>2263602200002656</t>
        </is>
      </c>
      <c r="AZ203" t="inlineStr">
        <is>
          <t>BOOK</t>
        </is>
      </c>
      <c r="BB203" t="inlineStr">
        <is>
          <t>9780881678802</t>
        </is>
      </c>
      <c r="BC203" t="inlineStr">
        <is>
          <t>30001002670943</t>
        </is>
      </c>
      <c r="BD203" t="inlineStr">
        <is>
          <t>893463490</t>
        </is>
      </c>
    </row>
    <row r="204">
      <c r="A204" t="inlineStr">
        <is>
          <t>No</t>
        </is>
      </c>
      <c r="B204" t="inlineStr">
        <is>
          <t>QZ 150 W433m 1974</t>
        </is>
      </c>
      <c r="C204" t="inlineStr">
        <is>
          <t>0                      QZ 0150000W  433m        1974</t>
        </is>
      </c>
      <c r="D204" t="inlineStr">
        <is>
          <t>Mediators of inflammation / edited by Gerald Weissmann.</t>
        </is>
      </c>
      <c r="F204" t="inlineStr">
        <is>
          <t>No</t>
        </is>
      </c>
      <c r="G204" t="inlineStr">
        <is>
          <t>1</t>
        </is>
      </c>
      <c r="H204" t="inlineStr">
        <is>
          <t>No</t>
        </is>
      </c>
      <c r="I204" t="inlineStr">
        <is>
          <t>No</t>
        </is>
      </c>
      <c r="J204" t="inlineStr">
        <is>
          <t>0</t>
        </is>
      </c>
      <c r="K204" t="inlineStr">
        <is>
          <t>Weissmann, Gerald.</t>
        </is>
      </c>
      <c r="L204" t="inlineStr">
        <is>
          <t>New York : Plenum Press, [1974]</t>
        </is>
      </c>
      <c r="M204" t="inlineStr">
        <is>
          <t>1974</t>
        </is>
      </c>
      <c r="O204" t="inlineStr">
        <is>
          <t>eng</t>
        </is>
      </c>
      <c r="P204" t="inlineStr">
        <is>
          <t>nyu</t>
        </is>
      </c>
      <c r="R204" t="inlineStr">
        <is>
          <t xml:space="preserve">QZ </t>
        </is>
      </c>
      <c r="S204" t="n">
        <v>8</v>
      </c>
      <c r="T204" t="n">
        <v>8</v>
      </c>
      <c r="U204" t="inlineStr">
        <is>
          <t>1990-07-10</t>
        </is>
      </c>
      <c r="V204" t="inlineStr">
        <is>
          <t>1990-07-10</t>
        </is>
      </c>
      <c r="W204" t="inlineStr">
        <is>
          <t>1988-03-17</t>
        </is>
      </c>
      <c r="X204" t="inlineStr">
        <is>
          <t>1988-03-17</t>
        </is>
      </c>
      <c r="Y204" t="n">
        <v>149</v>
      </c>
      <c r="Z204" t="n">
        <v>105</v>
      </c>
      <c r="AA204" t="n">
        <v>127</v>
      </c>
      <c r="AB204" t="n">
        <v>1</v>
      </c>
      <c r="AC204" t="n">
        <v>1</v>
      </c>
      <c r="AD204" t="n">
        <v>2</v>
      </c>
      <c r="AE204" t="n">
        <v>3</v>
      </c>
      <c r="AF204" t="n">
        <v>0</v>
      </c>
      <c r="AG204" t="n">
        <v>1</v>
      </c>
      <c r="AH204" t="n">
        <v>1</v>
      </c>
      <c r="AI204" t="n">
        <v>1</v>
      </c>
      <c r="AJ204" t="n">
        <v>2</v>
      </c>
      <c r="AK204" t="n">
        <v>3</v>
      </c>
      <c r="AL204" t="n">
        <v>0</v>
      </c>
      <c r="AM204" t="n">
        <v>0</v>
      </c>
      <c r="AN204" t="n">
        <v>0</v>
      </c>
      <c r="AO204" t="n">
        <v>0</v>
      </c>
      <c r="AP204" t="inlineStr">
        <is>
          <t>No</t>
        </is>
      </c>
      <c r="AQ204" t="inlineStr">
        <is>
          <t>Yes</t>
        </is>
      </c>
      <c r="AR204">
        <f>HYPERLINK("http://catalog.hathitrust.org/Record/001561122","HathiTrust Record")</f>
        <v/>
      </c>
      <c r="AS204">
        <f>HYPERLINK("https://creighton-primo.hosted.exlibrisgroup.com/primo-explore/search?tab=default_tab&amp;search_scope=EVERYTHING&amp;vid=01CRU&amp;lang=en_US&amp;offset=0&amp;query=any,contains,991001166409702656","Catalog Record")</f>
        <v/>
      </c>
      <c r="AT204">
        <f>HYPERLINK("http://www.worldcat.org/oclc/1056808","WorldCat Record")</f>
        <v/>
      </c>
      <c r="AU204" t="inlineStr">
        <is>
          <t>3372124238:eng</t>
        </is>
      </c>
      <c r="AV204" t="inlineStr">
        <is>
          <t>1056808</t>
        </is>
      </c>
      <c r="AW204" t="inlineStr">
        <is>
          <t>991001166409702656</t>
        </is>
      </c>
      <c r="AX204" t="inlineStr">
        <is>
          <t>991001166409702656</t>
        </is>
      </c>
      <c r="AY204" t="inlineStr">
        <is>
          <t>2271995180002656</t>
        </is>
      </c>
      <c r="AZ204" t="inlineStr">
        <is>
          <t>BOOK</t>
        </is>
      </c>
      <c r="BB204" t="inlineStr">
        <is>
          <t>9780306308154</t>
        </is>
      </c>
      <c r="BC204" t="inlineStr">
        <is>
          <t>30001000304404</t>
        </is>
      </c>
      <c r="BD204" t="inlineStr">
        <is>
          <t>893161737</t>
        </is>
      </c>
    </row>
    <row r="205">
      <c r="A205" t="inlineStr">
        <is>
          <t>No</t>
        </is>
      </c>
      <c r="B205" t="inlineStr">
        <is>
          <t>QZ 160 E93c 1989</t>
        </is>
      </c>
      <c r="C205" t="inlineStr">
        <is>
          <t>0                      QZ 0160000E  93c         1989</t>
        </is>
      </c>
      <c r="D205" t="inlineStr">
        <is>
          <t>A clinical guide to the treatment of the human stress response / George S. Everly, Jr.</t>
        </is>
      </c>
      <c r="F205" t="inlineStr">
        <is>
          <t>No</t>
        </is>
      </c>
      <c r="G205" t="inlineStr">
        <is>
          <t>1</t>
        </is>
      </c>
      <c r="H205" t="inlineStr">
        <is>
          <t>No</t>
        </is>
      </c>
      <c r="I205" t="inlineStr">
        <is>
          <t>No</t>
        </is>
      </c>
      <c r="J205" t="inlineStr">
        <is>
          <t>1</t>
        </is>
      </c>
      <c r="K205" t="inlineStr">
        <is>
          <t>Everly, George S., Jr., 1950-</t>
        </is>
      </c>
      <c r="L205" t="inlineStr">
        <is>
          <t>New York : Plenum Press, c1989.</t>
        </is>
      </c>
      <c r="M205" t="inlineStr">
        <is>
          <t>1989</t>
        </is>
      </c>
      <c r="O205" t="inlineStr">
        <is>
          <t>eng</t>
        </is>
      </c>
      <c r="P205" t="inlineStr">
        <is>
          <t>xxu</t>
        </is>
      </c>
      <c r="Q205" t="inlineStr">
        <is>
          <t>The Plenum series on stress and coping.</t>
        </is>
      </c>
      <c r="R205" t="inlineStr">
        <is>
          <t xml:space="preserve">QZ </t>
        </is>
      </c>
      <c r="S205" t="n">
        <v>7</v>
      </c>
      <c r="T205" t="n">
        <v>7</v>
      </c>
      <c r="U205" t="inlineStr">
        <is>
          <t>1999-04-28</t>
        </is>
      </c>
      <c r="V205" t="inlineStr">
        <is>
          <t>1999-04-28</t>
        </is>
      </c>
      <c r="W205" t="inlineStr">
        <is>
          <t>1989-11-13</t>
        </is>
      </c>
      <c r="X205" t="inlineStr">
        <is>
          <t>1989-11-13</t>
        </is>
      </c>
      <c r="Y205" t="n">
        <v>356</v>
      </c>
      <c r="Z205" t="n">
        <v>273</v>
      </c>
      <c r="AA205" t="n">
        <v>1202</v>
      </c>
      <c r="AB205" t="n">
        <v>2</v>
      </c>
      <c r="AC205" t="n">
        <v>30</v>
      </c>
      <c r="AD205" t="n">
        <v>13</v>
      </c>
      <c r="AE205" t="n">
        <v>51</v>
      </c>
      <c r="AF205" t="n">
        <v>3</v>
      </c>
      <c r="AG205" t="n">
        <v>17</v>
      </c>
      <c r="AH205" t="n">
        <v>3</v>
      </c>
      <c r="AI205" t="n">
        <v>11</v>
      </c>
      <c r="AJ205" t="n">
        <v>10</v>
      </c>
      <c r="AK205" t="n">
        <v>19</v>
      </c>
      <c r="AL205" t="n">
        <v>1</v>
      </c>
      <c r="AM205" t="n">
        <v>14</v>
      </c>
      <c r="AN205" t="n">
        <v>0</v>
      </c>
      <c r="AO205" t="n">
        <v>1</v>
      </c>
      <c r="AP205" t="inlineStr">
        <is>
          <t>No</t>
        </is>
      </c>
      <c r="AQ205" t="inlineStr">
        <is>
          <t>Yes</t>
        </is>
      </c>
      <c r="AR205">
        <f>HYPERLINK("http://catalog.hathitrust.org/Record/001815131","HathiTrust Record")</f>
        <v/>
      </c>
      <c r="AS205">
        <f>HYPERLINK("https://creighton-primo.hosted.exlibrisgroup.com/primo-explore/search?tab=default_tab&amp;search_scope=EVERYTHING&amp;vid=01CRU&amp;lang=en_US&amp;offset=0&amp;query=any,contains,991001361729702656","Catalog Record")</f>
        <v/>
      </c>
      <c r="AT205">
        <f>HYPERLINK("http://www.worldcat.org/oclc/18986255","WorldCat Record")</f>
        <v/>
      </c>
      <c r="AU205" t="inlineStr">
        <is>
          <t>998352:eng</t>
        </is>
      </c>
      <c r="AV205" t="inlineStr">
        <is>
          <t>18986255</t>
        </is>
      </c>
      <c r="AW205" t="inlineStr">
        <is>
          <t>991001361729702656</t>
        </is>
      </c>
      <c r="AX205" t="inlineStr">
        <is>
          <t>991001361729702656</t>
        </is>
      </c>
      <c r="AY205" t="inlineStr">
        <is>
          <t>2267137740002656</t>
        </is>
      </c>
      <c r="AZ205" t="inlineStr">
        <is>
          <t>BOOK</t>
        </is>
      </c>
      <c r="BB205" t="inlineStr">
        <is>
          <t>9780306430688</t>
        </is>
      </c>
      <c r="BC205" t="inlineStr">
        <is>
          <t>30001001796905</t>
        </is>
      </c>
      <c r="BD205" t="inlineStr">
        <is>
          <t>893832118</t>
        </is>
      </c>
    </row>
    <row r="206">
      <c r="A206" t="inlineStr">
        <is>
          <t>No</t>
        </is>
      </c>
      <c r="B206" t="inlineStr">
        <is>
          <t>QZ 170 C578 1985</t>
        </is>
      </c>
      <c r="C206" t="inlineStr">
        <is>
          <t>0                      QZ 0170000C  578         1985</t>
        </is>
      </c>
      <c r="D206" t="inlineStr">
        <is>
          <t>Circulatory shock : basic and clinical implications / edited by Herbert F. Janssen, Charles D. Barnes.</t>
        </is>
      </c>
      <c r="F206" t="inlineStr">
        <is>
          <t>No</t>
        </is>
      </c>
      <c r="G206" t="inlineStr">
        <is>
          <t>1</t>
        </is>
      </c>
      <c r="H206" t="inlineStr">
        <is>
          <t>No</t>
        </is>
      </c>
      <c r="I206" t="inlineStr">
        <is>
          <t>No</t>
        </is>
      </c>
      <c r="J206" t="inlineStr">
        <is>
          <t>0</t>
        </is>
      </c>
      <c r="L206" t="inlineStr">
        <is>
          <t>Orlando : Academic Press, c1985.</t>
        </is>
      </c>
      <c r="M206" t="inlineStr">
        <is>
          <t>1985</t>
        </is>
      </c>
      <c r="O206" t="inlineStr">
        <is>
          <t>eng</t>
        </is>
      </c>
      <c r="P206" t="inlineStr">
        <is>
          <t>xxu</t>
        </is>
      </c>
      <c r="Q206" t="inlineStr">
        <is>
          <t>Research topics in physiology ; v. 7</t>
        </is>
      </c>
      <c r="R206" t="inlineStr">
        <is>
          <t xml:space="preserve">QZ </t>
        </is>
      </c>
      <c r="S206" t="n">
        <v>4</v>
      </c>
      <c r="T206" t="n">
        <v>4</v>
      </c>
      <c r="U206" t="inlineStr">
        <is>
          <t>1993-07-20</t>
        </is>
      </c>
      <c r="V206" t="inlineStr">
        <is>
          <t>1993-07-20</t>
        </is>
      </c>
      <c r="W206" t="inlineStr">
        <is>
          <t>1988-02-12</t>
        </is>
      </c>
      <c r="X206" t="inlineStr">
        <is>
          <t>1988-02-12</t>
        </is>
      </c>
      <c r="Y206" t="n">
        <v>140</v>
      </c>
      <c r="Z206" t="n">
        <v>106</v>
      </c>
      <c r="AA206" t="n">
        <v>113</v>
      </c>
      <c r="AB206" t="n">
        <v>1</v>
      </c>
      <c r="AC206" t="n">
        <v>1</v>
      </c>
      <c r="AD206" t="n">
        <v>3</v>
      </c>
      <c r="AE206" t="n">
        <v>3</v>
      </c>
      <c r="AF206" t="n">
        <v>0</v>
      </c>
      <c r="AG206" t="n">
        <v>0</v>
      </c>
      <c r="AH206" t="n">
        <v>2</v>
      </c>
      <c r="AI206" t="n">
        <v>2</v>
      </c>
      <c r="AJ206" t="n">
        <v>2</v>
      </c>
      <c r="AK206" t="n">
        <v>2</v>
      </c>
      <c r="AL206" t="n">
        <v>0</v>
      </c>
      <c r="AM206" t="n">
        <v>0</v>
      </c>
      <c r="AN206" t="n">
        <v>0</v>
      </c>
      <c r="AO206" t="n">
        <v>0</v>
      </c>
      <c r="AP206" t="inlineStr">
        <is>
          <t>No</t>
        </is>
      </c>
      <c r="AQ206" t="inlineStr">
        <is>
          <t>Yes</t>
        </is>
      </c>
      <c r="AR206">
        <f>HYPERLINK("http://catalog.hathitrust.org/Record/000379456","HathiTrust Record")</f>
        <v/>
      </c>
      <c r="AS206">
        <f>HYPERLINK("https://creighton-primo.hosted.exlibrisgroup.com/primo-explore/search?tab=default_tab&amp;search_scope=EVERYTHING&amp;vid=01CRU&amp;lang=en_US&amp;offset=0&amp;query=any,contains,991001166569702656","Catalog Record")</f>
        <v/>
      </c>
      <c r="AT206">
        <f>HYPERLINK("http://www.worldcat.org/oclc/11399261","WorldCat Record")</f>
        <v/>
      </c>
      <c r="AU206" t="inlineStr">
        <is>
          <t>796077115:eng</t>
        </is>
      </c>
      <c r="AV206" t="inlineStr">
        <is>
          <t>11399261</t>
        </is>
      </c>
      <c r="AW206" t="inlineStr">
        <is>
          <t>991001166569702656</t>
        </is>
      </c>
      <c r="AX206" t="inlineStr">
        <is>
          <t>991001166569702656</t>
        </is>
      </c>
      <c r="AY206" t="inlineStr">
        <is>
          <t>2270924040002656</t>
        </is>
      </c>
      <c r="AZ206" t="inlineStr">
        <is>
          <t>BOOK</t>
        </is>
      </c>
      <c r="BB206" t="inlineStr">
        <is>
          <t>9780123802408</t>
        </is>
      </c>
      <c r="BC206" t="inlineStr">
        <is>
          <t>30001000304578</t>
        </is>
      </c>
      <c r="BD206" t="inlineStr">
        <is>
          <t>893632780</t>
        </is>
      </c>
    </row>
    <row r="207">
      <c r="A207" t="inlineStr">
        <is>
          <t>No</t>
        </is>
      </c>
      <c r="B207" t="inlineStr">
        <is>
          <t>QZ 170 C641 1989 v.1</t>
        </is>
      </c>
      <c r="C207" t="inlineStr">
        <is>
          <t>0                      QZ 0170000C  641         1989                                        v.1</t>
        </is>
      </c>
      <c r="D207" t="inlineStr">
        <is>
          <t>Clinical thrombosis / editors, Hau C. Kwaan, Meyer M. Samama.</t>
        </is>
      </c>
      <c r="E207" t="inlineStr">
        <is>
          <t>V. 1</t>
        </is>
      </c>
      <c r="F207" t="inlineStr">
        <is>
          <t>No</t>
        </is>
      </c>
      <c r="G207" t="inlineStr">
        <is>
          <t>1</t>
        </is>
      </c>
      <c r="H207" t="inlineStr">
        <is>
          <t>No</t>
        </is>
      </c>
      <c r="I207" t="inlineStr">
        <is>
          <t>No</t>
        </is>
      </c>
      <c r="J207" t="inlineStr">
        <is>
          <t>0</t>
        </is>
      </c>
      <c r="L207" t="inlineStr">
        <is>
          <t>Boca Raton, Fla. : CRC Press, c1989.</t>
        </is>
      </c>
      <c r="M207" t="inlineStr">
        <is>
          <t>1989</t>
        </is>
      </c>
      <c r="O207" t="inlineStr">
        <is>
          <t>eng</t>
        </is>
      </c>
      <c r="P207" t="inlineStr">
        <is>
          <t>xxu</t>
        </is>
      </c>
      <c r="R207" t="inlineStr">
        <is>
          <t xml:space="preserve">QZ </t>
        </is>
      </c>
      <c r="S207" t="n">
        <v>9</v>
      </c>
      <c r="T207" t="n">
        <v>9</v>
      </c>
      <c r="U207" t="inlineStr">
        <is>
          <t>1996-08-20</t>
        </is>
      </c>
      <c r="V207" t="inlineStr">
        <is>
          <t>1996-08-20</t>
        </is>
      </c>
      <c r="W207" t="inlineStr">
        <is>
          <t>1989-11-21</t>
        </is>
      </c>
      <c r="X207" t="inlineStr">
        <is>
          <t>1989-11-21</t>
        </is>
      </c>
      <c r="Y207" t="n">
        <v>92</v>
      </c>
      <c r="Z207" t="n">
        <v>67</v>
      </c>
      <c r="AA207" t="n">
        <v>89</v>
      </c>
      <c r="AB207" t="n">
        <v>1</v>
      </c>
      <c r="AC207" t="n">
        <v>1</v>
      </c>
      <c r="AD207" t="n">
        <v>1</v>
      </c>
      <c r="AE207" t="n">
        <v>1</v>
      </c>
      <c r="AF207" t="n">
        <v>1</v>
      </c>
      <c r="AG207" t="n">
        <v>1</v>
      </c>
      <c r="AH207" t="n">
        <v>0</v>
      </c>
      <c r="AI207" t="n">
        <v>0</v>
      </c>
      <c r="AJ207" t="n">
        <v>0</v>
      </c>
      <c r="AK207" t="n">
        <v>0</v>
      </c>
      <c r="AL207" t="n">
        <v>0</v>
      </c>
      <c r="AM207" t="n">
        <v>0</v>
      </c>
      <c r="AN207" t="n">
        <v>0</v>
      </c>
      <c r="AO207" t="n">
        <v>0</v>
      </c>
      <c r="AP207" t="inlineStr">
        <is>
          <t>No</t>
        </is>
      </c>
      <c r="AQ207" t="inlineStr">
        <is>
          <t>Yes</t>
        </is>
      </c>
      <c r="AR207">
        <f>HYPERLINK("http://catalog.hathitrust.org/Record/005025865","HathiTrust Record")</f>
        <v/>
      </c>
      <c r="AS207">
        <f>HYPERLINK("https://creighton-primo.hosted.exlibrisgroup.com/primo-explore/search?tab=default_tab&amp;search_scope=EVERYTHING&amp;vid=01CRU&amp;lang=en_US&amp;offset=0&amp;query=any,contains,991001373269702656","Catalog Record")</f>
        <v/>
      </c>
      <c r="AT207">
        <f>HYPERLINK("http://www.worldcat.org/oclc/18379548","WorldCat Record")</f>
        <v/>
      </c>
      <c r="AU207" t="inlineStr">
        <is>
          <t>17745519:eng</t>
        </is>
      </c>
      <c r="AV207" t="inlineStr">
        <is>
          <t>18379548</t>
        </is>
      </c>
      <c r="AW207" t="inlineStr">
        <is>
          <t>991001373269702656</t>
        </is>
      </c>
      <c r="AX207" t="inlineStr">
        <is>
          <t>991001373269702656</t>
        </is>
      </c>
      <c r="AY207" t="inlineStr">
        <is>
          <t>2256385660002656</t>
        </is>
      </c>
      <c r="AZ207" t="inlineStr">
        <is>
          <t>BOOK</t>
        </is>
      </c>
      <c r="BB207" t="inlineStr">
        <is>
          <t>9780849363276</t>
        </is>
      </c>
      <c r="BC207" t="inlineStr">
        <is>
          <t>30001001798000</t>
        </is>
      </c>
      <c r="BD207" t="inlineStr">
        <is>
          <t>893377222</t>
        </is>
      </c>
    </row>
    <row r="208">
      <c r="A208" t="inlineStr">
        <is>
          <t>No</t>
        </is>
      </c>
      <c r="B208" t="inlineStr">
        <is>
          <t>QZ 170 I769 1999</t>
        </is>
      </c>
      <c r="C208" t="inlineStr">
        <is>
          <t>0                      QZ 0170000I  769         1999</t>
        </is>
      </c>
      <c r="D208" t="inlineStr">
        <is>
          <t>Ischaemia reperfusion injury / [edited by] Pierce A. Grace, Robert T. Mathie.</t>
        </is>
      </c>
      <c r="F208" t="inlineStr">
        <is>
          <t>No</t>
        </is>
      </c>
      <c r="G208" t="inlineStr">
        <is>
          <t>1</t>
        </is>
      </c>
      <c r="H208" t="inlineStr">
        <is>
          <t>No</t>
        </is>
      </c>
      <c r="I208" t="inlineStr">
        <is>
          <t>No</t>
        </is>
      </c>
      <c r="J208" t="inlineStr">
        <is>
          <t>0</t>
        </is>
      </c>
      <c r="L208" t="inlineStr">
        <is>
          <t>Oxford ; Malden, MA : Blackwell Science, c1999.</t>
        </is>
      </c>
      <c r="M208" t="inlineStr">
        <is>
          <t>1999</t>
        </is>
      </c>
      <c r="O208" t="inlineStr">
        <is>
          <t>eng</t>
        </is>
      </c>
      <c r="P208" t="inlineStr">
        <is>
          <t>enk</t>
        </is>
      </c>
      <c r="R208" t="inlineStr">
        <is>
          <t xml:space="preserve">QZ </t>
        </is>
      </c>
      <c r="S208" t="n">
        <v>1</v>
      </c>
      <c r="T208" t="n">
        <v>1</v>
      </c>
      <c r="U208" t="inlineStr">
        <is>
          <t>1999-11-02</t>
        </is>
      </c>
      <c r="V208" t="inlineStr">
        <is>
          <t>1999-11-02</t>
        </is>
      </c>
      <c r="W208" t="inlineStr">
        <is>
          <t>1999-11-02</t>
        </is>
      </c>
      <c r="X208" t="inlineStr">
        <is>
          <t>1999-11-02</t>
        </is>
      </c>
      <c r="Y208" t="n">
        <v>51</v>
      </c>
      <c r="Z208" t="n">
        <v>28</v>
      </c>
      <c r="AA208" t="n">
        <v>28</v>
      </c>
      <c r="AB208" t="n">
        <v>2</v>
      </c>
      <c r="AC208" t="n">
        <v>2</v>
      </c>
      <c r="AD208" t="n">
        <v>2</v>
      </c>
      <c r="AE208" t="n">
        <v>2</v>
      </c>
      <c r="AF208" t="n">
        <v>0</v>
      </c>
      <c r="AG208" t="n">
        <v>0</v>
      </c>
      <c r="AH208" t="n">
        <v>0</v>
      </c>
      <c r="AI208" t="n">
        <v>0</v>
      </c>
      <c r="AJ208" t="n">
        <v>1</v>
      </c>
      <c r="AK208" t="n">
        <v>1</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HYPERLINK("https://creighton-primo.hosted.exlibrisgroup.com/primo-explore/search?tab=default_tab&amp;search_scope=EVERYTHING&amp;vid=01CRU&amp;lang=en_US&amp;offset=0&amp;query=any,contains,991000598549702656","Catalog Record")</f>
        <v/>
      </c>
      <c r="AT208">
        <f>HYPERLINK("http://www.worldcat.org/oclc/39094241","WorldCat Record")</f>
        <v/>
      </c>
      <c r="AU208" t="inlineStr">
        <is>
          <t>364744224:eng</t>
        </is>
      </c>
      <c r="AV208" t="inlineStr">
        <is>
          <t>39094241</t>
        </is>
      </c>
      <c r="AW208" t="inlineStr">
        <is>
          <t>991000598549702656</t>
        </is>
      </c>
      <c r="AX208" t="inlineStr">
        <is>
          <t>991000598549702656</t>
        </is>
      </c>
      <c r="AY208" t="inlineStr">
        <is>
          <t>2271517340002656</t>
        </is>
      </c>
      <c r="AZ208" t="inlineStr">
        <is>
          <t>BOOK</t>
        </is>
      </c>
      <c r="BB208" t="inlineStr">
        <is>
          <t>9780632050215</t>
        </is>
      </c>
      <c r="BC208" t="inlineStr">
        <is>
          <t>30001004016004</t>
        </is>
      </c>
      <c r="BD208" t="inlineStr">
        <is>
          <t>893544833</t>
        </is>
      </c>
    </row>
    <row r="209">
      <c r="A209" t="inlineStr">
        <is>
          <t>No</t>
        </is>
      </c>
      <c r="B209" t="inlineStr">
        <is>
          <t>QZ 170 R454 1989</t>
        </is>
      </c>
      <c r="C209" t="inlineStr">
        <is>
          <t>0                      QZ 0170000R  454         1989</t>
        </is>
      </c>
      <c r="D209" t="inlineStr">
        <is>
          <t>Review of thrombolytic therapy and thromboembolic disease / edited by William R. Bell, Arthur A. Sasahara</t>
        </is>
      </c>
      <c r="F209" t="inlineStr">
        <is>
          <t>No</t>
        </is>
      </c>
      <c r="G209" t="inlineStr">
        <is>
          <t>1</t>
        </is>
      </c>
      <c r="H209" t="inlineStr">
        <is>
          <t>No</t>
        </is>
      </c>
      <c r="I209" t="inlineStr">
        <is>
          <t>No</t>
        </is>
      </c>
      <c r="J209" t="inlineStr">
        <is>
          <t>0</t>
        </is>
      </c>
      <c r="L209" t="inlineStr">
        <is>
          <t>Glenview, Ill. : Physicians &amp; Scientists Publishing Co., c1989</t>
        </is>
      </c>
      <c r="M209" t="inlineStr">
        <is>
          <t>1989</t>
        </is>
      </c>
      <c r="O209" t="inlineStr">
        <is>
          <t>eng</t>
        </is>
      </c>
      <c r="P209" t="inlineStr">
        <is>
          <t>ilu</t>
        </is>
      </c>
      <c r="R209" t="inlineStr">
        <is>
          <t xml:space="preserve">QZ </t>
        </is>
      </c>
      <c r="S209" t="n">
        <v>6</v>
      </c>
      <c r="T209" t="n">
        <v>6</v>
      </c>
      <c r="U209" t="inlineStr">
        <is>
          <t>1993-01-27</t>
        </is>
      </c>
      <c r="V209" t="inlineStr">
        <is>
          <t>1993-01-27</t>
        </is>
      </c>
      <c r="W209" t="inlineStr">
        <is>
          <t>1989-09-19</t>
        </is>
      </c>
      <c r="X209" t="inlineStr">
        <is>
          <t>1989-09-19</t>
        </is>
      </c>
      <c r="Y209" t="n">
        <v>10</v>
      </c>
      <c r="Z209" t="n">
        <v>10</v>
      </c>
      <c r="AA209" t="n">
        <v>12</v>
      </c>
      <c r="AB209" t="n">
        <v>1</v>
      </c>
      <c r="AC209" t="n">
        <v>1</v>
      </c>
      <c r="AD209" t="n">
        <v>0</v>
      </c>
      <c r="AE209" t="n">
        <v>0</v>
      </c>
      <c r="AF209" t="n">
        <v>0</v>
      </c>
      <c r="AG209" t="n">
        <v>0</v>
      </c>
      <c r="AH209" t="n">
        <v>0</v>
      </c>
      <c r="AI209" t="n">
        <v>0</v>
      </c>
      <c r="AJ209" t="n">
        <v>0</v>
      </c>
      <c r="AK209" t="n">
        <v>0</v>
      </c>
      <c r="AL209" t="n">
        <v>0</v>
      </c>
      <c r="AM209" t="n">
        <v>0</v>
      </c>
      <c r="AN209" t="n">
        <v>0</v>
      </c>
      <c r="AO209" t="n">
        <v>0</v>
      </c>
      <c r="AP209" t="inlineStr">
        <is>
          <t>No</t>
        </is>
      </c>
      <c r="AQ209" t="inlineStr">
        <is>
          <t>Yes</t>
        </is>
      </c>
      <c r="AR209">
        <f>HYPERLINK("http://catalog.hathitrust.org/Record/009865224","HathiTrust Record")</f>
        <v/>
      </c>
      <c r="AS209">
        <f>HYPERLINK("https://creighton-primo.hosted.exlibrisgroup.com/primo-explore/search?tab=default_tab&amp;search_scope=EVERYTHING&amp;vid=01CRU&amp;lang=en_US&amp;offset=0&amp;query=any,contains,991001310039702656","Catalog Record")</f>
        <v/>
      </c>
      <c r="AT209">
        <f>HYPERLINK("http://www.worldcat.org/oclc/20333801","WorldCat Record")</f>
        <v/>
      </c>
      <c r="AU209" t="inlineStr">
        <is>
          <t>22497949:eng</t>
        </is>
      </c>
      <c r="AV209" t="inlineStr">
        <is>
          <t>20333801</t>
        </is>
      </c>
      <c r="AW209" t="inlineStr">
        <is>
          <t>991001310039702656</t>
        </is>
      </c>
      <c r="AX209" t="inlineStr">
        <is>
          <t>991001310039702656</t>
        </is>
      </c>
      <c r="AY209" t="inlineStr">
        <is>
          <t>2262650320002656</t>
        </is>
      </c>
      <c r="AZ209" t="inlineStr">
        <is>
          <t>BOOK</t>
        </is>
      </c>
      <c r="BB209" t="inlineStr">
        <is>
          <t>9780924428005</t>
        </is>
      </c>
      <c r="BC209" t="inlineStr">
        <is>
          <t>30001001750597</t>
        </is>
      </c>
      <c r="BD209" t="inlineStr">
        <is>
          <t>893740985</t>
        </is>
      </c>
    </row>
    <row r="210">
      <c r="A210" t="inlineStr">
        <is>
          <t>No</t>
        </is>
      </c>
      <c r="B210" t="inlineStr">
        <is>
          <t>QZ 170 T5315 1982</t>
        </is>
      </c>
      <c r="C210" t="inlineStr">
        <is>
          <t>0                      QZ 0170000T  5315        1982</t>
        </is>
      </c>
      <c r="D210" t="inlineStr">
        <is>
          <t>Thrombosis &amp; atherosclerosis : diagnosis, prevention, and management / edited by Nils U. Bang ... [et al.].</t>
        </is>
      </c>
      <c r="F210" t="inlineStr">
        <is>
          <t>No</t>
        </is>
      </c>
      <c r="G210" t="inlineStr">
        <is>
          <t>1</t>
        </is>
      </c>
      <c r="H210" t="inlineStr">
        <is>
          <t>No</t>
        </is>
      </c>
      <c r="I210" t="inlineStr">
        <is>
          <t>No</t>
        </is>
      </c>
      <c r="J210" t="inlineStr">
        <is>
          <t>0</t>
        </is>
      </c>
      <c r="L210" t="inlineStr">
        <is>
          <t>Chicago : Year Book Medical Publishers, c1982.</t>
        </is>
      </c>
      <c r="M210" t="inlineStr">
        <is>
          <t>1982</t>
        </is>
      </c>
      <c r="O210" t="inlineStr">
        <is>
          <t>eng</t>
        </is>
      </c>
      <c r="P210" t="inlineStr">
        <is>
          <t>xxu</t>
        </is>
      </c>
      <c r="R210" t="inlineStr">
        <is>
          <t xml:space="preserve">QZ </t>
        </is>
      </c>
      <c r="S210" t="n">
        <v>4</v>
      </c>
      <c r="T210" t="n">
        <v>4</v>
      </c>
      <c r="U210" t="inlineStr">
        <is>
          <t>2001-11-30</t>
        </is>
      </c>
      <c r="V210" t="inlineStr">
        <is>
          <t>2001-11-30</t>
        </is>
      </c>
      <c r="W210" t="inlineStr">
        <is>
          <t>1988-02-12</t>
        </is>
      </c>
      <c r="X210" t="inlineStr">
        <is>
          <t>1988-02-12</t>
        </is>
      </c>
      <c r="Y210" t="n">
        <v>94</v>
      </c>
      <c r="Z210" t="n">
        <v>59</v>
      </c>
      <c r="AA210" t="n">
        <v>59</v>
      </c>
      <c r="AB210" t="n">
        <v>1</v>
      </c>
      <c r="AC210" t="n">
        <v>1</v>
      </c>
      <c r="AD210" t="n">
        <v>0</v>
      </c>
      <c r="AE210" t="n">
        <v>0</v>
      </c>
      <c r="AF210" t="n">
        <v>0</v>
      </c>
      <c r="AG210" t="n">
        <v>0</v>
      </c>
      <c r="AH210" t="n">
        <v>0</v>
      </c>
      <c r="AI210" t="n">
        <v>0</v>
      </c>
      <c r="AJ210" t="n">
        <v>0</v>
      </c>
      <c r="AK210" t="n">
        <v>0</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HYPERLINK("https://creighton-primo.hosted.exlibrisgroup.com/primo-explore/search?tab=default_tab&amp;search_scope=EVERYTHING&amp;vid=01CRU&amp;lang=en_US&amp;offset=0&amp;query=any,contains,991001166549702656","Catalog Record")</f>
        <v/>
      </c>
      <c r="AT210">
        <f>HYPERLINK("http://www.worldcat.org/oclc/7615421","WorldCat Record")</f>
        <v/>
      </c>
      <c r="AU210" t="inlineStr">
        <is>
          <t>28703152:eng</t>
        </is>
      </c>
      <c r="AV210" t="inlineStr">
        <is>
          <t>7615421</t>
        </is>
      </c>
      <c r="AW210" t="inlineStr">
        <is>
          <t>991001166549702656</t>
        </is>
      </c>
      <c r="AX210" t="inlineStr">
        <is>
          <t>991001166549702656</t>
        </is>
      </c>
      <c r="AY210" t="inlineStr">
        <is>
          <t>2262336440002656</t>
        </is>
      </c>
      <c r="AZ210" t="inlineStr">
        <is>
          <t>BOOK</t>
        </is>
      </c>
      <c r="BB210" t="inlineStr">
        <is>
          <t>9780815104131</t>
        </is>
      </c>
      <c r="BC210" t="inlineStr">
        <is>
          <t>30001000304552</t>
        </is>
      </c>
      <c r="BD210" t="inlineStr">
        <is>
          <t>893743658</t>
        </is>
      </c>
    </row>
    <row r="211">
      <c r="A211" t="inlineStr">
        <is>
          <t>No</t>
        </is>
      </c>
      <c r="B211" t="inlineStr">
        <is>
          <t>QZ170 T53185 2002</t>
        </is>
      </c>
      <c r="C211" t="inlineStr">
        <is>
          <t>0                      QZ 0170000T  53185       2002</t>
        </is>
      </c>
      <c r="D211" t="inlineStr">
        <is>
          <t>Thrombosis and thromboembolism / edited by Samuel Z. Goldhaber, Paul M. Ridker.</t>
        </is>
      </c>
      <c r="F211" t="inlineStr">
        <is>
          <t>No</t>
        </is>
      </c>
      <c r="G211" t="inlineStr">
        <is>
          <t>1</t>
        </is>
      </c>
      <c r="H211" t="inlineStr">
        <is>
          <t>No</t>
        </is>
      </c>
      <c r="I211" t="inlineStr">
        <is>
          <t>No</t>
        </is>
      </c>
      <c r="J211" t="inlineStr">
        <is>
          <t>0</t>
        </is>
      </c>
      <c r="L211" t="inlineStr">
        <is>
          <t>New York : Marcel Dekker, c2002.</t>
        </is>
      </c>
      <c r="M211" t="inlineStr">
        <is>
          <t>2002</t>
        </is>
      </c>
      <c r="O211" t="inlineStr">
        <is>
          <t>eng</t>
        </is>
      </c>
      <c r="P211" t="inlineStr">
        <is>
          <t>nyu</t>
        </is>
      </c>
      <c r="Q211" t="inlineStr">
        <is>
          <t>Fundamental and clinical cardiology ; v. 44</t>
        </is>
      </c>
      <c r="R211" t="inlineStr">
        <is>
          <t xml:space="preserve">QZ </t>
        </is>
      </c>
      <c r="S211" t="n">
        <v>5</v>
      </c>
      <c r="T211" t="n">
        <v>5</v>
      </c>
      <c r="U211" t="inlineStr">
        <is>
          <t>2007-03-12</t>
        </is>
      </c>
      <c r="V211" t="inlineStr">
        <is>
          <t>2007-03-12</t>
        </is>
      </c>
      <c r="W211" t="inlineStr">
        <is>
          <t>2002-05-10</t>
        </is>
      </c>
      <c r="X211" t="inlineStr">
        <is>
          <t>2002-05-10</t>
        </is>
      </c>
      <c r="Y211" t="n">
        <v>79</v>
      </c>
      <c r="Z211" t="n">
        <v>51</v>
      </c>
      <c r="AA211" t="n">
        <v>80</v>
      </c>
      <c r="AB211" t="n">
        <v>1</v>
      </c>
      <c r="AC211" t="n">
        <v>1</v>
      </c>
      <c r="AD211" t="n">
        <v>1</v>
      </c>
      <c r="AE211" t="n">
        <v>1</v>
      </c>
      <c r="AF211" t="n">
        <v>0</v>
      </c>
      <c r="AG211" t="n">
        <v>0</v>
      </c>
      <c r="AH211" t="n">
        <v>1</v>
      </c>
      <c r="AI211" t="n">
        <v>1</v>
      </c>
      <c r="AJ211" t="n">
        <v>0</v>
      </c>
      <c r="AK211" t="n">
        <v>0</v>
      </c>
      <c r="AL211" t="n">
        <v>0</v>
      </c>
      <c r="AM211" t="n">
        <v>0</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HYPERLINK("https://creighton-primo.hosted.exlibrisgroup.com/primo-explore/search?tab=default_tab&amp;search_scope=EVERYTHING&amp;vid=01CRU&amp;lang=en_US&amp;offset=0&amp;query=any,contains,991000310149702656","Catalog Record")</f>
        <v/>
      </c>
      <c r="AT211">
        <f>HYPERLINK("http://www.worldcat.org/oclc/48390569","WorldCat Record")</f>
        <v/>
      </c>
      <c r="AU211" t="inlineStr">
        <is>
          <t>766606113:eng</t>
        </is>
      </c>
      <c r="AV211" t="inlineStr">
        <is>
          <t>48390569</t>
        </is>
      </c>
      <c r="AW211" t="inlineStr">
        <is>
          <t>991000310149702656</t>
        </is>
      </c>
      <c r="AX211" t="inlineStr">
        <is>
          <t>991000310149702656</t>
        </is>
      </c>
      <c r="AY211" t="inlineStr">
        <is>
          <t>2256350060002656</t>
        </is>
      </c>
      <c r="AZ211" t="inlineStr">
        <is>
          <t>BOOK</t>
        </is>
      </c>
      <c r="BB211" t="inlineStr">
        <is>
          <t>9780824706463</t>
        </is>
      </c>
      <c r="BC211" t="inlineStr">
        <is>
          <t>30001004237998</t>
        </is>
      </c>
      <c r="BD211" t="inlineStr">
        <is>
          <t>893466184</t>
        </is>
      </c>
    </row>
    <row r="212">
      <c r="A212" t="inlineStr">
        <is>
          <t>No</t>
        </is>
      </c>
      <c r="B212" t="inlineStr">
        <is>
          <t>QZ 180 E56 1997</t>
        </is>
      </c>
      <c r="C212" t="inlineStr">
        <is>
          <t>0                      QZ 0180000E  56          1997</t>
        </is>
      </c>
      <c r="D212" t="inlineStr">
        <is>
          <t>Endocrinolgoy of critical disease / edited by K. Patrick Ober.</t>
        </is>
      </c>
      <c r="F212" t="inlineStr">
        <is>
          <t>No</t>
        </is>
      </c>
      <c r="G212" t="inlineStr">
        <is>
          <t>1</t>
        </is>
      </c>
      <c r="H212" t="inlineStr">
        <is>
          <t>No</t>
        </is>
      </c>
      <c r="I212" t="inlineStr">
        <is>
          <t>No</t>
        </is>
      </c>
      <c r="J212" t="inlineStr">
        <is>
          <t>0</t>
        </is>
      </c>
      <c r="L212" t="inlineStr">
        <is>
          <t>Totowa, N.J. : Humana Press, c1997.</t>
        </is>
      </c>
      <c r="M212" t="inlineStr">
        <is>
          <t>1997</t>
        </is>
      </c>
      <c r="O212" t="inlineStr">
        <is>
          <t>eng</t>
        </is>
      </c>
      <c r="P212" t="inlineStr">
        <is>
          <t>nju</t>
        </is>
      </c>
      <c r="Q212" t="inlineStr">
        <is>
          <t>Contemporary endocrinology</t>
        </is>
      </c>
      <c r="R212" t="inlineStr">
        <is>
          <t xml:space="preserve">QZ </t>
        </is>
      </c>
      <c r="S212" t="n">
        <v>1</v>
      </c>
      <c r="T212" t="n">
        <v>1</v>
      </c>
      <c r="U212" t="inlineStr">
        <is>
          <t>1997-11-19</t>
        </is>
      </c>
      <c r="V212" t="inlineStr">
        <is>
          <t>1997-11-19</t>
        </is>
      </c>
      <c r="W212" t="inlineStr">
        <is>
          <t>1997-11-19</t>
        </is>
      </c>
      <c r="X212" t="inlineStr">
        <is>
          <t>1997-11-19</t>
        </is>
      </c>
      <c r="Y212" t="n">
        <v>90</v>
      </c>
      <c r="Z212" t="n">
        <v>62</v>
      </c>
      <c r="AA212" t="n">
        <v>62</v>
      </c>
      <c r="AB212" t="n">
        <v>1</v>
      </c>
      <c r="AC212" t="n">
        <v>1</v>
      </c>
      <c r="AD212" t="n">
        <v>0</v>
      </c>
      <c r="AE212" t="n">
        <v>0</v>
      </c>
      <c r="AF212" t="n">
        <v>0</v>
      </c>
      <c r="AG212" t="n">
        <v>0</v>
      </c>
      <c r="AH212" t="n">
        <v>0</v>
      </c>
      <c r="AI212" t="n">
        <v>0</v>
      </c>
      <c r="AJ212" t="n">
        <v>0</v>
      </c>
      <c r="AK212" t="n">
        <v>0</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HYPERLINK("https://creighton-primo.hosted.exlibrisgroup.com/primo-explore/search?tab=default_tab&amp;search_scope=EVERYTHING&amp;vid=01CRU&amp;lang=en_US&amp;offset=0&amp;query=any,contains,991001259879702656","Catalog Record")</f>
        <v/>
      </c>
      <c r="AT212">
        <f>HYPERLINK("http://www.worldcat.org/oclc/37721889","WorldCat Record")</f>
        <v/>
      </c>
      <c r="AU212" t="inlineStr">
        <is>
          <t>5612365192:eng</t>
        </is>
      </c>
      <c r="AV212" t="inlineStr">
        <is>
          <t>37721889</t>
        </is>
      </c>
      <c r="AW212" t="inlineStr">
        <is>
          <t>991001259879702656</t>
        </is>
      </c>
      <c r="AX212" t="inlineStr">
        <is>
          <t>991001259879702656</t>
        </is>
      </c>
      <c r="AY212" t="inlineStr">
        <is>
          <t>2258530060002656</t>
        </is>
      </c>
      <c r="AZ212" t="inlineStr">
        <is>
          <t>BOOK</t>
        </is>
      </c>
      <c r="BB212" t="inlineStr">
        <is>
          <t>9780896034228</t>
        </is>
      </c>
      <c r="BC212" t="inlineStr">
        <is>
          <t>30001003690759</t>
        </is>
      </c>
      <c r="BD212" t="inlineStr">
        <is>
          <t>893834620</t>
        </is>
      </c>
    </row>
    <row r="213">
      <c r="A213" t="inlineStr">
        <is>
          <t>No</t>
        </is>
      </c>
      <c r="B213" t="inlineStr">
        <is>
          <t>QZ180 O984 2005</t>
        </is>
      </c>
      <c r="C213" t="inlineStr">
        <is>
          <t>0                      QZ 0180000O  984         2005</t>
        </is>
      </c>
      <c r="D213" t="inlineStr">
        <is>
          <t>Oxidative stress, inflammation, and health / edited by Young-Joon Surh, Lester Packer.</t>
        </is>
      </c>
      <c r="F213" t="inlineStr">
        <is>
          <t>No</t>
        </is>
      </c>
      <c r="G213" t="inlineStr">
        <is>
          <t>1</t>
        </is>
      </c>
      <c r="H213" t="inlineStr">
        <is>
          <t>No</t>
        </is>
      </c>
      <c r="I213" t="inlineStr">
        <is>
          <t>No</t>
        </is>
      </c>
      <c r="J213" t="inlineStr">
        <is>
          <t>0</t>
        </is>
      </c>
      <c r="L213" t="inlineStr">
        <is>
          <t>Boca Raton, FL : Taylor &amp; Francis, 2005.</t>
        </is>
      </c>
      <c r="M213" t="inlineStr">
        <is>
          <t>2005</t>
        </is>
      </c>
      <c r="O213" t="inlineStr">
        <is>
          <t>eng</t>
        </is>
      </c>
      <c r="P213" t="inlineStr">
        <is>
          <t>flu</t>
        </is>
      </c>
      <c r="Q213" t="inlineStr">
        <is>
          <t>Oxidative stress and disease ; 18</t>
        </is>
      </c>
      <c r="R213" t="inlineStr">
        <is>
          <t xml:space="preserve">QZ </t>
        </is>
      </c>
      <c r="S213" t="n">
        <v>0</v>
      </c>
      <c r="T213" t="n">
        <v>0</v>
      </c>
      <c r="U213" t="inlineStr">
        <is>
          <t>2006-05-17</t>
        </is>
      </c>
      <c r="V213" t="inlineStr">
        <is>
          <t>2006-05-17</t>
        </is>
      </c>
      <c r="W213" t="inlineStr">
        <is>
          <t>2006-04-25</t>
        </is>
      </c>
      <c r="X213" t="inlineStr">
        <is>
          <t>2006-04-25</t>
        </is>
      </c>
      <c r="Y213" t="n">
        <v>86</v>
      </c>
      <c r="Z213" t="n">
        <v>42</v>
      </c>
      <c r="AA213" t="n">
        <v>86</v>
      </c>
      <c r="AB213" t="n">
        <v>1</v>
      </c>
      <c r="AC213" t="n">
        <v>1</v>
      </c>
      <c r="AD213" t="n">
        <v>1</v>
      </c>
      <c r="AE213" t="n">
        <v>1</v>
      </c>
      <c r="AF213" t="n">
        <v>0</v>
      </c>
      <c r="AG213" t="n">
        <v>0</v>
      </c>
      <c r="AH213" t="n">
        <v>1</v>
      </c>
      <c r="AI213" t="n">
        <v>1</v>
      </c>
      <c r="AJ213" t="n">
        <v>0</v>
      </c>
      <c r="AK213" t="n">
        <v>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HYPERLINK("https://creighton-primo.hosted.exlibrisgroup.com/primo-explore/search?tab=default_tab&amp;search_scope=EVERYTHING&amp;vid=01CRU&amp;lang=en_US&amp;offset=0&amp;query=any,contains,991000477009702656","Catalog Record")</f>
        <v/>
      </c>
      <c r="AT213">
        <f>HYPERLINK("http://www.worldcat.org/oclc/60788345","WorldCat Record")</f>
        <v/>
      </c>
      <c r="AU213" t="inlineStr">
        <is>
          <t>766867962:eng</t>
        </is>
      </c>
      <c r="AV213" t="inlineStr">
        <is>
          <t>60788345</t>
        </is>
      </c>
      <c r="AW213" t="inlineStr">
        <is>
          <t>991000477009702656</t>
        </is>
      </c>
      <c r="AX213" t="inlineStr">
        <is>
          <t>991000477009702656</t>
        </is>
      </c>
      <c r="AY213" t="inlineStr">
        <is>
          <t>2271451800002656</t>
        </is>
      </c>
      <c r="AZ213" t="inlineStr">
        <is>
          <t>BOOK</t>
        </is>
      </c>
      <c r="BB213" t="inlineStr">
        <is>
          <t>9780824727338</t>
        </is>
      </c>
      <c r="BC213" t="inlineStr">
        <is>
          <t>30001005126505</t>
        </is>
      </c>
      <c r="BD213" t="inlineStr">
        <is>
          <t>893264250</t>
        </is>
      </c>
    </row>
    <row r="214">
      <c r="A214" t="inlineStr">
        <is>
          <t>No</t>
        </is>
      </c>
      <c r="B214" t="inlineStr">
        <is>
          <t>QZ200 B624e 2000</t>
        </is>
      </c>
      <c r="C214" t="inlineStr">
        <is>
          <t>0                      QZ 0200000B  624e        2000</t>
        </is>
      </c>
      <c r="D214" t="inlineStr">
        <is>
          <t>Expert guide to oncology / Jacob D. Bitran.</t>
        </is>
      </c>
      <c r="F214" t="inlineStr">
        <is>
          <t>No</t>
        </is>
      </c>
      <c r="G214" t="inlineStr">
        <is>
          <t>1</t>
        </is>
      </c>
      <c r="H214" t="inlineStr">
        <is>
          <t>No</t>
        </is>
      </c>
      <c r="I214" t="inlineStr">
        <is>
          <t>No</t>
        </is>
      </c>
      <c r="J214" t="inlineStr">
        <is>
          <t>0</t>
        </is>
      </c>
      <c r="K214" t="inlineStr">
        <is>
          <t>Bitran, Jacob D.</t>
        </is>
      </c>
      <c r="L214" t="inlineStr">
        <is>
          <t>Philadelphia : American College of Physicians-American Society of Internal Medicine, 2000.</t>
        </is>
      </c>
      <c r="M214" t="inlineStr">
        <is>
          <t>2000</t>
        </is>
      </c>
      <c r="O214" t="inlineStr">
        <is>
          <t>eng</t>
        </is>
      </c>
      <c r="P214" t="inlineStr">
        <is>
          <t>pau</t>
        </is>
      </c>
      <c r="R214" t="inlineStr">
        <is>
          <t xml:space="preserve">QZ </t>
        </is>
      </c>
      <c r="S214" t="n">
        <v>0</v>
      </c>
      <c r="T214" t="n">
        <v>0</v>
      </c>
      <c r="U214" t="inlineStr">
        <is>
          <t>2004-11-08</t>
        </is>
      </c>
      <c r="V214" t="inlineStr">
        <is>
          <t>2004-11-08</t>
        </is>
      </c>
      <c r="W214" t="inlineStr">
        <is>
          <t>2004-11-08</t>
        </is>
      </c>
      <c r="X214" t="inlineStr">
        <is>
          <t>2004-11-08</t>
        </is>
      </c>
      <c r="Y214" t="n">
        <v>115</v>
      </c>
      <c r="Z214" t="n">
        <v>89</v>
      </c>
      <c r="AA214" t="n">
        <v>93</v>
      </c>
      <c r="AB214" t="n">
        <v>1</v>
      </c>
      <c r="AC214" t="n">
        <v>1</v>
      </c>
      <c r="AD214" t="n">
        <v>2</v>
      </c>
      <c r="AE214" t="n">
        <v>2</v>
      </c>
      <c r="AF214" t="n">
        <v>1</v>
      </c>
      <c r="AG214" t="n">
        <v>1</v>
      </c>
      <c r="AH214" t="n">
        <v>1</v>
      </c>
      <c r="AI214" t="n">
        <v>1</v>
      </c>
      <c r="AJ214" t="n">
        <v>0</v>
      </c>
      <c r="AK214" t="n">
        <v>0</v>
      </c>
      <c r="AL214" t="n">
        <v>0</v>
      </c>
      <c r="AM214" t="n">
        <v>0</v>
      </c>
      <c r="AN214" t="n">
        <v>0</v>
      </c>
      <c r="AO214" t="n">
        <v>0</v>
      </c>
      <c r="AP214" t="inlineStr">
        <is>
          <t>No</t>
        </is>
      </c>
      <c r="AQ214" t="inlineStr">
        <is>
          <t>Yes</t>
        </is>
      </c>
      <c r="AR214">
        <f>HYPERLINK("http://catalog.hathitrust.org/Record/004094945","HathiTrust Record")</f>
        <v/>
      </c>
      <c r="AS214">
        <f>HYPERLINK("https://creighton-primo.hosted.exlibrisgroup.com/primo-explore/search?tab=default_tab&amp;search_scope=EVERYTHING&amp;vid=01CRU&amp;lang=en_US&amp;offset=0&amp;query=any,contains,991000408629702656","Catalog Record")</f>
        <v/>
      </c>
      <c r="AT214">
        <f>HYPERLINK("http://www.worldcat.org/oclc/42204697","WorldCat Record")</f>
        <v/>
      </c>
      <c r="AU214" t="inlineStr">
        <is>
          <t>988417:eng</t>
        </is>
      </c>
      <c r="AV214" t="inlineStr">
        <is>
          <t>42204697</t>
        </is>
      </c>
      <c r="AW214" t="inlineStr">
        <is>
          <t>991000408629702656</t>
        </is>
      </c>
      <c r="AX214" t="inlineStr">
        <is>
          <t>991000408629702656</t>
        </is>
      </c>
      <c r="AY214" t="inlineStr">
        <is>
          <t>2265885460002656</t>
        </is>
      </c>
      <c r="AZ214" t="inlineStr">
        <is>
          <t>BOOK</t>
        </is>
      </c>
      <c r="BB214" t="inlineStr">
        <is>
          <t>9780943126883</t>
        </is>
      </c>
      <c r="BC214" t="inlineStr">
        <is>
          <t>30001004924967</t>
        </is>
      </c>
      <c r="BD214" t="inlineStr">
        <is>
          <t>893832795</t>
        </is>
      </c>
    </row>
    <row r="215">
      <c r="A215" t="inlineStr">
        <is>
          <t>No</t>
        </is>
      </c>
      <c r="B215" t="inlineStr">
        <is>
          <t>QZ 200 C215127 1996</t>
        </is>
      </c>
      <c r="C215" t="inlineStr">
        <is>
          <t>0                      QZ 0200000C  215127      1996</t>
        </is>
      </c>
      <c r="D215" t="inlineStr">
        <is>
          <t>Cancer epidemiology and prevention / edited by David Schottenfeld, Joseph F. Fraumeni, Jr.</t>
        </is>
      </c>
      <c r="F215" t="inlineStr">
        <is>
          <t>No</t>
        </is>
      </c>
      <c r="G215" t="inlineStr">
        <is>
          <t>1</t>
        </is>
      </c>
      <c r="H215" t="inlineStr">
        <is>
          <t>No</t>
        </is>
      </c>
      <c r="I215" t="inlineStr">
        <is>
          <t>No</t>
        </is>
      </c>
      <c r="J215" t="inlineStr">
        <is>
          <t>0</t>
        </is>
      </c>
      <c r="L215" t="inlineStr">
        <is>
          <t>New York : Oxford University Press, c1996.</t>
        </is>
      </c>
      <c r="M215" t="inlineStr">
        <is>
          <t>1996</t>
        </is>
      </c>
      <c r="N215" t="inlineStr">
        <is>
          <t>2nd ed.</t>
        </is>
      </c>
      <c r="O215" t="inlineStr">
        <is>
          <t>eng</t>
        </is>
      </c>
      <c r="P215" t="inlineStr">
        <is>
          <t>nyu</t>
        </is>
      </c>
      <c r="R215" t="inlineStr">
        <is>
          <t xml:space="preserve">QZ </t>
        </is>
      </c>
      <c r="S215" t="n">
        <v>6</v>
      </c>
      <c r="T215" t="n">
        <v>6</v>
      </c>
      <c r="U215" t="inlineStr">
        <is>
          <t>2007-08-24</t>
        </is>
      </c>
      <c r="V215" t="inlineStr">
        <is>
          <t>2007-08-24</t>
        </is>
      </c>
      <c r="W215" t="inlineStr">
        <is>
          <t>1998-01-29</t>
        </is>
      </c>
      <c r="X215" t="inlineStr">
        <is>
          <t>1998-01-29</t>
        </is>
      </c>
      <c r="Y215" t="n">
        <v>218</v>
      </c>
      <c r="Z215" t="n">
        <v>158</v>
      </c>
      <c r="AA215" t="n">
        <v>408</v>
      </c>
      <c r="AB215" t="n">
        <v>1</v>
      </c>
      <c r="AC215" t="n">
        <v>3</v>
      </c>
      <c r="AD215" t="n">
        <v>4</v>
      </c>
      <c r="AE215" t="n">
        <v>12</v>
      </c>
      <c r="AF215" t="n">
        <v>0</v>
      </c>
      <c r="AG215" t="n">
        <v>2</v>
      </c>
      <c r="AH215" t="n">
        <v>1</v>
      </c>
      <c r="AI215" t="n">
        <v>5</v>
      </c>
      <c r="AJ215" t="n">
        <v>3</v>
      </c>
      <c r="AK215" t="n">
        <v>4</v>
      </c>
      <c r="AL215" t="n">
        <v>0</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HYPERLINK("https://creighton-primo.hosted.exlibrisgroup.com/primo-explore/search?tab=default_tab&amp;search_scope=EVERYTHING&amp;vid=01CRU&amp;lang=en_US&amp;offset=0&amp;query=any,contains,991001267499702656","Catalog Record")</f>
        <v/>
      </c>
      <c r="AT215">
        <f>HYPERLINK("http://www.worldcat.org/oclc/32860821","WorldCat Record")</f>
        <v/>
      </c>
      <c r="AU215" t="inlineStr">
        <is>
          <t>1059974984:eng</t>
        </is>
      </c>
      <c r="AV215" t="inlineStr">
        <is>
          <t>32860821</t>
        </is>
      </c>
      <c r="AW215" t="inlineStr">
        <is>
          <t>991001267499702656</t>
        </is>
      </c>
      <c r="AX215" t="inlineStr">
        <is>
          <t>991001267499702656</t>
        </is>
      </c>
      <c r="AY215" t="inlineStr">
        <is>
          <t>2259330640002656</t>
        </is>
      </c>
      <c r="AZ215" t="inlineStr">
        <is>
          <t>BOOK</t>
        </is>
      </c>
      <c r="BB215" t="inlineStr">
        <is>
          <t>9780195053548</t>
        </is>
      </c>
      <c r="BC215" t="inlineStr">
        <is>
          <t>30001003693811</t>
        </is>
      </c>
      <c r="BD215" t="inlineStr">
        <is>
          <t>893541172</t>
        </is>
      </c>
    </row>
    <row r="216">
      <c r="A216" t="inlineStr">
        <is>
          <t>No</t>
        </is>
      </c>
      <c r="B216" t="inlineStr">
        <is>
          <t>QZ 200 C2151923 1990</t>
        </is>
      </c>
      <c r="C216" t="inlineStr">
        <is>
          <t>0                      QZ 0200000C  2151923     1990</t>
        </is>
      </c>
      <c r="D216" t="inlineStr">
        <is>
          <t>Cancer in the elderly / edited by F.I. Caird, Thurstan B. Brewin.</t>
        </is>
      </c>
      <c r="F216" t="inlineStr">
        <is>
          <t>No</t>
        </is>
      </c>
      <c r="G216" t="inlineStr">
        <is>
          <t>1</t>
        </is>
      </c>
      <c r="H216" t="inlineStr">
        <is>
          <t>No</t>
        </is>
      </c>
      <c r="I216" t="inlineStr">
        <is>
          <t>No</t>
        </is>
      </c>
      <c r="J216" t="inlineStr">
        <is>
          <t>0</t>
        </is>
      </c>
      <c r="L216" t="inlineStr">
        <is>
          <t>London ; Boston : Butterworths, c1990.</t>
        </is>
      </c>
      <c r="M216" t="inlineStr">
        <is>
          <t>1990</t>
        </is>
      </c>
      <c r="O216" t="inlineStr">
        <is>
          <t>eng</t>
        </is>
      </c>
      <c r="P216" t="inlineStr">
        <is>
          <t>enk</t>
        </is>
      </c>
      <c r="R216" t="inlineStr">
        <is>
          <t xml:space="preserve">QZ </t>
        </is>
      </c>
      <c r="S216" t="n">
        <v>6</v>
      </c>
      <c r="T216" t="n">
        <v>6</v>
      </c>
      <c r="U216" t="inlineStr">
        <is>
          <t>1999-10-21</t>
        </is>
      </c>
      <c r="V216" t="inlineStr">
        <is>
          <t>1999-10-21</t>
        </is>
      </c>
      <c r="W216" t="inlineStr">
        <is>
          <t>1990-09-19</t>
        </is>
      </c>
      <c r="X216" t="inlineStr">
        <is>
          <t>1990-09-19</t>
        </is>
      </c>
      <c r="Y216" t="n">
        <v>85</v>
      </c>
      <c r="Z216" t="n">
        <v>38</v>
      </c>
      <c r="AA216" t="n">
        <v>43</v>
      </c>
      <c r="AB216" t="n">
        <v>1</v>
      </c>
      <c r="AC216" t="n">
        <v>1</v>
      </c>
      <c r="AD216" t="n">
        <v>0</v>
      </c>
      <c r="AE216" t="n">
        <v>0</v>
      </c>
      <c r="AF216" t="n">
        <v>0</v>
      </c>
      <c r="AG216" t="n">
        <v>0</v>
      </c>
      <c r="AH216" t="n">
        <v>0</v>
      </c>
      <c r="AI216" t="n">
        <v>0</v>
      </c>
      <c r="AJ216" t="n">
        <v>0</v>
      </c>
      <c r="AK216" t="n">
        <v>0</v>
      </c>
      <c r="AL216" t="n">
        <v>0</v>
      </c>
      <c r="AM216" t="n">
        <v>0</v>
      </c>
      <c r="AN216" t="n">
        <v>0</v>
      </c>
      <c r="AO216" t="n">
        <v>0</v>
      </c>
      <c r="AP216" t="inlineStr">
        <is>
          <t>No</t>
        </is>
      </c>
      <c r="AQ216" t="inlineStr">
        <is>
          <t>Yes</t>
        </is>
      </c>
      <c r="AR216">
        <f>HYPERLINK("http://catalog.hathitrust.org/Record/002169297","HathiTrust Record")</f>
        <v/>
      </c>
      <c r="AS216">
        <f>HYPERLINK("https://creighton-primo.hosted.exlibrisgroup.com/primo-explore/search?tab=default_tab&amp;search_scope=EVERYTHING&amp;vid=01CRU&amp;lang=en_US&amp;offset=0&amp;query=any,contains,991001454459702656","Catalog Record")</f>
        <v/>
      </c>
      <c r="AT216">
        <f>HYPERLINK("http://www.worldcat.org/oclc/20489695","WorldCat Record")</f>
        <v/>
      </c>
      <c r="AU216" t="inlineStr">
        <is>
          <t>365174624:eng</t>
        </is>
      </c>
      <c r="AV216" t="inlineStr">
        <is>
          <t>20489695</t>
        </is>
      </c>
      <c r="AW216" t="inlineStr">
        <is>
          <t>991001454459702656</t>
        </is>
      </c>
      <c r="AX216" t="inlineStr">
        <is>
          <t>991001454459702656</t>
        </is>
      </c>
      <c r="AY216" t="inlineStr">
        <is>
          <t>2268297420002656</t>
        </is>
      </c>
      <c r="AZ216" t="inlineStr">
        <is>
          <t>BOOK</t>
        </is>
      </c>
      <c r="BB216" t="inlineStr">
        <is>
          <t>9780723609728</t>
        </is>
      </c>
      <c r="BC216" t="inlineStr">
        <is>
          <t>30001001884511</t>
        </is>
      </c>
      <c r="BD216" t="inlineStr">
        <is>
          <t>893279124</t>
        </is>
      </c>
    </row>
    <row r="217">
      <c r="A217" t="inlineStr">
        <is>
          <t>No</t>
        </is>
      </c>
      <c r="B217" t="inlineStr">
        <is>
          <t>QZ 200 C2151926 1989</t>
        </is>
      </c>
      <c r="C217" t="inlineStr">
        <is>
          <t>0                      QZ 0200000C  2151926     1989</t>
        </is>
      </c>
      <c r="D217" t="inlineStr">
        <is>
          <t>Cancer in the elderly : approaches to early detection and treatment / editors, Rosemary Yancik, Jerome W. Yates.</t>
        </is>
      </c>
      <c r="F217" t="inlineStr">
        <is>
          <t>No</t>
        </is>
      </c>
      <c r="G217" t="inlineStr">
        <is>
          <t>1</t>
        </is>
      </c>
      <c r="H217" t="inlineStr">
        <is>
          <t>No</t>
        </is>
      </c>
      <c r="I217" t="inlineStr">
        <is>
          <t>No</t>
        </is>
      </c>
      <c r="J217" t="inlineStr">
        <is>
          <t>0</t>
        </is>
      </c>
      <c r="L217" t="inlineStr">
        <is>
          <t>New York, NY : Springer Pub. Co., c1989.</t>
        </is>
      </c>
      <c r="M217" t="inlineStr">
        <is>
          <t>1989</t>
        </is>
      </c>
      <c r="O217" t="inlineStr">
        <is>
          <t>eng</t>
        </is>
      </c>
      <c r="P217" t="inlineStr">
        <is>
          <t>xxu</t>
        </is>
      </c>
      <c r="R217" t="inlineStr">
        <is>
          <t xml:space="preserve">QZ </t>
        </is>
      </c>
      <c r="S217" t="n">
        <v>5</v>
      </c>
      <c r="T217" t="n">
        <v>5</v>
      </c>
      <c r="U217" t="inlineStr">
        <is>
          <t>1990-03-15</t>
        </is>
      </c>
      <c r="V217" t="inlineStr">
        <is>
          <t>1990-03-15</t>
        </is>
      </c>
      <c r="W217" t="inlineStr">
        <is>
          <t>1990-01-30</t>
        </is>
      </c>
      <c r="X217" t="inlineStr">
        <is>
          <t>1990-01-30</t>
        </is>
      </c>
      <c r="Y217" t="n">
        <v>121</v>
      </c>
      <c r="Z217" t="n">
        <v>108</v>
      </c>
      <c r="AA217" t="n">
        <v>111</v>
      </c>
      <c r="AB217" t="n">
        <v>1</v>
      </c>
      <c r="AC217" t="n">
        <v>1</v>
      </c>
      <c r="AD217" t="n">
        <v>1</v>
      </c>
      <c r="AE217" t="n">
        <v>1</v>
      </c>
      <c r="AF217" t="n">
        <v>0</v>
      </c>
      <c r="AG217" t="n">
        <v>0</v>
      </c>
      <c r="AH217" t="n">
        <v>0</v>
      </c>
      <c r="AI217" t="n">
        <v>0</v>
      </c>
      <c r="AJ217" t="n">
        <v>1</v>
      </c>
      <c r="AK217" t="n">
        <v>1</v>
      </c>
      <c r="AL217" t="n">
        <v>0</v>
      </c>
      <c r="AM217" t="n">
        <v>0</v>
      </c>
      <c r="AN217" t="n">
        <v>0</v>
      </c>
      <c r="AO217" t="n">
        <v>0</v>
      </c>
      <c r="AP217" t="inlineStr">
        <is>
          <t>No</t>
        </is>
      </c>
      <c r="AQ217" t="inlineStr">
        <is>
          <t>Yes</t>
        </is>
      </c>
      <c r="AR217">
        <f>HYPERLINK("http://catalog.hathitrust.org/Record/001830110","HathiTrust Record")</f>
        <v/>
      </c>
      <c r="AS217">
        <f>HYPERLINK("https://creighton-primo.hosted.exlibrisgroup.com/primo-explore/search?tab=default_tab&amp;search_scope=EVERYTHING&amp;vid=01CRU&amp;lang=en_US&amp;offset=0&amp;query=any,contains,991001445299702656","Catalog Record")</f>
        <v/>
      </c>
      <c r="AT217">
        <f>HYPERLINK("http://www.worldcat.org/oclc/20216987","WorldCat Record")</f>
        <v/>
      </c>
      <c r="AU217" t="inlineStr">
        <is>
          <t>422918911:eng</t>
        </is>
      </c>
      <c r="AV217" t="inlineStr">
        <is>
          <t>20216987</t>
        </is>
      </c>
      <c r="AW217" t="inlineStr">
        <is>
          <t>991001445299702656</t>
        </is>
      </c>
      <c r="AX217" t="inlineStr">
        <is>
          <t>991001445299702656</t>
        </is>
      </c>
      <c r="AY217" t="inlineStr">
        <is>
          <t>2257809790002656</t>
        </is>
      </c>
      <c r="AZ217" t="inlineStr">
        <is>
          <t>BOOK</t>
        </is>
      </c>
      <c r="BB217" t="inlineStr">
        <is>
          <t>9780826169303</t>
        </is>
      </c>
      <c r="BC217" t="inlineStr">
        <is>
          <t>30001001880345</t>
        </is>
      </c>
      <c r="BD217" t="inlineStr">
        <is>
          <t>893374591</t>
        </is>
      </c>
    </row>
    <row r="218">
      <c r="A218" t="inlineStr">
        <is>
          <t>No</t>
        </is>
      </c>
      <c r="B218" t="inlineStr">
        <is>
          <t>QZ 200 C215195 1982</t>
        </is>
      </c>
      <c r="C218" t="inlineStr">
        <is>
          <t>0                      QZ 0200000C  215195      1982</t>
        </is>
      </c>
      <c r="D218" t="inlineStr">
        <is>
          <t>Cancer in the young / edited by Arthur S. Levine.</t>
        </is>
      </c>
      <c r="F218" t="inlineStr">
        <is>
          <t>No</t>
        </is>
      </c>
      <c r="G218" t="inlineStr">
        <is>
          <t>1</t>
        </is>
      </c>
      <c r="H218" t="inlineStr">
        <is>
          <t>No</t>
        </is>
      </c>
      <c r="I218" t="inlineStr">
        <is>
          <t>No</t>
        </is>
      </c>
      <c r="J218" t="inlineStr">
        <is>
          <t>0</t>
        </is>
      </c>
      <c r="L218" t="inlineStr">
        <is>
          <t>New York : Masson Pub. USA, c1982.</t>
        </is>
      </c>
      <c r="M218" t="inlineStr">
        <is>
          <t>1982</t>
        </is>
      </c>
      <c r="O218" t="inlineStr">
        <is>
          <t>eng</t>
        </is>
      </c>
      <c r="P218" t="inlineStr">
        <is>
          <t>xxu</t>
        </is>
      </c>
      <c r="R218" t="inlineStr">
        <is>
          <t xml:space="preserve">QZ </t>
        </is>
      </c>
      <c r="S218" t="n">
        <v>7</v>
      </c>
      <c r="T218" t="n">
        <v>7</v>
      </c>
      <c r="U218" t="inlineStr">
        <is>
          <t>2000-05-23</t>
        </is>
      </c>
      <c r="V218" t="inlineStr">
        <is>
          <t>2000-05-23</t>
        </is>
      </c>
      <c r="W218" t="inlineStr">
        <is>
          <t>1987-10-03</t>
        </is>
      </c>
      <c r="X218" t="inlineStr">
        <is>
          <t>1987-10-03</t>
        </is>
      </c>
      <c r="Y218" t="n">
        <v>125</v>
      </c>
      <c r="Z218" t="n">
        <v>94</v>
      </c>
      <c r="AA218" t="n">
        <v>96</v>
      </c>
      <c r="AB218" t="n">
        <v>1</v>
      </c>
      <c r="AC218" t="n">
        <v>1</v>
      </c>
      <c r="AD218" t="n">
        <v>0</v>
      </c>
      <c r="AE218" t="n">
        <v>0</v>
      </c>
      <c r="AF218" t="n">
        <v>0</v>
      </c>
      <c r="AG218" t="n">
        <v>0</v>
      </c>
      <c r="AH218" t="n">
        <v>0</v>
      </c>
      <c r="AI218" t="n">
        <v>0</v>
      </c>
      <c r="AJ218" t="n">
        <v>0</v>
      </c>
      <c r="AK218" t="n">
        <v>0</v>
      </c>
      <c r="AL218" t="n">
        <v>0</v>
      </c>
      <c r="AM218" t="n">
        <v>0</v>
      </c>
      <c r="AN218" t="n">
        <v>0</v>
      </c>
      <c r="AO218" t="n">
        <v>0</v>
      </c>
      <c r="AP218" t="inlineStr">
        <is>
          <t>No</t>
        </is>
      </c>
      <c r="AQ218" t="inlineStr">
        <is>
          <t>Yes</t>
        </is>
      </c>
      <c r="AR218">
        <f>HYPERLINK("http://catalog.hathitrust.org/Record/000766190","HathiTrust Record")</f>
        <v/>
      </c>
      <c r="AS218">
        <f>HYPERLINK("https://creighton-primo.hosted.exlibrisgroup.com/primo-explore/search?tab=default_tab&amp;search_scope=EVERYTHING&amp;vid=01CRU&amp;lang=en_US&amp;offset=0&amp;query=any,contains,991000757269702656","Catalog Record")</f>
        <v/>
      </c>
      <c r="AT218">
        <f>HYPERLINK("http://www.worldcat.org/oclc/7835645","WorldCat Record")</f>
        <v/>
      </c>
      <c r="AU218" t="inlineStr">
        <is>
          <t>54464675:eng</t>
        </is>
      </c>
      <c r="AV218" t="inlineStr">
        <is>
          <t>7835645</t>
        </is>
      </c>
      <c r="AW218" t="inlineStr">
        <is>
          <t>991000757269702656</t>
        </is>
      </c>
      <c r="AX218" t="inlineStr">
        <is>
          <t>991000757269702656</t>
        </is>
      </c>
      <c r="AY218" t="inlineStr">
        <is>
          <t>2266212130002656</t>
        </is>
      </c>
      <c r="AZ218" t="inlineStr">
        <is>
          <t>BOOK</t>
        </is>
      </c>
      <c r="BB218" t="inlineStr">
        <is>
          <t>9780893520526</t>
        </is>
      </c>
      <c r="BC218" t="inlineStr">
        <is>
          <t>30001000053852</t>
        </is>
      </c>
      <c r="BD218" t="inlineStr">
        <is>
          <t>893167683</t>
        </is>
      </c>
    </row>
    <row r="219">
      <c r="A219" t="inlineStr">
        <is>
          <t>No</t>
        </is>
      </c>
      <c r="B219" t="inlineStr">
        <is>
          <t>QZ 200 C21534 1990</t>
        </is>
      </c>
      <c r="C219" t="inlineStr">
        <is>
          <t>0                      QZ 0200000C  21534       1990</t>
        </is>
      </c>
      <c r="D219" t="inlineStr">
        <is>
          <t>Cancer manual.</t>
        </is>
      </c>
      <c r="F219" t="inlineStr">
        <is>
          <t>No</t>
        </is>
      </c>
      <c r="G219" t="inlineStr">
        <is>
          <t>1</t>
        </is>
      </c>
      <c r="H219" t="inlineStr">
        <is>
          <t>No</t>
        </is>
      </c>
      <c r="I219" t="inlineStr">
        <is>
          <t>No</t>
        </is>
      </c>
      <c r="J219" t="inlineStr">
        <is>
          <t>0</t>
        </is>
      </c>
      <c r="L219" t="inlineStr">
        <is>
          <t>Boston (247 Commonwealth Ave., Boston 02116) : American Cancer Society, Massachusetts Division, c1990.</t>
        </is>
      </c>
      <c r="M219" t="inlineStr">
        <is>
          <t>1990</t>
        </is>
      </c>
      <c r="N219" t="inlineStr">
        <is>
          <t>8th ed.</t>
        </is>
      </c>
      <c r="O219" t="inlineStr">
        <is>
          <t>eng</t>
        </is>
      </c>
      <c r="P219" t="inlineStr">
        <is>
          <t>mau</t>
        </is>
      </c>
      <c r="R219" t="inlineStr">
        <is>
          <t xml:space="preserve">QZ </t>
        </is>
      </c>
      <c r="S219" t="n">
        <v>18</v>
      </c>
      <c r="T219" t="n">
        <v>18</v>
      </c>
      <c r="U219" t="inlineStr">
        <is>
          <t>1998-09-30</t>
        </is>
      </c>
      <c r="V219" t="inlineStr">
        <is>
          <t>1998-09-30</t>
        </is>
      </c>
      <c r="W219" t="inlineStr">
        <is>
          <t>1990-11-08</t>
        </is>
      </c>
      <c r="X219" t="inlineStr">
        <is>
          <t>1990-11-08</t>
        </is>
      </c>
      <c r="Y219" t="n">
        <v>52</v>
      </c>
      <c r="Z219" t="n">
        <v>50</v>
      </c>
      <c r="AA219" t="n">
        <v>129</v>
      </c>
      <c r="AB219" t="n">
        <v>1</v>
      </c>
      <c r="AC219" t="n">
        <v>2</v>
      </c>
      <c r="AD219" t="n">
        <v>0</v>
      </c>
      <c r="AE219" t="n">
        <v>0</v>
      </c>
      <c r="AF219" t="n">
        <v>0</v>
      </c>
      <c r="AG219" t="n">
        <v>0</v>
      </c>
      <c r="AH219" t="n">
        <v>0</v>
      </c>
      <c r="AI219" t="n">
        <v>0</v>
      </c>
      <c r="AJ219" t="n">
        <v>0</v>
      </c>
      <c r="AK219" t="n">
        <v>0</v>
      </c>
      <c r="AL219" t="n">
        <v>0</v>
      </c>
      <c r="AM219" t="n">
        <v>0</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HYPERLINK("https://creighton-primo.hosted.exlibrisgroup.com/primo-explore/search?tab=default_tab&amp;search_scope=EVERYTHING&amp;vid=01CRU&amp;lang=en_US&amp;offset=0&amp;query=any,contains,991001455439702656","Catalog Record")</f>
        <v/>
      </c>
      <c r="AT219">
        <f>HYPERLINK("http://www.worldcat.org/oclc/22700227","WorldCat Record")</f>
        <v/>
      </c>
      <c r="AU219" t="inlineStr">
        <is>
          <t>54828412:eng</t>
        </is>
      </c>
      <c r="AV219" t="inlineStr">
        <is>
          <t>22700227</t>
        </is>
      </c>
      <c r="AW219" t="inlineStr">
        <is>
          <t>991001455439702656</t>
        </is>
      </c>
      <c r="AX219" t="inlineStr">
        <is>
          <t>991001455439702656</t>
        </is>
      </c>
      <c r="AY219" t="inlineStr">
        <is>
          <t>2263254180002656</t>
        </is>
      </c>
      <c r="AZ219" t="inlineStr">
        <is>
          <t>BOOK</t>
        </is>
      </c>
      <c r="BC219" t="inlineStr">
        <is>
          <t>30001001884990</t>
        </is>
      </c>
      <c r="BD219" t="inlineStr">
        <is>
          <t>893638331</t>
        </is>
      </c>
    </row>
    <row r="220">
      <c r="A220" t="inlineStr">
        <is>
          <t>No</t>
        </is>
      </c>
      <c r="B220" t="inlineStr">
        <is>
          <t>QZ 200 C21536 2000</t>
        </is>
      </c>
      <c r="C220" t="inlineStr">
        <is>
          <t>0                      QZ 0200000C  21536       2000</t>
        </is>
      </c>
      <c r="D220" t="inlineStr">
        <is>
          <t>Cancer medicine e.5 / editors, Robert C. Bast, Jr. ... [et al.] ; associate editor, Ted S. Gansler.</t>
        </is>
      </c>
      <c r="F220" t="inlineStr">
        <is>
          <t>No</t>
        </is>
      </c>
      <c r="G220" t="inlineStr">
        <is>
          <t>1</t>
        </is>
      </c>
      <c r="H220" t="inlineStr">
        <is>
          <t>No</t>
        </is>
      </c>
      <c r="I220" t="inlineStr">
        <is>
          <t>No</t>
        </is>
      </c>
      <c r="J220" t="inlineStr">
        <is>
          <t>0</t>
        </is>
      </c>
      <c r="L220" t="inlineStr">
        <is>
          <t>Hamilton, Ont. ; Lewiston, NY : Decker, 2000.</t>
        </is>
      </c>
      <c r="M220" t="inlineStr">
        <is>
          <t>2000</t>
        </is>
      </c>
      <c r="N220" t="inlineStr">
        <is>
          <t>5th ed.</t>
        </is>
      </c>
      <c r="O220" t="inlineStr">
        <is>
          <t>eng</t>
        </is>
      </c>
      <c r="P220" t="inlineStr">
        <is>
          <t>onc</t>
        </is>
      </c>
      <c r="R220" t="inlineStr">
        <is>
          <t xml:space="preserve">QZ </t>
        </is>
      </c>
      <c r="S220" t="n">
        <v>3</v>
      </c>
      <c r="T220" t="n">
        <v>3</v>
      </c>
      <c r="U220" t="inlineStr">
        <is>
          <t>2003-04-08</t>
        </is>
      </c>
      <c r="V220" t="inlineStr">
        <is>
          <t>2003-04-08</t>
        </is>
      </c>
      <c r="W220" t="inlineStr">
        <is>
          <t>2001-10-25</t>
        </is>
      </c>
      <c r="X220" t="inlineStr">
        <is>
          <t>2001-10-25</t>
        </is>
      </c>
      <c r="Y220" t="n">
        <v>156</v>
      </c>
      <c r="Z220" t="n">
        <v>137</v>
      </c>
      <c r="AA220" t="n">
        <v>144</v>
      </c>
      <c r="AB220" t="n">
        <v>1</v>
      </c>
      <c r="AC220" t="n">
        <v>1</v>
      </c>
      <c r="AD220" t="n">
        <v>3</v>
      </c>
      <c r="AE220" t="n">
        <v>3</v>
      </c>
      <c r="AF220" t="n">
        <v>0</v>
      </c>
      <c r="AG220" t="n">
        <v>0</v>
      </c>
      <c r="AH220" t="n">
        <v>0</v>
      </c>
      <c r="AI220" t="n">
        <v>0</v>
      </c>
      <c r="AJ220" t="n">
        <v>3</v>
      </c>
      <c r="AK220" t="n">
        <v>3</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HYPERLINK("https://creighton-primo.hosted.exlibrisgroup.com/primo-explore/search?tab=default_tab&amp;search_scope=EVERYTHING&amp;vid=01CRU&amp;lang=en_US&amp;offset=0&amp;query=any,contains,991000291949702656","Catalog Record")</f>
        <v/>
      </c>
      <c r="AT220">
        <f>HYPERLINK("http://www.worldcat.org/oclc/44769443","WorldCat Record")</f>
        <v/>
      </c>
      <c r="AU220" t="inlineStr">
        <is>
          <t>2795243707:eng</t>
        </is>
      </c>
      <c r="AV220" t="inlineStr">
        <is>
          <t>44769443</t>
        </is>
      </c>
      <c r="AW220" t="inlineStr">
        <is>
          <t>991000291949702656</t>
        </is>
      </c>
      <c r="AX220" t="inlineStr">
        <is>
          <t>991000291949702656</t>
        </is>
      </c>
      <c r="AY220" t="inlineStr">
        <is>
          <t>2260959090002656</t>
        </is>
      </c>
      <c r="AZ220" t="inlineStr">
        <is>
          <t>BOOK</t>
        </is>
      </c>
      <c r="BB220" t="inlineStr">
        <is>
          <t>9781550091137</t>
        </is>
      </c>
      <c r="BC220" t="inlineStr">
        <is>
          <t>30001004235489</t>
        </is>
      </c>
      <c r="BD220" t="inlineStr">
        <is>
          <t>893269320</t>
        </is>
      </c>
    </row>
    <row r="221">
      <c r="A221" t="inlineStr">
        <is>
          <t>No</t>
        </is>
      </c>
      <c r="B221" t="inlineStr">
        <is>
          <t>QZ200 C21536 2003 V.1-2</t>
        </is>
      </c>
      <c r="C221" t="inlineStr">
        <is>
          <t>0                      QZ 0200000C  21536       2003                                        V.1-2</t>
        </is>
      </c>
      <c r="D221" t="inlineStr">
        <is>
          <t>Cancer medicine 6 / editors, Donald W. Kufe ... [et al.].</t>
        </is>
      </c>
      <c r="E221" t="inlineStr">
        <is>
          <t>V.1</t>
        </is>
      </c>
      <c r="F221" t="inlineStr">
        <is>
          <t>Yes</t>
        </is>
      </c>
      <c r="G221" t="inlineStr">
        <is>
          <t>1</t>
        </is>
      </c>
      <c r="H221" t="inlineStr">
        <is>
          <t>No</t>
        </is>
      </c>
      <c r="I221" t="inlineStr">
        <is>
          <t>No</t>
        </is>
      </c>
      <c r="J221" t="inlineStr">
        <is>
          <t>1</t>
        </is>
      </c>
      <c r="L221" t="inlineStr">
        <is>
          <t>Hamilton, Ont. ; Lewiston, NY [distributor] : BC Decker, 2003.</t>
        </is>
      </c>
      <c r="M221" t="inlineStr">
        <is>
          <t>2003</t>
        </is>
      </c>
      <c r="N221" t="inlineStr">
        <is>
          <t>6th ed.</t>
        </is>
      </c>
      <c r="O221" t="inlineStr">
        <is>
          <t>eng</t>
        </is>
      </c>
      <c r="P221" t="inlineStr">
        <is>
          <t>onc</t>
        </is>
      </c>
      <c r="R221" t="inlineStr">
        <is>
          <t xml:space="preserve">QZ </t>
        </is>
      </c>
      <c r="S221" t="n">
        <v>5</v>
      </c>
      <c r="T221" t="n">
        <v>8</v>
      </c>
      <c r="U221" t="inlineStr">
        <is>
          <t>2004-04-28</t>
        </is>
      </c>
      <c r="V221" t="inlineStr">
        <is>
          <t>2004-04-28</t>
        </is>
      </c>
      <c r="W221" t="inlineStr">
        <is>
          <t>2004-04-02</t>
        </is>
      </c>
      <c r="X221" t="inlineStr">
        <is>
          <t>2004-04-02</t>
        </is>
      </c>
      <c r="Y221" t="n">
        <v>229</v>
      </c>
      <c r="Z221" t="n">
        <v>187</v>
      </c>
      <c r="AA221" t="n">
        <v>214</v>
      </c>
      <c r="AB221" t="n">
        <v>1</v>
      </c>
      <c r="AC221" t="n">
        <v>1</v>
      </c>
      <c r="AD221" t="n">
        <v>2</v>
      </c>
      <c r="AE221" t="n">
        <v>4</v>
      </c>
      <c r="AF221" t="n">
        <v>1</v>
      </c>
      <c r="AG221" t="n">
        <v>2</v>
      </c>
      <c r="AH221" t="n">
        <v>0</v>
      </c>
      <c r="AI221" t="n">
        <v>0</v>
      </c>
      <c r="AJ221" t="n">
        <v>1</v>
      </c>
      <c r="AK221" t="n">
        <v>2</v>
      </c>
      <c r="AL221" t="n">
        <v>0</v>
      </c>
      <c r="AM221" t="n">
        <v>0</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HYPERLINK("https://creighton-primo.hosted.exlibrisgroup.com/primo-explore/search?tab=default_tab&amp;search_scope=EVERYTHING&amp;vid=01CRU&amp;lang=en_US&amp;offset=0&amp;query=any,contains,991000369599702656","Catalog Record")</f>
        <v/>
      </c>
      <c r="AT221">
        <f>HYPERLINK("http://www.worldcat.org/oclc/55942922","WorldCat Record")</f>
        <v/>
      </c>
      <c r="AU221" t="inlineStr">
        <is>
          <t>10567371813:eng</t>
        </is>
      </c>
      <c r="AV221" t="inlineStr">
        <is>
          <t>55942922</t>
        </is>
      </c>
      <c r="AW221" t="inlineStr">
        <is>
          <t>991000369599702656</t>
        </is>
      </c>
      <c r="AX221" t="inlineStr">
        <is>
          <t>991000369599702656</t>
        </is>
      </c>
      <c r="AY221" t="inlineStr">
        <is>
          <t>2263898320002656</t>
        </is>
      </c>
      <c r="AZ221" t="inlineStr">
        <is>
          <t>BOOK</t>
        </is>
      </c>
      <c r="BB221" t="inlineStr">
        <is>
          <t>9781550092134</t>
        </is>
      </c>
      <c r="BC221" t="inlineStr">
        <is>
          <t>30001004506772</t>
        </is>
      </c>
      <c r="BD221" t="inlineStr">
        <is>
          <t>893553459</t>
        </is>
      </c>
    </row>
    <row r="222">
      <c r="A222" t="inlineStr">
        <is>
          <t>No</t>
        </is>
      </c>
      <c r="B222" t="inlineStr">
        <is>
          <t>QZ200 C21536 2003 V.1-2</t>
        </is>
      </c>
      <c r="C222" t="inlineStr">
        <is>
          <t>0                      QZ 0200000C  21536       2003                                        V.1-2</t>
        </is>
      </c>
      <c r="D222" t="inlineStr">
        <is>
          <t>Cancer medicine 6 / editors, Donald W. Kufe ... [et al.].</t>
        </is>
      </c>
      <c r="E222" t="inlineStr">
        <is>
          <t>V.2</t>
        </is>
      </c>
      <c r="F222" t="inlineStr">
        <is>
          <t>Yes</t>
        </is>
      </c>
      <c r="G222" t="inlineStr">
        <is>
          <t>1</t>
        </is>
      </c>
      <c r="H222" t="inlineStr">
        <is>
          <t>No</t>
        </is>
      </c>
      <c r="I222" t="inlineStr">
        <is>
          <t>No</t>
        </is>
      </c>
      <c r="J222" t="inlineStr">
        <is>
          <t>1</t>
        </is>
      </c>
      <c r="L222" t="inlineStr">
        <is>
          <t>Hamilton, Ont. ; Lewiston, NY [distributor] : BC Decker, 2003.</t>
        </is>
      </c>
      <c r="M222" t="inlineStr">
        <is>
          <t>2003</t>
        </is>
      </c>
      <c r="N222" t="inlineStr">
        <is>
          <t>6th ed.</t>
        </is>
      </c>
      <c r="O222" t="inlineStr">
        <is>
          <t>eng</t>
        </is>
      </c>
      <c r="P222" t="inlineStr">
        <is>
          <t>onc</t>
        </is>
      </c>
      <c r="R222" t="inlineStr">
        <is>
          <t xml:space="preserve">QZ </t>
        </is>
      </c>
      <c r="S222" t="n">
        <v>3</v>
      </c>
      <c r="T222" t="n">
        <v>8</v>
      </c>
      <c r="U222" t="inlineStr">
        <is>
          <t>2004-04-28</t>
        </is>
      </c>
      <c r="V222" t="inlineStr">
        <is>
          <t>2004-04-28</t>
        </is>
      </c>
      <c r="W222" t="inlineStr">
        <is>
          <t>2004-04-02</t>
        </is>
      </c>
      <c r="X222" t="inlineStr">
        <is>
          <t>2004-04-02</t>
        </is>
      </c>
      <c r="Y222" t="n">
        <v>229</v>
      </c>
      <c r="Z222" t="n">
        <v>187</v>
      </c>
      <c r="AA222" t="n">
        <v>214</v>
      </c>
      <c r="AB222" t="n">
        <v>1</v>
      </c>
      <c r="AC222" t="n">
        <v>1</v>
      </c>
      <c r="AD222" t="n">
        <v>2</v>
      </c>
      <c r="AE222" t="n">
        <v>4</v>
      </c>
      <c r="AF222" t="n">
        <v>1</v>
      </c>
      <c r="AG222" t="n">
        <v>2</v>
      </c>
      <c r="AH222" t="n">
        <v>0</v>
      </c>
      <c r="AI222" t="n">
        <v>0</v>
      </c>
      <c r="AJ222" t="n">
        <v>1</v>
      </c>
      <c r="AK222" t="n">
        <v>2</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HYPERLINK("https://creighton-primo.hosted.exlibrisgroup.com/primo-explore/search?tab=default_tab&amp;search_scope=EVERYTHING&amp;vid=01CRU&amp;lang=en_US&amp;offset=0&amp;query=any,contains,991000369599702656","Catalog Record")</f>
        <v/>
      </c>
      <c r="AT222">
        <f>HYPERLINK("http://www.worldcat.org/oclc/55942922","WorldCat Record")</f>
        <v/>
      </c>
      <c r="AU222" t="inlineStr">
        <is>
          <t>10567371813:eng</t>
        </is>
      </c>
      <c r="AV222" t="inlineStr">
        <is>
          <t>55942922</t>
        </is>
      </c>
      <c r="AW222" t="inlineStr">
        <is>
          <t>991000369599702656</t>
        </is>
      </c>
      <c r="AX222" t="inlineStr">
        <is>
          <t>991000369599702656</t>
        </is>
      </c>
      <c r="AY222" t="inlineStr">
        <is>
          <t>2263898320002656</t>
        </is>
      </c>
      <c r="AZ222" t="inlineStr">
        <is>
          <t>BOOK</t>
        </is>
      </c>
      <c r="BB222" t="inlineStr">
        <is>
          <t>9781550092134</t>
        </is>
      </c>
      <c r="BC222" t="inlineStr">
        <is>
          <t>30001004506780</t>
        </is>
      </c>
      <c r="BD222" t="inlineStr">
        <is>
          <t>893558789</t>
        </is>
      </c>
    </row>
    <row r="223">
      <c r="A223" t="inlineStr">
        <is>
          <t>No</t>
        </is>
      </c>
      <c r="B223" t="inlineStr">
        <is>
          <t>QZ200 C2153637 2004</t>
        </is>
      </c>
      <c r="C223" t="inlineStr">
        <is>
          <t>0                      QZ 0200000C  2153637     2004</t>
        </is>
      </c>
      <c r="D223" t="inlineStr">
        <is>
          <t>Cancer prevention and early diagnosis in women / [edited by] Alberto Manetta.</t>
        </is>
      </c>
      <c r="F223" t="inlineStr">
        <is>
          <t>No</t>
        </is>
      </c>
      <c r="G223" t="inlineStr">
        <is>
          <t>1</t>
        </is>
      </c>
      <c r="H223" t="inlineStr">
        <is>
          <t>No</t>
        </is>
      </c>
      <c r="I223" t="inlineStr">
        <is>
          <t>No</t>
        </is>
      </c>
      <c r="J223" t="inlineStr">
        <is>
          <t>0</t>
        </is>
      </c>
      <c r="L223" t="inlineStr">
        <is>
          <t>Philadelphia, Pa. : Mosby, c2004.</t>
        </is>
      </c>
      <c r="M223" t="inlineStr">
        <is>
          <t>2004</t>
        </is>
      </c>
      <c r="O223" t="inlineStr">
        <is>
          <t>eng</t>
        </is>
      </c>
      <c r="P223" t="inlineStr">
        <is>
          <t>pau</t>
        </is>
      </c>
      <c r="R223" t="inlineStr">
        <is>
          <t xml:space="preserve">QZ </t>
        </is>
      </c>
      <c r="S223" t="n">
        <v>2</v>
      </c>
      <c r="T223" t="n">
        <v>2</v>
      </c>
      <c r="U223" t="inlineStr">
        <is>
          <t>2005-02-15</t>
        </is>
      </c>
      <c r="V223" t="inlineStr">
        <is>
          <t>2005-02-15</t>
        </is>
      </c>
      <c r="W223" t="inlineStr">
        <is>
          <t>2005-02-11</t>
        </is>
      </c>
      <c r="X223" t="inlineStr">
        <is>
          <t>2005-02-11</t>
        </is>
      </c>
      <c r="Y223" t="n">
        <v>153</v>
      </c>
      <c r="Z223" t="n">
        <v>111</v>
      </c>
      <c r="AA223" t="n">
        <v>113</v>
      </c>
      <c r="AB223" t="n">
        <v>1</v>
      </c>
      <c r="AC223" t="n">
        <v>1</v>
      </c>
      <c r="AD223" t="n">
        <v>3</v>
      </c>
      <c r="AE223" t="n">
        <v>3</v>
      </c>
      <c r="AF223" t="n">
        <v>0</v>
      </c>
      <c r="AG223" t="n">
        <v>0</v>
      </c>
      <c r="AH223" t="n">
        <v>2</v>
      </c>
      <c r="AI223" t="n">
        <v>2</v>
      </c>
      <c r="AJ223" t="n">
        <v>2</v>
      </c>
      <c r="AK223" t="n">
        <v>2</v>
      </c>
      <c r="AL223" t="n">
        <v>0</v>
      </c>
      <c r="AM223" t="n">
        <v>0</v>
      </c>
      <c r="AN223" t="n">
        <v>0</v>
      </c>
      <c r="AO223" t="n">
        <v>0</v>
      </c>
      <c r="AP223" t="inlineStr">
        <is>
          <t>No</t>
        </is>
      </c>
      <c r="AQ223" t="inlineStr">
        <is>
          <t>Yes</t>
        </is>
      </c>
      <c r="AR223">
        <f>HYPERLINK("http://catalog.hathitrust.org/Record/004350077","HathiTrust Record")</f>
        <v/>
      </c>
      <c r="AS223">
        <f>HYPERLINK("https://creighton-primo.hosted.exlibrisgroup.com/primo-explore/search?tab=default_tab&amp;search_scope=EVERYTHING&amp;vid=01CRU&amp;lang=en_US&amp;offset=0&amp;query=any,contains,991000427609702656","Catalog Record")</f>
        <v/>
      </c>
      <c r="AT223">
        <f>HYPERLINK("http://www.worldcat.org/oclc/52381290","WorldCat Record")</f>
        <v/>
      </c>
      <c r="AU223" t="inlineStr">
        <is>
          <t>2636821:eng</t>
        </is>
      </c>
      <c r="AV223" t="inlineStr">
        <is>
          <t>52381290</t>
        </is>
      </c>
      <c r="AW223" t="inlineStr">
        <is>
          <t>991000427609702656</t>
        </is>
      </c>
      <c r="AX223" t="inlineStr">
        <is>
          <t>991000427609702656</t>
        </is>
      </c>
      <c r="AY223" t="inlineStr">
        <is>
          <t>2257072110002656</t>
        </is>
      </c>
      <c r="AZ223" t="inlineStr">
        <is>
          <t>BOOK</t>
        </is>
      </c>
      <c r="BB223" t="inlineStr">
        <is>
          <t>9780323013475</t>
        </is>
      </c>
      <c r="BC223" t="inlineStr">
        <is>
          <t>30001004927440</t>
        </is>
      </c>
      <c r="BD223" t="inlineStr">
        <is>
          <t>893553492</t>
        </is>
      </c>
    </row>
    <row r="224">
      <c r="A224" t="inlineStr">
        <is>
          <t>No</t>
        </is>
      </c>
      <c r="B224" t="inlineStr">
        <is>
          <t>QZ 200 C215366 1993</t>
        </is>
      </c>
      <c r="C224" t="inlineStr">
        <is>
          <t>0                      QZ 0200000C  215366      1993</t>
        </is>
      </c>
      <c r="D224" t="inlineStr">
        <is>
          <t>Cancer prevention in minority populations : cultural implications for health care professionals / edited by Marilyn Frank-Stromborg, Sharon J. Olsen.</t>
        </is>
      </c>
      <c r="F224" t="inlineStr">
        <is>
          <t>No</t>
        </is>
      </c>
      <c r="G224" t="inlineStr">
        <is>
          <t>1</t>
        </is>
      </c>
      <c r="H224" t="inlineStr">
        <is>
          <t>No</t>
        </is>
      </c>
      <c r="I224" t="inlineStr">
        <is>
          <t>No</t>
        </is>
      </c>
      <c r="J224" t="inlineStr">
        <is>
          <t>0</t>
        </is>
      </c>
      <c r="L224" t="inlineStr">
        <is>
          <t>St. Louis : Mosby, c1993.</t>
        </is>
      </c>
      <c r="M224" t="inlineStr">
        <is>
          <t>1993</t>
        </is>
      </c>
      <c r="O224" t="inlineStr">
        <is>
          <t>eng</t>
        </is>
      </c>
      <c r="P224" t="inlineStr">
        <is>
          <t>mou</t>
        </is>
      </c>
      <c r="R224" t="inlineStr">
        <is>
          <t xml:space="preserve">QZ </t>
        </is>
      </c>
      <c r="S224" t="n">
        <v>4</v>
      </c>
      <c r="T224" t="n">
        <v>4</v>
      </c>
      <c r="U224" t="inlineStr">
        <is>
          <t>1998-06-17</t>
        </is>
      </c>
      <c r="V224" t="inlineStr">
        <is>
          <t>1998-06-17</t>
        </is>
      </c>
      <c r="W224" t="inlineStr">
        <is>
          <t>1993-03-02</t>
        </is>
      </c>
      <c r="X224" t="inlineStr">
        <is>
          <t>1993-03-02</t>
        </is>
      </c>
      <c r="Y224" t="n">
        <v>313</v>
      </c>
      <c r="Z224" t="n">
        <v>274</v>
      </c>
      <c r="AA224" t="n">
        <v>274</v>
      </c>
      <c r="AB224" t="n">
        <v>2</v>
      </c>
      <c r="AC224" t="n">
        <v>2</v>
      </c>
      <c r="AD224" t="n">
        <v>14</v>
      </c>
      <c r="AE224" t="n">
        <v>14</v>
      </c>
      <c r="AF224" t="n">
        <v>3</v>
      </c>
      <c r="AG224" t="n">
        <v>3</v>
      </c>
      <c r="AH224" t="n">
        <v>5</v>
      </c>
      <c r="AI224" t="n">
        <v>5</v>
      </c>
      <c r="AJ224" t="n">
        <v>11</v>
      </c>
      <c r="AK224" t="n">
        <v>11</v>
      </c>
      <c r="AL224" t="n">
        <v>0</v>
      </c>
      <c r="AM224" t="n">
        <v>0</v>
      </c>
      <c r="AN224" t="n">
        <v>0</v>
      </c>
      <c r="AO224" t="n">
        <v>0</v>
      </c>
      <c r="AP224" t="inlineStr">
        <is>
          <t>No</t>
        </is>
      </c>
      <c r="AQ224" t="inlineStr">
        <is>
          <t>Yes</t>
        </is>
      </c>
      <c r="AR224">
        <f>HYPERLINK("http://catalog.hathitrust.org/Record/002620142","HathiTrust Record")</f>
        <v/>
      </c>
      <c r="AS224">
        <f>HYPERLINK("https://creighton-primo.hosted.exlibrisgroup.com/primo-explore/search?tab=default_tab&amp;search_scope=EVERYTHING&amp;vid=01CRU&amp;lang=en_US&amp;offset=0&amp;query=any,contains,991001431739702656","Catalog Record")</f>
        <v/>
      </c>
      <c r="AT224">
        <f>HYPERLINK("http://www.worldcat.org/oclc/27036700","WorldCat Record")</f>
        <v/>
      </c>
      <c r="AU224" t="inlineStr">
        <is>
          <t>8908304355:eng</t>
        </is>
      </c>
      <c r="AV224" t="inlineStr">
        <is>
          <t>27036700</t>
        </is>
      </c>
      <c r="AW224" t="inlineStr">
        <is>
          <t>991001431739702656</t>
        </is>
      </c>
      <c r="AX224" t="inlineStr">
        <is>
          <t>991001431739702656</t>
        </is>
      </c>
      <c r="AY224" t="inlineStr">
        <is>
          <t>2270993970002656</t>
        </is>
      </c>
      <c r="AZ224" t="inlineStr">
        <is>
          <t>BOOK</t>
        </is>
      </c>
      <c r="BB224" t="inlineStr">
        <is>
          <t>9780801669484</t>
        </is>
      </c>
      <c r="BC224" t="inlineStr">
        <is>
          <t>30001002529479</t>
        </is>
      </c>
      <c r="BD224" t="inlineStr">
        <is>
          <t>893161984</t>
        </is>
      </c>
    </row>
    <row r="225">
      <c r="A225" t="inlineStr">
        <is>
          <t>No</t>
        </is>
      </c>
      <c r="B225" t="inlineStr">
        <is>
          <t>QZ 200 C21537 1982</t>
        </is>
      </c>
      <c r="C225" t="inlineStr">
        <is>
          <t>0                      QZ 0200000C  21537       1982</t>
        </is>
      </c>
      <c r="D225" t="inlineStr">
        <is>
          <t>Cancer, principles and practice of oncology / edited by Vincent T. DeVita, Jr., Samuel Hellman, Steven A. Rosenberg ; with 104 contributors.</t>
        </is>
      </c>
      <c r="F225" t="inlineStr">
        <is>
          <t>No</t>
        </is>
      </c>
      <c r="G225" t="inlineStr">
        <is>
          <t>1</t>
        </is>
      </c>
      <c r="H225" t="inlineStr">
        <is>
          <t>No</t>
        </is>
      </c>
      <c r="I225" t="inlineStr">
        <is>
          <t>Yes</t>
        </is>
      </c>
      <c r="J225" t="inlineStr">
        <is>
          <t>0</t>
        </is>
      </c>
      <c r="L225" t="inlineStr">
        <is>
          <t>Philadelphia : Lippincott, c1982.</t>
        </is>
      </c>
      <c r="M225" t="inlineStr">
        <is>
          <t>1982</t>
        </is>
      </c>
      <c r="O225" t="inlineStr">
        <is>
          <t>eng</t>
        </is>
      </c>
      <c r="P225" t="inlineStr">
        <is>
          <t>xxu</t>
        </is>
      </c>
      <c r="R225" t="inlineStr">
        <is>
          <t xml:space="preserve">QZ </t>
        </is>
      </c>
      <c r="S225" t="n">
        <v>12</v>
      </c>
      <c r="T225" t="n">
        <v>12</v>
      </c>
      <c r="U225" t="inlineStr">
        <is>
          <t>1989-08-05</t>
        </is>
      </c>
      <c r="V225" t="inlineStr">
        <is>
          <t>1989-08-05</t>
        </is>
      </c>
      <c r="W225" t="inlineStr">
        <is>
          <t>1988-02-19</t>
        </is>
      </c>
      <c r="X225" t="inlineStr">
        <is>
          <t>1988-02-19</t>
        </is>
      </c>
      <c r="Y225" t="n">
        <v>257</v>
      </c>
      <c r="Z225" t="n">
        <v>192</v>
      </c>
      <c r="AA225" t="n">
        <v>892</v>
      </c>
      <c r="AB225" t="n">
        <v>3</v>
      </c>
      <c r="AC225" t="n">
        <v>5</v>
      </c>
      <c r="AD225" t="n">
        <v>3</v>
      </c>
      <c r="AE225" t="n">
        <v>18</v>
      </c>
      <c r="AF225" t="n">
        <v>0</v>
      </c>
      <c r="AG225" t="n">
        <v>7</v>
      </c>
      <c r="AH225" t="n">
        <v>1</v>
      </c>
      <c r="AI225" t="n">
        <v>6</v>
      </c>
      <c r="AJ225" t="n">
        <v>2</v>
      </c>
      <c r="AK225" t="n">
        <v>5</v>
      </c>
      <c r="AL225" t="n">
        <v>1</v>
      </c>
      <c r="AM225" t="n">
        <v>3</v>
      </c>
      <c r="AN225" t="n">
        <v>0</v>
      </c>
      <c r="AO225" t="n">
        <v>0</v>
      </c>
      <c r="AP225" t="inlineStr">
        <is>
          <t>No</t>
        </is>
      </c>
      <c r="AQ225" t="inlineStr">
        <is>
          <t>Yes</t>
        </is>
      </c>
      <c r="AR225">
        <f>HYPERLINK("http://catalog.hathitrust.org/Record/000762355","HathiTrust Record")</f>
        <v/>
      </c>
      <c r="AS225">
        <f>HYPERLINK("https://creighton-primo.hosted.exlibrisgroup.com/primo-explore/search?tab=default_tab&amp;search_scope=EVERYTHING&amp;vid=01CRU&amp;lang=en_US&amp;offset=0&amp;query=any,contains,991001166729702656","Catalog Record")</f>
        <v/>
      </c>
      <c r="AT225">
        <f>HYPERLINK("http://www.worldcat.org/oclc/7739770","WorldCat Record")</f>
        <v/>
      </c>
      <c r="AU225" t="inlineStr">
        <is>
          <t>117653416:eng</t>
        </is>
      </c>
      <c r="AV225" t="inlineStr">
        <is>
          <t>7739770</t>
        </is>
      </c>
      <c r="AW225" t="inlineStr">
        <is>
          <t>991001166729702656</t>
        </is>
      </c>
      <c r="AX225" t="inlineStr">
        <is>
          <t>991001166729702656</t>
        </is>
      </c>
      <c r="AY225" t="inlineStr">
        <is>
          <t>2258635170002656</t>
        </is>
      </c>
      <c r="AZ225" t="inlineStr">
        <is>
          <t>BOOK</t>
        </is>
      </c>
      <c r="BB225" t="inlineStr">
        <is>
          <t>9780397504404</t>
        </is>
      </c>
      <c r="BC225" t="inlineStr">
        <is>
          <t>30001000304776</t>
        </is>
      </c>
      <c r="BD225" t="inlineStr">
        <is>
          <t>893374308</t>
        </is>
      </c>
    </row>
    <row r="226">
      <c r="A226" t="inlineStr">
        <is>
          <t>No</t>
        </is>
      </c>
      <c r="B226" t="inlineStr">
        <is>
          <t>QZ 200 C21537 1997</t>
        </is>
      </c>
      <c r="C226" t="inlineStr">
        <is>
          <t>0                      QZ 0200000C  21537       1997</t>
        </is>
      </c>
      <c r="D226" t="inlineStr">
        <is>
          <t>Cancer : principles &amp; practice of oncology / edited by Vincent T. DeVita, Jr., Samuel Hellman, Steven A. Rosenberg ; 290 contributors.</t>
        </is>
      </c>
      <c r="E226" t="inlineStr">
        <is>
          <t>V. 2</t>
        </is>
      </c>
      <c r="F226" t="inlineStr">
        <is>
          <t>Yes</t>
        </is>
      </c>
      <c r="G226" t="inlineStr">
        <is>
          <t>1</t>
        </is>
      </c>
      <c r="H226" t="inlineStr">
        <is>
          <t>No</t>
        </is>
      </c>
      <c r="I226" t="inlineStr">
        <is>
          <t>Yes</t>
        </is>
      </c>
      <c r="J226" t="inlineStr">
        <is>
          <t>0</t>
        </is>
      </c>
      <c r="L226" t="inlineStr">
        <is>
          <t>Philadelphia : Lippincott-Raven, c1997.</t>
        </is>
      </c>
      <c r="M226" t="inlineStr">
        <is>
          <t>1997</t>
        </is>
      </c>
      <c r="N226" t="inlineStr">
        <is>
          <t>5th ed.</t>
        </is>
      </c>
      <c r="O226" t="inlineStr">
        <is>
          <t>eng</t>
        </is>
      </c>
      <c r="P226" t="inlineStr">
        <is>
          <t>xxu</t>
        </is>
      </c>
      <c r="R226" t="inlineStr">
        <is>
          <t xml:space="preserve">QZ </t>
        </is>
      </c>
      <c r="S226" t="n">
        <v>38</v>
      </c>
      <c r="T226" t="n">
        <v>70</v>
      </c>
      <c r="U226" t="inlineStr">
        <is>
          <t>2000-08-08</t>
        </is>
      </c>
      <c r="V226" t="inlineStr">
        <is>
          <t>2000-08-17</t>
        </is>
      </c>
      <c r="W226" t="inlineStr">
        <is>
          <t>1997-04-28</t>
        </is>
      </c>
      <c r="X226" t="inlineStr">
        <is>
          <t>1997-04-28</t>
        </is>
      </c>
      <c r="Y226" t="n">
        <v>315</v>
      </c>
      <c r="Z226" t="n">
        <v>240</v>
      </c>
      <c r="AA226" t="n">
        <v>892</v>
      </c>
      <c r="AB226" t="n">
        <v>1</v>
      </c>
      <c r="AC226" t="n">
        <v>5</v>
      </c>
      <c r="AD226" t="n">
        <v>3</v>
      </c>
      <c r="AE226" t="n">
        <v>18</v>
      </c>
      <c r="AF226" t="n">
        <v>0</v>
      </c>
      <c r="AG226" t="n">
        <v>7</v>
      </c>
      <c r="AH226" t="n">
        <v>2</v>
      </c>
      <c r="AI226" t="n">
        <v>6</v>
      </c>
      <c r="AJ226" t="n">
        <v>2</v>
      </c>
      <c r="AK226" t="n">
        <v>5</v>
      </c>
      <c r="AL226" t="n">
        <v>0</v>
      </c>
      <c r="AM226" t="n">
        <v>3</v>
      </c>
      <c r="AN226" t="n">
        <v>0</v>
      </c>
      <c r="AO226" t="n">
        <v>0</v>
      </c>
      <c r="AP226" t="inlineStr">
        <is>
          <t>No</t>
        </is>
      </c>
      <c r="AQ226" t="inlineStr">
        <is>
          <t>Yes</t>
        </is>
      </c>
      <c r="AR226">
        <f>HYPERLINK("http://catalog.hathitrust.org/Record/003126753","HathiTrust Record")</f>
        <v/>
      </c>
      <c r="AS226">
        <f>HYPERLINK("https://creighton-primo.hosted.exlibrisgroup.com/primo-explore/search?tab=default_tab&amp;search_scope=EVERYTHING&amp;vid=01CRU&amp;lang=en_US&amp;offset=0&amp;query=any,contains,991001048569702656","Catalog Record")</f>
        <v/>
      </c>
      <c r="AT226">
        <f>HYPERLINK("http://www.worldcat.org/oclc/36205127","WorldCat Record")</f>
        <v/>
      </c>
      <c r="AU226" t="inlineStr">
        <is>
          <t>117653416:eng</t>
        </is>
      </c>
      <c r="AV226" t="inlineStr">
        <is>
          <t>36205127</t>
        </is>
      </c>
      <c r="AW226" t="inlineStr">
        <is>
          <t>991001048569702656</t>
        </is>
      </c>
      <c r="AX226" t="inlineStr">
        <is>
          <t>991001048569702656</t>
        </is>
      </c>
      <c r="AY226" t="inlineStr">
        <is>
          <t>2260163660002656</t>
        </is>
      </c>
      <c r="AZ226" t="inlineStr">
        <is>
          <t>BOOK</t>
        </is>
      </c>
      <c r="BB226" t="inlineStr">
        <is>
          <t>9780397515745</t>
        </is>
      </c>
      <c r="BC226" t="inlineStr">
        <is>
          <t>30001003585645</t>
        </is>
      </c>
      <c r="BD226" t="inlineStr">
        <is>
          <t>893736181</t>
        </is>
      </c>
    </row>
    <row r="227">
      <c r="A227" t="inlineStr">
        <is>
          <t>No</t>
        </is>
      </c>
      <c r="B227" t="inlineStr">
        <is>
          <t>QZ 200 C21537 1997</t>
        </is>
      </c>
      <c r="C227" t="inlineStr">
        <is>
          <t>0                      QZ 0200000C  21537       1997</t>
        </is>
      </c>
      <c r="D227" t="inlineStr">
        <is>
          <t>Cancer : principles &amp; practice of oncology / edited by Vincent T. DeVita, Jr., Samuel Hellman, Steven A. Rosenberg ; 290 contributors.</t>
        </is>
      </c>
      <c r="E227" t="inlineStr">
        <is>
          <t>V. 1</t>
        </is>
      </c>
      <c r="F227" t="inlineStr">
        <is>
          <t>Yes</t>
        </is>
      </c>
      <c r="G227" t="inlineStr">
        <is>
          <t>1</t>
        </is>
      </c>
      <c r="H227" t="inlineStr">
        <is>
          <t>No</t>
        </is>
      </c>
      <c r="I227" t="inlineStr">
        <is>
          <t>Yes</t>
        </is>
      </c>
      <c r="J227" t="inlineStr">
        <is>
          <t>0</t>
        </is>
      </c>
      <c r="L227" t="inlineStr">
        <is>
          <t>Philadelphia : Lippincott-Raven, c1997.</t>
        </is>
      </c>
      <c r="M227" t="inlineStr">
        <is>
          <t>1997</t>
        </is>
      </c>
      <c r="N227" t="inlineStr">
        <is>
          <t>5th ed.</t>
        </is>
      </c>
      <c r="O227" t="inlineStr">
        <is>
          <t>eng</t>
        </is>
      </c>
      <c r="P227" t="inlineStr">
        <is>
          <t>xxu</t>
        </is>
      </c>
      <c r="R227" t="inlineStr">
        <is>
          <t xml:space="preserve">QZ </t>
        </is>
      </c>
      <c r="S227" t="n">
        <v>32</v>
      </c>
      <c r="T227" t="n">
        <v>70</v>
      </c>
      <c r="U227" t="inlineStr">
        <is>
          <t>2000-08-17</t>
        </is>
      </c>
      <c r="V227" t="inlineStr">
        <is>
          <t>2000-08-17</t>
        </is>
      </c>
      <c r="W227" t="inlineStr">
        <is>
          <t>1997-04-28</t>
        </is>
      </c>
      <c r="X227" t="inlineStr">
        <is>
          <t>1997-04-28</t>
        </is>
      </c>
      <c r="Y227" t="n">
        <v>315</v>
      </c>
      <c r="Z227" t="n">
        <v>240</v>
      </c>
      <c r="AA227" t="n">
        <v>892</v>
      </c>
      <c r="AB227" t="n">
        <v>1</v>
      </c>
      <c r="AC227" t="n">
        <v>5</v>
      </c>
      <c r="AD227" t="n">
        <v>3</v>
      </c>
      <c r="AE227" t="n">
        <v>18</v>
      </c>
      <c r="AF227" t="n">
        <v>0</v>
      </c>
      <c r="AG227" t="n">
        <v>7</v>
      </c>
      <c r="AH227" t="n">
        <v>2</v>
      </c>
      <c r="AI227" t="n">
        <v>6</v>
      </c>
      <c r="AJ227" t="n">
        <v>2</v>
      </c>
      <c r="AK227" t="n">
        <v>5</v>
      </c>
      <c r="AL227" t="n">
        <v>0</v>
      </c>
      <c r="AM227" t="n">
        <v>3</v>
      </c>
      <c r="AN227" t="n">
        <v>0</v>
      </c>
      <c r="AO227" t="n">
        <v>0</v>
      </c>
      <c r="AP227" t="inlineStr">
        <is>
          <t>No</t>
        </is>
      </c>
      <c r="AQ227" t="inlineStr">
        <is>
          <t>Yes</t>
        </is>
      </c>
      <c r="AR227">
        <f>HYPERLINK("http://catalog.hathitrust.org/Record/003126753","HathiTrust Record")</f>
        <v/>
      </c>
      <c r="AS227">
        <f>HYPERLINK("https://creighton-primo.hosted.exlibrisgroup.com/primo-explore/search?tab=default_tab&amp;search_scope=EVERYTHING&amp;vid=01CRU&amp;lang=en_US&amp;offset=0&amp;query=any,contains,991001048569702656","Catalog Record")</f>
        <v/>
      </c>
      <c r="AT227">
        <f>HYPERLINK("http://www.worldcat.org/oclc/36205127","WorldCat Record")</f>
        <v/>
      </c>
      <c r="AU227" t="inlineStr">
        <is>
          <t>117653416:eng</t>
        </is>
      </c>
      <c r="AV227" t="inlineStr">
        <is>
          <t>36205127</t>
        </is>
      </c>
      <c r="AW227" t="inlineStr">
        <is>
          <t>991001048569702656</t>
        </is>
      </c>
      <c r="AX227" t="inlineStr">
        <is>
          <t>991001048569702656</t>
        </is>
      </c>
      <c r="AY227" t="inlineStr">
        <is>
          <t>2260163660002656</t>
        </is>
      </c>
      <c r="AZ227" t="inlineStr">
        <is>
          <t>BOOK</t>
        </is>
      </c>
      <c r="BB227" t="inlineStr">
        <is>
          <t>9780397515745</t>
        </is>
      </c>
      <c r="BC227" t="inlineStr">
        <is>
          <t>30001003585637</t>
        </is>
      </c>
      <c r="BD227" t="inlineStr">
        <is>
          <t>893740703</t>
        </is>
      </c>
    </row>
    <row r="228">
      <c r="A228" t="inlineStr">
        <is>
          <t>No</t>
        </is>
      </c>
      <c r="B228" t="inlineStr">
        <is>
          <t>QZ200 C21537 2005</t>
        </is>
      </c>
      <c r="C228" t="inlineStr">
        <is>
          <t>0                      QZ 0200000C  21537       2005</t>
        </is>
      </c>
      <c r="D228" t="inlineStr">
        <is>
          <t>Cancer : principles &amp; practice of oncology / edited by Vincent T. Devita Jr., Samuel Hellman, Steven A. Rosenberg ; with 355 contributing authors.</t>
        </is>
      </c>
      <c r="F228" t="inlineStr">
        <is>
          <t>Yes</t>
        </is>
      </c>
      <c r="G228" t="inlineStr">
        <is>
          <t>1</t>
        </is>
      </c>
      <c r="H228" t="inlineStr">
        <is>
          <t>No</t>
        </is>
      </c>
      <c r="I228" t="inlineStr">
        <is>
          <t>Yes</t>
        </is>
      </c>
      <c r="J228" t="inlineStr">
        <is>
          <t>0</t>
        </is>
      </c>
      <c r="L228" t="inlineStr">
        <is>
          <t>Philadelphia : Lippincott Williams &amp; Wilkins, c2005.</t>
        </is>
      </c>
      <c r="M228" t="inlineStr">
        <is>
          <t>2005</t>
        </is>
      </c>
      <c r="N228" t="inlineStr">
        <is>
          <t>7th ed.</t>
        </is>
      </c>
      <c r="O228" t="inlineStr">
        <is>
          <t>eng</t>
        </is>
      </c>
      <c r="P228" t="inlineStr">
        <is>
          <t>pau</t>
        </is>
      </c>
      <c r="R228" t="inlineStr">
        <is>
          <t xml:space="preserve">QZ </t>
        </is>
      </c>
      <c r="S228" t="n">
        <v>12</v>
      </c>
      <c r="T228" t="n">
        <v>12</v>
      </c>
      <c r="U228" t="inlineStr">
        <is>
          <t>2008-02-18</t>
        </is>
      </c>
      <c r="V228" t="inlineStr">
        <is>
          <t>2008-02-18</t>
        </is>
      </c>
      <c r="W228" t="inlineStr">
        <is>
          <t>2005-01-14</t>
        </is>
      </c>
      <c r="X228" t="inlineStr">
        <is>
          <t>2005-01-14</t>
        </is>
      </c>
      <c r="Y228" t="n">
        <v>334</v>
      </c>
      <c r="Z228" t="n">
        <v>262</v>
      </c>
      <c r="AA228" t="n">
        <v>892</v>
      </c>
      <c r="AB228" t="n">
        <v>1</v>
      </c>
      <c r="AC228" t="n">
        <v>5</v>
      </c>
      <c r="AD228" t="n">
        <v>8</v>
      </c>
      <c r="AE228" t="n">
        <v>18</v>
      </c>
      <c r="AF228" t="n">
        <v>3</v>
      </c>
      <c r="AG228" t="n">
        <v>7</v>
      </c>
      <c r="AH228" t="n">
        <v>3</v>
      </c>
      <c r="AI228" t="n">
        <v>6</v>
      </c>
      <c r="AJ228" t="n">
        <v>3</v>
      </c>
      <c r="AK228" t="n">
        <v>5</v>
      </c>
      <c r="AL228" t="n">
        <v>0</v>
      </c>
      <c r="AM228" t="n">
        <v>3</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HYPERLINK("https://creighton-primo.hosted.exlibrisgroup.com/primo-explore/search?tab=default_tab&amp;search_scope=EVERYTHING&amp;vid=01CRU&amp;lang=en_US&amp;offset=0&amp;query=any,contains,991000422899702656","Catalog Record")</f>
        <v/>
      </c>
      <c r="AT228">
        <f>HYPERLINK("http://www.worldcat.org/oclc/57744751","WorldCat Record")</f>
        <v/>
      </c>
      <c r="AU228" t="inlineStr">
        <is>
          <t>117653416:eng</t>
        </is>
      </c>
      <c r="AV228" t="inlineStr">
        <is>
          <t>57744751</t>
        </is>
      </c>
      <c r="AW228" t="inlineStr">
        <is>
          <t>991000422899702656</t>
        </is>
      </c>
      <c r="AX228" t="inlineStr">
        <is>
          <t>991000422899702656</t>
        </is>
      </c>
      <c r="AY228" t="inlineStr">
        <is>
          <t>2260210870002656</t>
        </is>
      </c>
      <c r="AZ228" t="inlineStr">
        <is>
          <t>BOOK</t>
        </is>
      </c>
      <c r="BB228" t="inlineStr">
        <is>
          <t>9780781744508</t>
        </is>
      </c>
      <c r="BC228" t="inlineStr">
        <is>
          <t>30001004926384</t>
        </is>
      </c>
      <c r="BD228" t="inlineStr">
        <is>
          <t>893558806</t>
        </is>
      </c>
    </row>
    <row r="229">
      <c r="A229" t="inlineStr">
        <is>
          <t>No</t>
        </is>
      </c>
      <c r="B229" t="inlineStr">
        <is>
          <t>QZ 200 C641 1993</t>
        </is>
      </c>
      <c r="C229" t="inlineStr">
        <is>
          <t>0                      QZ 0200000C  641         1993</t>
        </is>
      </c>
      <c r="D229" t="inlineStr">
        <is>
          <t>Clinical oncology : a multidisciplinary approach for physicians and students / editor, Philip Rubin ; associate editors, Sandra McDonald, Raman Qazi.</t>
        </is>
      </c>
      <c r="F229" t="inlineStr">
        <is>
          <t>No</t>
        </is>
      </c>
      <c r="G229" t="inlineStr">
        <is>
          <t>1</t>
        </is>
      </c>
      <c r="H229" t="inlineStr">
        <is>
          <t>No</t>
        </is>
      </c>
      <c r="I229" t="inlineStr">
        <is>
          <t>Yes</t>
        </is>
      </c>
      <c r="J229" t="inlineStr">
        <is>
          <t>0</t>
        </is>
      </c>
      <c r="L229" t="inlineStr">
        <is>
          <t>Philadelphia : W.B. Saunders, c1993.</t>
        </is>
      </c>
      <c r="M229" t="inlineStr">
        <is>
          <t>1993</t>
        </is>
      </c>
      <c r="N229" t="inlineStr">
        <is>
          <t>7th ed.</t>
        </is>
      </c>
      <c r="O229" t="inlineStr">
        <is>
          <t>eng</t>
        </is>
      </c>
      <c r="P229" t="inlineStr">
        <is>
          <t>pau</t>
        </is>
      </c>
      <c r="R229" t="inlineStr">
        <is>
          <t xml:space="preserve">QZ </t>
        </is>
      </c>
      <c r="S229" t="n">
        <v>30</v>
      </c>
      <c r="T229" t="n">
        <v>30</v>
      </c>
      <c r="U229" t="inlineStr">
        <is>
          <t>2009-02-02</t>
        </is>
      </c>
      <c r="V229" t="inlineStr">
        <is>
          <t>2009-02-02</t>
        </is>
      </c>
      <c r="W229" t="inlineStr">
        <is>
          <t>1995-01-23</t>
        </is>
      </c>
      <c r="X229" t="inlineStr">
        <is>
          <t>1995-01-23</t>
        </is>
      </c>
      <c r="Y229" t="n">
        <v>177</v>
      </c>
      <c r="Z229" t="n">
        <v>122</v>
      </c>
      <c r="AA229" t="n">
        <v>343</v>
      </c>
      <c r="AB229" t="n">
        <v>2</v>
      </c>
      <c r="AC229" t="n">
        <v>2</v>
      </c>
      <c r="AD229" t="n">
        <v>2</v>
      </c>
      <c r="AE229" t="n">
        <v>9</v>
      </c>
      <c r="AF229" t="n">
        <v>0</v>
      </c>
      <c r="AG229" t="n">
        <v>4</v>
      </c>
      <c r="AH229" t="n">
        <v>1</v>
      </c>
      <c r="AI229" t="n">
        <v>2</v>
      </c>
      <c r="AJ229" t="n">
        <v>0</v>
      </c>
      <c r="AK229" t="n">
        <v>4</v>
      </c>
      <c r="AL229" t="n">
        <v>1</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HYPERLINK("https://creighton-primo.hosted.exlibrisgroup.com/primo-explore/search?tab=default_tab&amp;search_scope=EVERYTHING&amp;vid=01CRU&amp;lang=en_US&amp;offset=0&amp;query=any,contains,991001393979702656","Catalog Record")</f>
        <v/>
      </c>
      <c r="AT229">
        <f>HYPERLINK("http://www.worldcat.org/oclc/21410802","WorldCat Record")</f>
        <v/>
      </c>
      <c r="AU229" t="inlineStr">
        <is>
          <t>4922500712:eng</t>
        </is>
      </c>
      <c r="AV229" t="inlineStr">
        <is>
          <t>21410802</t>
        </is>
      </c>
      <c r="AW229" t="inlineStr">
        <is>
          <t>991001393979702656</t>
        </is>
      </c>
      <c r="AX229" t="inlineStr">
        <is>
          <t>991001393979702656</t>
        </is>
      </c>
      <c r="AY229" t="inlineStr">
        <is>
          <t>2254910500002656</t>
        </is>
      </c>
      <c r="AZ229" t="inlineStr">
        <is>
          <t>BOOK</t>
        </is>
      </c>
      <c r="BB229" t="inlineStr">
        <is>
          <t>9780080360850</t>
        </is>
      </c>
      <c r="BC229" t="inlineStr">
        <is>
          <t>30001003145499</t>
        </is>
      </c>
      <c r="BD229" t="inlineStr">
        <is>
          <t>893546663</t>
        </is>
      </c>
    </row>
    <row r="230">
      <c r="A230" t="inlineStr">
        <is>
          <t>No</t>
        </is>
      </c>
      <c r="B230" t="inlineStr">
        <is>
          <t>QZ 200 C641 2001</t>
        </is>
      </c>
      <c r="C230" t="inlineStr">
        <is>
          <t>0                      QZ 0200000C  641         2001</t>
        </is>
      </c>
      <c r="D230" t="inlineStr">
        <is>
          <t>Clinical oncology : a multidisciplinary approach for physicians and students / editor, Philip Rubin ; associate editor, Jacqueline P. Williams.</t>
        </is>
      </c>
      <c r="F230" t="inlineStr">
        <is>
          <t>No</t>
        </is>
      </c>
      <c r="G230" t="inlineStr">
        <is>
          <t>1</t>
        </is>
      </c>
      <c r="H230" t="inlineStr">
        <is>
          <t>No</t>
        </is>
      </c>
      <c r="I230" t="inlineStr">
        <is>
          <t>Yes</t>
        </is>
      </c>
      <c r="J230" t="inlineStr">
        <is>
          <t>0</t>
        </is>
      </c>
      <c r="L230" t="inlineStr">
        <is>
          <t>Philadelphia : W.B. Saunders Co., c2001.</t>
        </is>
      </c>
      <c r="M230" t="inlineStr">
        <is>
          <t>2001</t>
        </is>
      </c>
      <c r="N230" t="inlineStr">
        <is>
          <t>8th ed.</t>
        </is>
      </c>
      <c r="O230" t="inlineStr">
        <is>
          <t>eng</t>
        </is>
      </c>
      <c r="P230" t="inlineStr">
        <is>
          <t>pau</t>
        </is>
      </c>
      <c r="R230" t="inlineStr">
        <is>
          <t xml:space="preserve">QZ </t>
        </is>
      </c>
      <c r="S230" t="n">
        <v>0</v>
      </c>
      <c r="T230" t="n">
        <v>0</v>
      </c>
      <c r="U230" t="inlineStr">
        <is>
          <t>2009-03-03</t>
        </is>
      </c>
      <c r="V230" t="inlineStr">
        <is>
          <t>2009-03-03</t>
        </is>
      </c>
      <c r="W230" t="inlineStr">
        <is>
          <t>2009-02-20</t>
        </is>
      </c>
      <c r="X230" t="inlineStr">
        <is>
          <t>2009-02-20</t>
        </is>
      </c>
      <c r="Y230" t="n">
        <v>170</v>
      </c>
      <c r="Z230" t="n">
        <v>103</v>
      </c>
      <c r="AA230" t="n">
        <v>343</v>
      </c>
      <c r="AB230" t="n">
        <v>1</v>
      </c>
      <c r="AC230" t="n">
        <v>2</v>
      </c>
      <c r="AD230" t="n">
        <v>4</v>
      </c>
      <c r="AE230" t="n">
        <v>9</v>
      </c>
      <c r="AF230" t="n">
        <v>2</v>
      </c>
      <c r="AG230" t="n">
        <v>4</v>
      </c>
      <c r="AH230" t="n">
        <v>0</v>
      </c>
      <c r="AI230" t="n">
        <v>2</v>
      </c>
      <c r="AJ230" t="n">
        <v>2</v>
      </c>
      <c r="AK230" t="n">
        <v>4</v>
      </c>
      <c r="AL230" t="n">
        <v>0</v>
      </c>
      <c r="AM230" t="n">
        <v>1</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HYPERLINK("https://creighton-primo.hosted.exlibrisgroup.com/primo-explore/search?tab=default_tab&amp;search_scope=EVERYTHING&amp;vid=01CRU&amp;lang=en_US&amp;offset=0&amp;query=any,contains,991001366639702656","Catalog Record")</f>
        <v/>
      </c>
      <c r="AT230">
        <f>HYPERLINK("http://www.worldcat.org/oclc/44627001","WorldCat Record")</f>
        <v/>
      </c>
      <c r="AU230" t="inlineStr">
        <is>
          <t>4922500712:eng</t>
        </is>
      </c>
      <c r="AV230" t="inlineStr">
        <is>
          <t>44627001</t>
        </is>
      </c>
      <c r="AW230" t="inlineStr">
        <is>
          <t>991001366639702656</t>
        </is>
      </c>
      <c r="AX230" t="inlineStr">
        <is>
          <t>991001366639702656</t>
        </is>
      </c>
      <c r="AY230" t="inlineStr">
        <is>
          <t>2260059540002656</t>
        </is>
      </c>
      <c r="AZ230" t="inlineStr">
        <is>
          <t>BOOK</t>
        </is>
      </c>
      <c r="BB230" t="inlineStr">
        <is>
          <t>9780721674964</t>
        </is>
      </c>
      <c r="BC230" t="inlineStr">
        <is>
          <t>30001005390291</t>
        </is>
      </c>
      <c r="BD230" t="inlineStr">
        <is>
          <t>893279022</t>
        </is>
      </c>
    </row>
    <row r="231">
      <c r="A231" t="inlineStr">
        <is>
          <t>No</t>
        </is>
      </c>
      <c r="B231" t="inlineStr">
        <is>
          <t>QZ 200 C7345 1990</t>
        </is>
      </c>
      <c r="C231" t="inlineStr">
        <is>
          <t>0                      QZ 0200000C  7345        1990</t>
        </is>
      </c>
      <c r="D231" t="inlineStr">
        <is>
          <t>Communicating with cancer patients and their families / editors, Andrew Blitzer ... [et al.].</t>
        </is>
      </c>
      <c r="F231" t="inlineStr">
        <is>
          <t>No</t>
        </is>
      </c>
      <c r="G231" t="inlineStr">
        <is>
          <t>1</t>
        </is>
      </c>
      <c r="H231" t="inlineStr">
        <is>
          <t>No</t>
        </is>
      </c>
      <c r="I231" t="inlineStr">
        <is>
          <t>No</t>
        </is>
      </c>
      <c r="J231" t="inlineStr">
        <is>
          <t>0</t>
        </is>
      </c>
      <c r="L231" t="inlineStr">
        <is>
          <t>Philadelphia, PA : Charles Press, c1990.</t>
        </is>
      </c>
      <c r="M231" t="inlineStr">
        <is>
          <t>1990</t>
        </is>
      </c>
      <c r="O231" t="inlineStr">
        <is>
          <t>eng</t>
        </is>
      </c>
      <c r="P231" t="inlineStr">
        <is>
          <t>pau</t>
        </is>
      </c>
      <c r="R231" t="inlineStr">
        <is>
          <t xml:space="preserve">QZ </t>
        </is>
      </c>
      <c r="S231" t="n">
        <v>10</v>
      </c>
      <c r="T231" t="n">
        <v>10</v>
      </c>
      <c r="U231" t="inlineStr">
        <is>
          <t>1996-10-28</t>
        </is>
      </c>
      <c r="V231" t="inlineStr">
        <is>
          <t>1996-10-28</t>
        </is>
      </c>
      <c r="W231" t="inlineStr">
        <is>
          <t>1990-09-28</t>
        </is>
      </c>
      <c r="X231" t="inlineStr">
        <is>
          <t>1990-09-28</t>
        </is>
      </c>
      <c r="Y231" t="n">
        <v>190</v>
      </c>
      <c r="Z231" t="n">
        <v>159</v>
      </c>
      <c r="AA231" t="n">
        <v>166</v>
      </c>
      <c r="AB231" t="n">
        <v>1</v>
      </c>
      <c r="AC231" t="n">
        <v>1</v>
      </c>
      <c r="AD231" t="n">
        <v>5</v>
      </c>
      <c r="AE231" t="n">
        <v>5</v>
      </c>
      <c r="AF231" t="n">
        <v>0</v>
      </c>
      <c r="AG231" t="n">
        <v>0</v>
      </c>
      <c r="AH231" t="n">
        <v>3</v>
      </c>
      <c r="AI231" t="n">
        <v>3</v>
      </c>
      <c r="AJ231" t="n">
        <v>4</v>
      </c>
      <c r="AK231" t="n">
        <v>4</v>
      </c>
      <c r="AL231" t="n">
        <v>0</v>
      </c>
      <c r="AM231" t="n">
        <v>0</v>
      </c>
      <c r="AN231" t="n">
        <v>0</v>
      </c>
      <c r="AO231" t="n">
        <v>0</v>
      </c>
      <c r="AP231" t="inlineStr">
        <is>
          <t>No</t>
        </is>
      </c>
      <c r="AQ231" t="inlineStr">
        <is>
          <t>Yes</t>
        </is>
      </c>
      <c r="AR231">
        <f>HYPERLINK("http://catalog.hathitrust.org/Record/002437417","HathiTrust Record")</f>
        <v/>
      </c>
      <c r="AS231">
        <f>HYPERLINK("https://creighton-primo.hosted.exlibrisgroup.com/primo-explore/search?tab=default_tab&amp;search_scope=EVERYTHING&amp;vid=01CRU&amp;lang=en_US&amp;offset=0&amp;query=any,contains,991000766149702656","Catalog Record")</f>
        <v/>
      </c>
      <c r="AT231">
        <f>HYPERLINK("http://www.worldcat.org/oclc/21226459","WorldCat Record")</f>
        <v/>
      </c>
      <c r="AU231" t="inlineStr">
        <is>
          <t>1082464:eng</t>
        </is>
      </c>
      <c r="AV231" t="inlineStr">
        <is>
          <t>21226459</t>
        </is>
      </c>
      <c r="AW231" t="inlineStr">
        <is>
          <t>991000766149702656</t>
        </is>
      </c>
      <c r="AX231" t="inlineStr">
        <is>
          <t>991000766149702656</t>
        </is>
      </c>
      <c r="AY231" t="inlineStr">
        <is>
          <t>2270863770002656</t>
        </is>
      </c>
      <c r="AZ231" t="inlineStr">
        <is>
          <t>BOOK</t>
        </is>
      </c>
      <c r="BB231" t="inlineStr">
        <is>
          <t>9780914783336</t>
        </is>
      </c>
      <c r="BC231" t="inlineStr">
        <is>
          <t>30001002061044</t>
        </is>
      </c>
      <c r="BD231" t="inlineStr">
        <is>
          <t>893167688</t>
        </is>
      </c>
    </row>
    <row r="232">
      <c r="A232" t="inlineStr">
        <is>
          <t>No</t>
        </is>
      </c>
      <c r="B232" t="inlineStr">
        <is>
          <t>QZ 200 C7376 1991</t>
        </is>
      </c>
      <c r="C232" t="inlineStr">
        <is>
          <t>0                      QZ 0200000C  7376        1991</t>
        </is>
      </c>
      <c r="D232" t="inlineStr">
        <is>
          <t>Comprehensive textbook of oncology / editors, A.R. Moossa, Stephen C. Schimpff, Martin C. Robson.</t>
        </is>
      </c>
      <c r="E232" t="inlineStr">
        <is>
          <t>V. 1</t>
        </is>
      </c>
      <c r="F232" t="inlineStr">
        <is>
          <t>Yes</t>
        </is>
      </c>
      <c r="G232" t="inlineStr">
        <is>
          <t>1</t>
        </is>
      </c>
      <c r="H232" t="inlineStr">
        <is>
          <t>No</t>
        </is>
      </c>
      <c r="I232" t="inlineStr">
        <is>
          <t>No</t>
        </is>
      </c>
      <c r="J232" t="inlineStr">
        <is>
          <t>0</t>
        </is>
      </c>
      <c r="L232" t="inlineStr">
        <is>
          <t>Baltimore : Williams &amp; Wilkins, c1991.</t>
        </is>
      </c>
      <c r="M232" t="inlineStr">
        <is>
          <t>1991</t>
        </is>
      </c>
      <c r="N232" t="inlineStr">
        <is>
          <t>2nd ed.</t>
        </is>
      </c>
      <c r="O232" t="inlineStr">
        <is>
          <t>eng</t>
        </is>
      </c>
      <c r="P232" t="inlineStr">
        <is>
          <t>xxu</t>
        </is>
      </c>
      <c r="R232" t="inlineStr">
        <is>
          <t xml:space="preserve">QZ </t>
        </is>
      </c>
      <c r="S232" t="n">
        <v>34</v>
      </c>
      <c r="T232" t="n">
        <v>87</v>
      </c>
      <c r="U232" t="inlineStr">
        <is>
          <t>1995-07-23</t>
        </is>
      </c>
      <c r="V232" t="inlineStr">
        <is>
          <t>2000-04-18</t>
        </is>
      </c>
      <c r="W232" t="inlineStr">
        <is>
          <t>1991-09-17</t>
        </is>
      </c>
      <c r="X232" t="inlineStr">
        <is>
          <t>1991-09-17</t>
        </is>
      </c>
      <c r="Y232" t="n">
        <v>190</v>
      </c>
      <c r="Z232" t="n">
        <v>145</v>
      </c>
      <c r="AA232" t="n">
        <v>230</v>
      </c>
      <c r="AB232" t="n">
        <v>1</v>
      </c>
      <c r="AC232" t="n">
        <v>1</v>
      </c>
      <c r="AD232" t="n">
        <v>3</v>
      </c>
      <c r="AE232" t="n">
        <v>3</v>
      </c>
      <c r="AF232" t="n">
        <v>1</v>
      </c>
      <c r="AG232" t="n">
        <v>1</v>
      </c>
      <c r="AH232" t="n">
        <v>1</v>
      </c>
      <c r="AI232" t="n">
        <v>1</v>
      </c>
      <c r="AJ232" t="n">
        <v>1</v>
      </c>
      <c r="AK232" t="n">
        <v>1</v>
      </c>
      <c r="AL232" t="n">
        <v>0</v>
      </c>
      <c r="AM232" t="n">
        <v>0</v>
      </c>
      <c r="AN232" t="n">
        <v>0</v>
      </c>
      <c r="AO232" t="n">
        <v>0</v>
      </c>
      <c r="AP232" t="inlineStr">
        <is>
          <t>No</t>
        </is>
      </c>
      <c r="AQ232" t="inlineStr">
        <is>
          <t>Yes</t>
        </is>
      </c>
      <c r="AR232">
        <f>HYPERLINK("http://catalog.hathitrust.org/Record/002425895","HathiTrust Record")</f>
        <v/>
      </c>
      <c r="AS232">
        <f>HYPERLINK("https://creighton-primo.hosted.exlibrisgroup.com/primo-explore/search?tab=default_tab&amp;search_scope=EVERYTHING&amp;vid=01CRU&amp;lang=en_US&amp;offset=0&amp;query=any,contains,991001015699702656","Catalog Record")</f>
        <v/>
      </c>
      <c r="AT232">
        <f>HYPERLINK("http://www.worldcat.org/oclc/19264791","WorldCat Record")</f>
        <v/>
      </c>
      <c r="AU232" t="inlineStr">
        <is>
          <t>356056808:eng</t>
        </is>
      </c>
      <c r="AV232" t="inlineStr">
        <is>
          <t>19264791</t>
        </is>
      </c>
      <c r="AW232" t="inlineStr">
        <is>
          <t>991001015699702656</t>
        </is>
      </c>
      <c r="AX232" t="inlineStr">
        <is>
          <t>991001015699702656</t>
        </is>
      </c>
      <c r="AY232" t="inlineStr">
        <is>
          <t>2261499650002656</t>
        </is>
      </c>
      <c r="AZ232" t="inlineStr">
        <is>
          <t>BOOK</t>
        </is>
      </c>
      <c r="BB232" t="inlineStr">
        <is>
          <t>9780683061475</t>
        </is>
      </c>
      <c r="BC232" t="inlineStr">
        <is>
          <t>30001002240655</t>
        </is>
      </c>
      <c r="BD232" t="inlineStr">
        <is>
          <t>893560828</t>
        </is>
      </c>
    </row>
    <row r="233">
      <c r="A233" t="inlineStr">
        <is>
          <t>No</t>
        </is>
      </c>
      <c r="B233" t="inlineStr">
        <is>
          <t>QZ 200 C7376 1991</t>
        </is>
      </c>
      <c r="C233" t="inlineStr">
        <is>
          <t>0                      QZ 0200000C  7376        1991</t>
        </is>
      </c>
      <c r="D233" t="inlineStr">
        <is>
          <t>Comprehensive textbook of oncology / editors, A.R. Moossa, Stephen C. Schimpff, Martin C. Robson.</t>
        </is>
      </c>
      <c r="E233" t="inlineStr">
        <is>
          <t>V. 2</t>
        </is>
      </c>
      <c r="F233" t="inlineStr">
        <is>
          <t>Yes</t>
        </is>
      </c>
      <c r="G233" t="inlineStr">
        <is>
          <t>1</t>
        </is>
      </c>
      <c r="H233" t="inlineStr">
        <is>
          <t>No</t>
        </is>
      </c>
      <c r="I233" t="inlineStr">
        <is>
          <t>No</t>
        </is>
      </c>
      <c r="J233" t="inlineStr">
        <is>
          <t>0</t>
        </is>
      </c>
      <c r="L233" t="inlineStr">
        <is>
          <t>Baltimore : Williams &amp; Wilkins, c1991.</t>
        </is>
      </c>
      <c r="M233" t="inlineStr">
        <is>
          <t>1991</t>
        </is>
      </c>
      <c r="N233" t="inlineStr">
        <is>
          <t>2nd ed.</t>
        </is>
      </c>
      <c r="O233" t="inlineStr">
        <is>
          <t>eng</t>
        </is>
      </c>
      <c r="P233" t="inlineStr">
        <is>
          <t>xxu</t>
        </is>
      </c>
      <c r="R233" t="inlineStr">
        <is>
          <t xml:space="preserve">QZ </t>
        </is>
      </c>
      <c r="S233" t="n">
        <v>53</v>
      </c>
      <c r="T233" t="n">
        <v>87</v>
      </c>
      <c r="U233" t="inlineStr">
        <is>
          <t>2000-04-18</t>
        </is>
      </c>
      <c r="V233" t="inlineStr">
        <is>
          <t>2000-04-18</t>
        </is>
      </c>
      <c r="W233" t="inlineStr">
        <is>
          <t>1991-09-17</t>
        </is>
      </c>
      <c r="X233" t="inlineStr">
        <is>
          <t>1991-09-17</t>
        </is>
      </c>
      <c r="Y233" t="n">
        <v>190</v>
      </c>
      <c r="Z233" t="n">
        <v>145</v>
      </c>
      <c r="AA233" t="n">
        <v>230</v>
      </c>
      <c r="AB233" t="n">
        <v>1</v>
      </c>
      <c r="AC233" t="n">
        <v>1</v>
      </c>
      <c r="AD233" t="n">
        <v>3</v>
      </c>
      <c r="AE233" t="n">
        <v>3</v>
      </c>
      <c r="AF233" t="n">
        <v>1</v>
      </c>
      <c r="AG233" t="n">
        <v>1</v>
      </c>
      <c r="AH233" t="n">
        <v>1</v>
      </c>
      <c r="AI233" t="n">
        <v>1</v>
      </c>
      <c r="AJ233" t="n">
        <v>1</v>
      </c>
      <c r="AK233" t="n">
        <v>1</v>
      </c>
      <c r="AL233" t="n">
        <v>0</v>
      </c>
      <c r="AM233" t="n">
        <v>0</v>
      </c>
      <c r="AN233" t="n">
        <v>0</v>
      </c>
      <c r="AO233" t="n">
        <v>0</v>
      </c>
      <c r="AP233" t="inlineStr">
        <is>
          <t>No</t>
        </is>
      </c>
      <c r="AQ233" t="inlineStr">
        <is>
          <t>Yes</t>
        </is>
      </c>
      <c r="AR233">
        <f>HYPERLINK("http://catalog.hathitrust.org/Record/002425895","HathiTrust Record")</f>
        <v/>
      </c>
      <c r="AS233">
        <f>HYPERLINK("https://creighton-primo.hosted.exlibrisgroup.com/primo-explore/search?tab=default_tab&amp;search_scope=EVERYTHING&amp;vid=01CRU&amp;lang=en_US&amp;offset=0&amp;query=any,contains,991001015699702656","Catalog Record")</f>
        <v/>
      </c>
      <c r="AT233">
        <f>HYPERLINK("http://www.worldcat.org/oclc/19264791","WorldCat Record")</f>
        <v/>
      </c>
      <c r="AU233" t="inlineStr">
        <is>
          <t>356056808:eng</t>
        </is>
      </c>
      <c r="AV233" t="inlineStr">
        <is>
          <t>19264791</t>
        </is>
      </c>
      <c r="AW233" t="inlineStr">
        <is>
          <t>991001015699702656</t>
        </is>
      </c>
      <c r="AX233" t="inlineStr">
        <is>
          <t>991001015699702656</t>
        </is>
      </c>
      <c r="AY233" t="inlineStr">
        <is>
          <t>2261499650002656</t>
        </is>
      </c>
      <c r="AZ233" t="inlineStr">
        <is>
          <t>BOOK</t>
        </is>
      </c>
      <c r="BB233" t="inlineStr">
        <is>
          <t>9780683061475</t>
        </is>
      </c>
      <c r="BC233" t="inlineStr">
        <is>
          <t>30001002240663</t>
        </is>
      </c>
      <c r="BD233" t="inlineStr">
        <is>
          <t>893540938</t>
        </is>
      </c>
    </row>
    <row r="234">
      <c r="A234" t="inlineStr">
        <is>
          <t>No</t>
        </is>
      </c>
      <c r="B234" t="inlineStr">
        <is>
          <t>QZ 200 C7837 1986</t>
        </is>
      </c>
      <c r="C234" t="inlineStr">
        <is>
          <t>0                      QZ 0200000C  7837        1986</t>
        </is>
      </c>
      <c r="D234" t="inlineStr">
        <is>
          <t>Coping with cancer stress / edited by Basil A. Stoll ; introduction by Avery D. Weisman.</t>
        </is>
      </c>
      <c r="F234" t="inlineStr">
        <is>
          <t>No</t>
        </is>
      </c>
      <c r="G234" t="inlineStr">
        <is>
          <t>1</t>
        </is>
      </c>
      <c r="H234" t="inlineStr">
        <is>
          <t>No</t>
        </is>
      </c>
      <c r="I234" t="inlineStr">
        <is>
          <t>No</t>
        </is>
      </c>
      <c r="J234" t="inlineStr">
        <is>
          <t>0</t>
        </is>
      </c>
      <c r="L234" t="inlineStr">
        <is>
          <t>Dordrecht ; Boston : Nijhoff ; Hingham, MA, USA : Distributors for the U.S. and Canada, Kluwer Academic, c1986.</t>
        </is>
      </c>
      <c r="M234" t="inlineStr">
        <is>
          <t>1986</t>
        </is>
      </c>
      <c r="O234" t="inlineStr">
        <is>
          <t>eng</t>
        </is>
      </c>
      <c r="P234" t="inlineStr">
        <is>
          <t xml:space="preserve">ne </t>
        </is>
      </c>
      <c r="R234" t="inlineStr">
        <is>
          <t xml:space="preserve">QZ </t>
        </is>
      </c>
      <c r="S234" t="n">
        <v>5</v>
      </c>
      <c r="T234" t="n">
        <v>5</v>
      </c>
      <c r="U234" t="inlineStr">
        <is>
          <t>1999-10-21</t>
        </is>
      </c>
      <c r="V234" t="inlineStr">
        <is>
          <t>1999-10-21</t>
        </is>
      </c>
      <c r="W234" t="inlineStr">
        <is>
          <t>1988-02-19</t>
        </is>
      </c>
      <c r="X234" t="inlineStr">
        <is>
          <t>1988-02-19</t>
        </is>
      </c>
      <c r="Y234" t="n">
        <v>197</v>
      </c>
      <c r="Z234" t="n">
        <v>136</v>
      </c>
      <c r="AA234" t="n">
        <v>155</v>
      </c>
      <c r="AB234" t="n">
        <v>1</v>
      </c>
      <c r="AC234" t="n">
        <v>1</v>
      </c>
      <c r="AD234" t="n">
        <v>7</v>
      </c>
      <c r="AE234" t="n">
        <v>7</v>
      </c>
      <c r="AF234" t="n">
        <v>1</v>
      </c>
      <c r="AG234" t="n">
        <v>1</v>
      </c>
      <c r="AH234" t="n">
        <v>2</v>
      </c>
      <c r="AI234" t="n">
        <v>2</v>
      </c>
      <c r="AJ234" t="n">
        <v>6</v>
      </c>
      <c r="AK234" t="n">
        <v>6</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HYPERLINK("https://creighton-primo.hosted.exlibrisgroup.com/primo-explore/search?tab=default_tab&amp;search_scope=EVERYTHING&amp;vid=01CRU&amp;lang=en_US&amp;offset=0&amp;query=any,contains,991001201919702656","Catalog Record")</f>
        <v/>
      </c>
      <c r="AT234">
        <f>HYPERLINK("http://www.worldcat.org/oclc/12663995","WorldCat Record")</f>
        <v/>
      </c>
      <c r="AU234" t="inlineStr">
        <is>
          <t>54751844:eng</t>
        </is>
      </c>
      <c r="AV234" t="inlineStr">
        <is>
          <t>12663995</t>
        </is>
      </c>
      <c r="AW234" t="inlineStr">
        <is>
          <t>991001201919702656</t>
        </is>
      </c>
      <c r="AX234" t="inlineStr">
        <is>
          <t>991001201919702656</t>
        </is>
      </c>
      <c r="AY234" t="inlineStr">
        <is>
          <t>2271948160002656</t>
        </is>
      </c>
      <c r="AZ234" t="inlineStr">
        <is>
          <t>BOOK</t>
        </is>
      </c>
      <c r="BB234" t="inlineStr">
        <is>
          <t>9780898387698</t>
        </is>
      </c>
      <c r="BC234" t="inlineStr">
        <is>
          <t>30001000317133</t>
        </is>
      </c>
      <c r="BD234" t="inlineStr">
        <is>
          <t>893465274</t>
        </is>
      </c>
    </row>
    <row r="235">
      <c r="A235" t="inlineStr">
        <is>
          <t>No</t>
        </is>
      </c>
      <c r="B235" t="inlineStr">
        <is>
          <t>QZ 200 C953m 2001</t>
        </is>
      </c>
      <c r="C235" t="inlineStr">
        <is>
          <t>0                      QZ 0200000C  953m        2001</t>
        </is>
      </c>
      <c r="D235" t="inlineStr">
        <is>
          <t>The melanocytic proliferations : a comprehensive textbook of pigmented lesions / A. Neil Crowson, Cynthia M. Magro, Martin C. Mihm, Jr.</t>
        </is>
      </c>
      <c r="F235" t="inlineStr">
        <is>
          <t>No</t>
        </is>
      </c>
      <c r="G235" t="inlineStr">
        <is>
          <t>1</t>
        </is>
      </c>
      <c r="H235" t="inlineStr">
        <is>
          <t>No</t>
        </is>
      </c>
      <c r="I235" t="inlineStr">
        <is>
          <t>No</t>
        </is>
      </c>
      <c r="J235" t="inlineStr">
        <is>
          <t>0</t>
        </is>
      </c>
      <c r="K235" t="inlineStr">
        <is>
          <t>Crowson, A. Neil.</t>
        </is>
      </c>
      <c r="L235" t="inlineStr">
        <is>
          <t>New York : Wiley-Liss, c2001.</t>
        </is>
      </c>
      <c r="M235" t="inlineStr">
        <is>
          <t>2001</t>
        </is>
      </c>
      <c r="O235" t="inlineStr">
        <is>
          <t>eng</t>
        </is>
      </c>
      <c r="P235" t="inlineStr">
        <is>
          <t>nyu</t>
        </is>
      </c>
      <c r="R235" t="inlineStr">
        <is>
          <t xml:space="preserve">QZ </t>
        </is>
      </c>
      <c r="S235" t="n">
        <v>0</v>
      </c>
      <c r="T235" t="n">
        <v>0</v>
      </c>
      <c r="U235" t="inlineStr">
        <is>
          <t>2003-01-27</t>
        </is>
      </c>
      <c r="V235" t="inlineStr">
        <is>
          <t>2003-01-27</t>
        </is>
      </c>
      <c r="W235" t="inlineStr">
        <is>
          <t>2003-01-24</t>
        </is>
      </c>
      <c r="X235" t="inlineStr">
        <is>
          <t>2003-01-24</t>
        </is>
      </c>
      <c r="Y235" t="n">
        <v>70</v>
      </c>
      <c r="Z235" t="n">
        <v>49</v>
      </c>
      <c r="AA235" t="n">
        <v>491</v>
      </c>
      <c r="AB235" t="n">
        <v>0</v>
      </c>
      <c r="AC235" t="n">
        <v>6</v>
      </c>
      <c r="AD235" t="n">
        <v>2</v>
      </c>
      <c r="AE235" t="n">
        <v>24</v>
      </c>
      <c r="AF235" t="n">
        <v>1</v>
      </c>
      <c r="AG235" t="n">
        <v>7</v>
      </c>
      <c r="AH235" t="n">
        <v>1</v>
      </c>
      <c r="AI235" t="n">
        <v>7</v>
      </c>
      <c r="AJ235" t="n">
        <v>0</v>
      </c>
      <c r="AK235" t="n">
        <v>6</v>
      </c>
      <c r="AL235" t="n">
        <v>0</v>
      </c>
      <c r="AM235" t="n">
        <v>6</v>
      </c>
      <c r="AN235" t="n">
        <v>0</v>
      </c>
      <c r="AO235" t="n">
        <v>1</v>
      </c>
      <c r="AP235" t="inlineStr">
        <is>
          <t>No</t>
        </is>
      </c>
      <c r="AQ235" t="inlineStr">
        <is>
          <t>Yes</t>
        </is>
      </c>
      <c r="AR235">
        <f>HYPERLINK("http://catalog.hathitrust.org/Record/003568852","HathiTrust Record")</f>
        <v/>
      </c>
      <c r="AS235">
        <f>HYPERLINK("https://creighton-primo.hosted.exlibrisgroup.com/primo-explore/search?tab=default_tab&amp;search_scope=EVERYTHING&amp;vid=01CRU&amp;lang=en_US&amp;offset=0&amp;query=any,contains,991000336869702656","Catalog Record")</f>
        <v/>
      </c>
      <c r="AT235">
        <f>HYPERLINK("http://www.worldcat.org/oclc/45167215","WorldCat Record")</f>
        <v/>
      </c>
      <c r="AU235" t="inlineStr">
        <is>
          <t>288543880:eng</t>
        </is>
      </c>
      <c r="AV235" t="inlineStr">
        <is>
          <t>45167215</t>
        </is>
      </c>
      <c r="AW235" t="inlineStr">
        <is>
          <t>991000336869702656</t>
        </is>
      </c>
      <c r="AX235" t="inlineStr">
        <is>
          <t>991000336869702656</t>
        </is>
      </c>
      <c r="AY235" t="inlineStr">
        <is>
          <t>2271736330002656</t>
        </is>
      </c>
      <c r="AZ235" t="inlineStr">
        <is>
          <t>BOOK</t>
        </is>
      </c>
      <c r="BB235" t="inlineStr">
        <is>
          <t>9780471252719</t>
        </is>
      </c>
      <c r="BC235" t="inlineStr">
        <is>
          <t>30001004571834</t>
        </is>
      </c>
      <c r="BD235" t="inlineStr">
        <is>
          <t>893547719</t>
        </is>
      </c>
    </row>
    <row r="236">
      <c r="A236" t="inlineStr">
        <is>
          <t>No</t>
        </is>
      </c>
      <c r="B236" t="inlineStr">
        <is>
          <t>QZ 200 C988 1987</t>
        </is>
      </c>
      <c r="C236" t="inlineStr">
        <is>
          <t>0                      QZ 0200000C  988         1987</t>
        </is>
      </c>
      <c r="D236" t="inlineStr">
        <is>
          <t>Cutaneous melanoma : status of knowledge and future perspective / edited by U. Veronesi, N. Cascinelli, M. Santinami.</t>
        </is>
      </c>
      <c r="F236" t="inlineStr">
        <is>
          <t>No</t>
        </is>
      </c>
      <c r="G236" t="inlineStr">
        <is>
          <t>1</t>
        </is>
      </c>
      <c r="H236" t="inlineStr">
        <is>
          <t>No</t>
        </is>
      </c>
      <c r="I236" t="inlineStr">
        <is>
          <t>No</t>
        </is>
      </c>
      <c r="J236" t="inlineStr">
        <is>
          <t>0</t>
        </is>
      </c>
      <c r="L236" t="inlineStr">
        <is>
          <t>London : Academic, c1987.</t>
        </is>
      </c>
      <c r="M236" t="inlineStr">
        <is>
          <t>1987</t>
        </is>
      </c>
      <c r="O236" t="inlineStr">
        <is>
          <t>eng</t>
        </is>
      </c>
      <c r="P236" t="inlineStr">
        <is>
          <t>enk</t>
        </is>
      </c>
      <c r="R236" t="inlineStr">
        <is>
          <t xml:space="preserve">QZ </t>
        </is>
      </c>
      <c r="S236" t="n">
        <v>7</v>
      </c>
      <c r="T236" t="n">
        <v>7</v>
      </c>
      <c r="U236" t="inlineStr">
        <is>
          <t>1995-03-11</t>
        </is>
      </c>
      <c r="V236" t="inlineStr">
        <is>
          <t>1995-03-11</t>
        </is>
      </c>
      <c r="W236" t="inlineStr">
        <is>
          <t>1987-10-21</t>
        </is>
      </c>
      <c r="X236" t="inlineStr">
        <is>
          <t>1987-10-21</t>
        </is>
      </c>
      <c r="Y236" t="n">
        <v>67</v>
      </c>
      <c r="Z236" t="n">
        <v>39</v>
      </c>
      <c r="AA236" t="n">
        <v>41</v>
      </c>
      <c r="AB236" t="n">
        <v>1</v>
      </c>
      <c r="AC236" t="n">
        <v>1</v>
      </c>
      <c r="AD236" t="n">
        <v>1</v>
      </c>
      <c r="AE236" t="n">
        <v>1</v>
      </c>
      <c r="AF236" t="n">
        <v>0</v>
      </c>
      <c r="AG236" t="n">
        <v>0</v>
      </c>
      <c r="AH236" t="n">
        <v>0</v>
      </c>
      <c r="AI236" t="n">
        <v>0</v>
      </c>
      <c r="AJ236" t="n">
        <v>1</v>
      </c>
      <c r="AK236" t="n">
        <v>1</v>
      </c>
      <c r="AL236" t="n">
        <v>0</v>
      </c>
      <c r="AM236" t="n">
        <v>0</v>
      </c>
      <c r="AN236" t="n">
        <v>0</v>
      </c>
      <c r="AO236" t="n">
        <v>0</v>
      </c>
      <c r="AP236" t="inlineStr">
        <is>
          <t>No</t>
        </is>
      </c>
      <c r="AQ236" t="inlineStr">
        <is>
          <t>Yes</t>
        </is>
      </c>
      <c r="AR236">
        <f>HYPERLINK("http://catalog.hathitrust.org/Record/000847994","HathiTrust Record")</f>
        <v/>
      </c>
      <c r="AS236">
        <f>HYPERLINK("https://creighton-primo.hosted.exlibrisgroup.com/primo-explore/search?tab=default_tab&amp;search_scope=EVERYTHING&amp;vid=01CRU&amp;lang=en_US&amp;offset=0&amp;query=any,contains,991001529929702656","Catalog Record")</f>
        <v/>
      </c>
      <c r="AT236">
        <f>HYPERLINK("http://www.worldcat.org/oclc/18629143","WorldCat Record")</f>
        <v/>
      </c>
      <c r="AU236" t="inlineStr">
        <is>
          <t>4160208996:eng</t>
        </is>
      </c>
      <c r="AV236" t="inlineStr">
        <is>
          <t>18629143</t>
        </is>
      </c>
      <c r="AW236" t="inlineStr">
        <is>
          <t>991001529929702656</t>
        </is>
      </c>
      <c r="AX236" t="inlineStr">
        <is>
          <t>991001529929702656</t>
        </is>
      </c>
      <c r="AY236" t="inlineStr">
        <is>
          <t>2260884510002656</t>
        </is>
      </c>
      <c r="AZ236" t="inlineStr">
        <is>
          <t>BOOK</t>
        </is>
      </c>
      <c r="BB236" t="inlineStr">
        <is>
          <t>9780127188553</t>
        </is>
      </c>
      <c r="BC236" t="inlineStr">
        <is>
          <t>30001000621187</t>
        </is>
      </c>
      <c r="BD236" t="inlineStr">
        <is>
          <t>893284878</t>
        </is>
      </c>
    </row>
    <row r="237">
      <c r="A237" t="inlineStr">
        <is>
          <t>No</t>
        </is>
      </c>
      <c r="B237" t="inlineStr">
        <is>
          <t>QZ 200 D5365 1982</t>
        </is>
      </c>
      <c r="C237" t="inlineStr">
        <is>
          <t>0                      QZ 0200000D  5365        1982</t>
        </is>
      </c>
      <c r="D237" t="inlineStr">
        <is>
          <t>Diagnosis and management of cancer / [edited by] Daniel W. Nixon.</t>
        </is>
      </c>
      <c r="F237" t="inlineStr">
        <is>
          <t>No</t>
        </is>
      </c>
      <c r="G237" t="inlineStr">
        <is>
          <t>1</t>
        </is>
      </c>
      <c r="H237" t="inlineStr">
        <is>
          <t>No</t>
        </is>
      </c>
      <c r="I237" t="inlineStr">
        <is>
          <t>No</t>
        </is>
      </c>
      <c r="J237" t="inlineStr">
        <is>
          <t>0</t>
        </is>
      </c>
      <c r="L237" t="inlineStr">
        <is>
          <t>Menlo Park, Calif. : Addison-Wesley Pub. Co., Medical/Nursing Division, c1982.</t>
        </is>
      </c>
      <c r="M237" t="inlineStr">
        <is>
          <t>1982</t>
        </is>
      </c>
      <c r="O237" t="inlineStr">
        <is>
          <t>eng</t>
        </is>
      </c>
      <c r="P237" t="inlineStr">
        <is>
          <t>xxu</t>
        </is>
      </c>
      <c r="Q237" t="inlineStr">
        <is>
          <t>Addison-Wesley clinical practice series</t>
        </is>
      </c>
      <c r="R237" t="inlineStr">
        <is>
          <t xml:space="preserve">QZ </t>
        </is>
      </c>
      <c r="S237" t="n">
        <v>10</v>
      </c>
      <c r="T237" t="n">
        <v>10</v>
      </c>
      <c r="U237" t="inlineStr">
        <is>
          <t>2005-08-19</t>
        </is>
      </c>
      <c r="V237" t="inlineStr">
        <is>
          <t>2005-08-19</t>
        </is>
      </c>
      <c r="W237" t="inlineStr">
        <is>
          <t>1988-02-19</t>
        </is>
      </c>
      <c r="X237" t="inlineStr">
        <is>
          <t>1988-02-19</t>
        </is>
      </c>
      <c r="Y237" t="n">
        <v>79</v>
      </c>
      <c r="Z237" t="n">
        <v>60</v>
      </c>
      <c r="AA237" t="n">
        <v>61</v>
      </c>
      <c r="AB237" t="n">
        <v>2</v>
      </c>
      <c r="AC237" t="n">
        <v>2</v>
      </c>
      <c r="AD237" t="n">
        <v>2</v>
      </c>
      <c r="AE237" t="n">
        <v>2</v>
      </c>
      <c r="AF237" t="n">
        <v>0</v>
      </c>
      <c r="AG237" t="n">
        <v>0</v>
      </c>
      <c r="AH237" t="n">
        <v>0</v>
      </c>
      <c r="AI237" t="n">
        <v>0</v>
      </c>
      <c r="AJ237" t="n">
        <v>1</v>
      </c>
      <c r="AK237" t="n">
        <v>1</v>
      </c>
      <c r="AL237" t="n">
        <v>1</v>
      </c>
      <c r="AM237" t="n">
        <v>1</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HYPERLINK("https://creighton-primo.hosted.exlibrisgroup.com/primo-explore/search?tab=default_tab&amp;search_scope=EVERYTHING&amp;vid=01CRU&amp;lang=en_US&amp;offset=0&amp;query=any,contains,991001090899702656","Catalog Record")</f>
        <v/>
      </c>
      <c r="AT237">
        <f>HYPERLINK("http://www.worldcat.org/oclc/7925209","WorldCat Record")</f>
        <v/>
      </c>
      <c r="AU237" t="inlineStr">
        <is>
          <t>54466825:eng</t>
        </is>
      </c>
      <c r="AV237" t="inlineStr">
        <is>
          <t>7925209</t>
        </is>
      </c>
      <c r="AW237" t="inlineStr">
        <is>
          <t>991001090899702656</t>
        </is>
      </c>
      <c r="AX237" t="inlineStr">
        <is>
          <t>991001090899702656</t>
        </is>
      </c>
      <c r="AY237" t="inlineStr">
        <is>
          <t>2255035320002656</t>
        </is>
      </c>
      <c r="AZ237" t="inlineStr">
        <is>
          <t>BOOK</t>
        </is>
      </c>
      <c r="BB237" t="inlineStr">
        <is>
          <t>9780201043686</t>
        </is>
      </c>
      <c r="BC237" t="inlineStr">
        <is>
          <t>30001000262545</t>
        </is>
      </c>
      <c r="BD237" t="inlineStr">
        <is>
          <t>893731643</t>
        </is>
      </c>
    </row>
    <row r="238">
      <c r="A238" t="inlineStr">
        <is>
          <t>No</t>
        </is>
      </c>
      <c r="B238" t="inlineStr">
        <is>
          <t>QZ 200 D713m 1959</t>
        </is>
      </c>
      <c r="C238" t="inlineStr">
        <is>
          <t>0                      QZ 0200000D  713m        1959</t>
        </is>
      </c>
      <c r="D238" t="inlineStr">
        <is>
          <t>Morbidity from cancer in the United States / Harold F. Dorn, Sidney J. Cutler.</t>
        </is>
      </c>
      <c r="F238" t="inlineStr">
        <is>
          <t>No</t>
        </is>
      </c>
      <c r="G238" t="inlineStr">
        <is>
          <t>1</t>
        </is>
      </c>
      <c r="H238" t="inlineStr">
        <is>
          <t>No</t>
        </is>
      </c>
      <c r="I238" t="inlineStr">
        <is>
          <t>No</t>
        </is>
      </c>
      <c r="J238" t="inlineStr">
        <is>
          <t>0</t>
        </is>
      </c>
      <c r="K238" t="inlineStr">
        <is>
          <t>Dorn, Harold F. (Harold Fred), 1906-1963.</t>
        </is>
      </c>
      <c r="M238" t="inlineStr">
        <is>
          <t>1959</t>
        </is>
      </c>
      <c r="O238" t="inlineStr">
        <is>
          <t>eng</t>
        </is>
      </c>
      <c r="P238" t="inlineStr">
        <is>
          <t xml:space="preserve">xx </t>
        </is>
      </c>
      <c r="Q238" t="inlineStr">
        <is>
          <t>Public health monograph ; no. 56</t>
        </is>
      </c>
      <c r="R238" t="inlineStr">
        <is>
          <t xml:space="preserve">QZ </t>
        </is>
      </c>
      <c r="S238" t="n">
        <v>2</v>
      </c>
      <c r="T238" t="n">
        <v>2</v>
      </c>
      <c r="U238" t="inlineStr">
        <is>
          <t>1999-05-17</t>
        </is>
      </c>
      <c r="V238" t="inlineStr">
        <is>
          <t>1999-05-17</t>
        </is>
      </c>
      <c r="W238" t="inlineStr">
        <is>
          <t>1991-10-10</t>
        </is>
      </c>
      <c r="X238" t="inlineStr">
        <is>
          <t>1991-10-10</t>
        </is>
      </c>
      <c r="Y238" t="n">
        <v>76</v>
      </c>
      <c r="Z238" t="n">
        <v>67</v>
      </c>
      <c r="AA238" t="n">
        <v>70</v>
      </c>
      <c r="AB238" t="n">
        <v>1</v>
      </c>
      <c r="AC238" t="n">
        <v>1</v>
      </c>
      <c r="AD238" t="n">
        <v>1</v>
      </c>
      <c r="AE238" t="n">
        <v>1</v>
      </c>
      <c r="AF238" t="n">
        <v>0</v>
      </c>
      <c r="AG238" t="n">
        <v>0</v>
      </c>
      <c r="AH238" t="n">
        <v>0</v>
      </c>
      <c r="AI238" t="n">
        <v>0</v>
      </c>
      <c r="AJ238" t="n">
        <v>1</v>
      </c>
      <c r="AK238" t="n">
        <v>1</v>
      </c>
      <c r="AL238" t="n">
        <v>0</v>
      </c>
      <c r="AM238" t="n">
        <v>0</v>
      </c>
      <c r="AN238" t="n">
        <v>0</v>
      </c>
      <c r="AO238" t="n">
        <v>0</v>
      </c>
      <c r="AP238" t="inlineStr">
        <is>
          <t>Yes</t>
        </is>
      </c>
      <c r="AQ238" t="inlineStr">
        <is>
          <t>No</t>
        </is>
      </c>
      <c r="AR238">
        <f>HYPERLINK("http://catalog.hathitrust.org/Record/102441662","HathiTrust Record")</f>
        <v/>
      </c>
      <c r="AS238">
        <f>HYPERLINK("https://creighton-primo.hosted.exlibrisgroup.com/primo-explore/search?tab=default_tab&amp;search_scope=EVERYTHING&amp;vid=01CRU&amp;lang=en_US&amp;offset=0&amp;query=any,contains,991001019119702656","Catalog Record")</f>
        <v/>
      </c>
      <c r="AT238">
        <f>HYPERLINK("http://www.worldcat.org/oclc/14620580","WorldCat Record")</f>
        <v/>
      </c>
      <c r="AU238" t="inlineStr">
        <is>
          <t>5090403962:eng</t>
        </is>
      </c>
      <c r="AV238" t="inlineStr">
        <is>
          <t>14620580</t>
        </is>
      </c>
      <c r="AW238" t="inlineStr">
        <is>
          <t>991001019119702656</t>
        </is>
      </c>
      <c r="AX238" t="inlineStr">
        <is>
          <t>991001019119702656</t>
        </is>
      </c>
      <c r="AY238" t="inlineStr">
        <is>
          <t>2266219330002656</t>
        </is>
      </c>
      <c r="AZ238" t="inlineStr">
        <is>
          <t>BOOK</t>
        </is>
      </c>
      <c r="BC238" t="inlineStr">
        <is>
          <t>30001002241265</t>
        </is>
      </c>
      <c r="BD238" t="inlineStr">
        <is>
          <t>893831855</t>
        </is>
      </c>
    </row>
    <row r="239">
      <c r="A239" t="inlineStr">
        <is>
          <t>No</t>
        </is>
      </c>
      <c r="B239" t="inlineStr">
        <is>
          <t>QZ 200 E27 1991</t>
        </is>
      </c>
      <c r="C239" t="inlineStr">
        <is>
          <t>0                      QZ 0200000E  27          1991</t>
        </is>
      </c>
      <c r="D239" t="inlineStr">
        <is>
          <t>Effect of cancer on quality of life / editor, David Osoba.</t>
        </is>
      </c>
      <c r="F239" t="inlineStr">
        <is>
          <t>No</t>
        </is>
      </c>
      <c r="G239" t="inlineStr">
        <is>
          <t>1</t>
        </is>
      </c>
      <c r="H239" t="inlineStr">
        <is>
          <t>No</t>
        </is>
      </c>
      <c r="I239" t="inlineStr">
        <is>
          <t>No</t>
        </is>
      </c>
      <c r="J239" t="inlineStr">
        <is>
          <t>0</t>
        </is>
      </c>
      <c r="L239" t="inlineStr">
        <is>
          <t>Boca Raton : CRC Press, c1991.</t>
        </is>
      </c>
      <c r="M239" t="inlineStr">
        <is>
          <t>1991</t>
        </is>
      </c>
      <c r="O239" t="inlineStr">
        <is>
          <t>eng</t>
        </is>
      </c>
      <c r="P239" t="inlineStr">
        <is>
          <t>flu</t>
        </is>
      </c>
      <c r="R239" t="inlineStr">
        <is>
          <t xml:space="preserve">QZ </t>
        </is>
      </c>
      <c r="S239" t="n">
        <v>7</v>
      </c>
      <c r="T239" t="n">
        <v>7</v>
      </c>
      <c r="U239" t="inlineStr">
        <is>
          <t>1991-09-17</t>
        </is>
      </c>
      <c r="V239" t="inlineStr">
        <is>
          <t>1991-09-17</t>
        </is>
      </c>
      <c r="W239" t="inlineStr">
        <is>
          <t>1991-09-17</t>
        </is>
      </c>
      <c r="X239" t="inlineStr">
        <is>
          <t>1991-09-17</t>
        </is>
      </c>
      <c r="Y239" t="n">
        <v>125</v>
      </c>
      <c r="Z239" t="n">
        <v>85</v>
      </c>
      <c r="AA239" t="n">
        <v>89</v>
      </c>
      <c r="AB239" t="n">
        <v>1</v>
      </c>
      <c r="AC239" t="n">
        <v>1</v>
      </c>
      <c r="AD239" t="n">
        <v>0</v>
      </c>
      <c r="AE239" t="n">
        <v>0</v>
      </c>
      <c r="AF239" t="n">
        <v>0</v>
      </c>
      <c r="AG239" t="n">
        <v>0</v>
      </c>
      <c r="AH239" t="n">
        <v>0</v>
      </c>
      <c r="AI239" t="n">
        <v>0</v>
      </c>
      <c r="AJ239" t="n">
        <v>0</v>
      </c>
      <c r="AK239" t="n">
        <v>0</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HYPERLINK("https://creighton-primo.hosted.exlibrisgroup.com/primo-explore/search?tab=default_tab&amp;search_scope=EVERYTHING&amp;vid=01CRU&amp;lang=en_US&amp;offset=0&amp;query=any,contains,991001015499702656","Catalog Record")</f>
        <v/>
      </c>
      <c r="AT239">
        <f>HYPERLINK("http://www.worldcat.org/oclc/23080096","WorldCat Record")</f>
        <v/>
      </c>
      <c r="AU239" t="inlineStr">
        <is>
          <t>24470268:eng</t>
        </is>
      </c>
      <c r="AV239" t="inlineStr">
        <is>
          <t>23080096</t>
        </is>
      </c>
      <c r="AW239" t="inlineStr">
        <is>
          <t>991001015499702656</t>
        </is>
      </c>
      <c r="AX239" t="inlineStr">
        <is>
          <t>991001015499702656</t>
        </is>
      </c>
      <c r="AY239" t="inlineStr">
        <is>
          <t>2259401990002656</t>
        </is>
      </c>
      <c r="AZ239" t="inlineStr">
        <is>
          <t>BOOK</t>
        </is>
      </c>
      <c r="BB239" t="inlineStr">
        <is>
          <t>9780849369773</t>
        </is>
      </c>
      <c r="BC239" t="inlineStr">
        <is>
          <t>30001002240598</t>
        </is>
      </c>
      <c r="BD239" t="inlineStr">
        <is>
          <t>893643138</t>
        </is>
      </c>
    </row>
    <row r="240">
      <c r="A240" t="inlineStr">
        <is>
          <t>No</t>
        </is>
      </c>
      <c r="B240" t="inlineStr">
        <is>
          <t>QZ 200 E56 1990</t>
        </is>
      </c>
      <c r="C240" t="inlineStr">
        <is>
          <t>0                      QZ 0200000E  56          1990</t>
        </is>
      </c>
      <c r="D240" t="inlineStr">
        <is>
          <t>Endoscopic approaches to cancer diagnosis and treatment / edited by Yanao Oguro, Kunio Takagi.</t>
        </is>
      </c>
      <c r="F240" t="inlineStr">
        <is>
          <t>No</t>
        </is>
      </c>
      <c r="G240" t="inlineStr">
        <is>
          <t>1</t>
        </is>
      </c>
      <c r="H240" t="inlineStr">
        <is>
          <t>No</t>
        </is>
      </c>
      <c r="I240" t="inlineStr">
        <is>
          <t>No</t>
        </is>
      </c>
      <c r="J240" t="inlineStr">
        <is>
          <t>0</t>
        </is>
      </c>
      <c r="L240" t="inlineStr">
        <is>
          <t>Tokyo : Japan Scientific Societies Press ; Bristol : Taylor &amp; Francis, c1990.</t>
        </is>
      </c>
      <c r="M240" t="inlineStr">
        <is>
          <t>1990</t>
        </is>
      </c>
      <c r="O240" t="inlineStr">
        <is>
          <t>eng</t>
        </is>
      </c>
      <c r="P240" t="inlineStr">
        <is>
          <t xml:space="preserve">ja </t>
        </is>
      </c>
      <c r="Q240" t="inlineStr">
        <is>
          <t>Gann monograph on cancer research ; no. 37</t>
        </is>
      </c>
      <c r="R240" t="inlineStr">
        <is>
          <t xml:space="preserve">QZ </t>
        </is>
      </c>
      <c r="S240" t="n">
        <v>2</v>
      </c>
      <c r="T240" t="n">
        <v>2</v>
      </c>
      <c r="U240" t="inlineStr">
        <is>
          <t>1996-03-14</t>
        </is>
      </c>
      <c r="V240" t="inlineStr">
        <is>
          <t>1996-03-14</t>
        </is>
      </c>
      <c r="W240" t="inlineStr">
        <is>
          <t>1992-04-29</t>
        </is>
      </c>
      <c r="X240" t="inlineStr">
        <is>
          <t>1992-04-29</t>
        </is>
      </c>
      <c r="Y240" t="n">
        <v>89</v>
      </c>
      <c r="Z240" t="n">
        <v>62</v>
      </c>
      <c r="AA240" t="n">
        <v>63</v>
      </c>
      <c r="AB240" t="n">
        <v>1</v>
      </c>
      <c r="AC240" t="n">
        <v>1</v>
      </c>
      <c r="AD240" t="n">
        <v>0</v>
      </c>
      <c r="AE240" t="n">
        <v>0</v>
      </c>
      <c r="AF240" t="n">
        <v>0</v>
      </c>
      <c r="AG240" t="n">
        <v>0</v>
      </c>
      <c r="AH240" t="n">
        <v>0</v>
      </c>
      <c r="AI240" t="n">
        <v>0</v>
      </c>
      <c r="AJ240" t="n">
        <v>0</v>
      </c>
      <c r="AK240" t="n">
        <v>0</v>
      </c>
      <c r="AL240" t="n">
        <v>0</v>
      </c>
      <c r="AM240" t="n">
        <v>0</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HYPERLINK("https://creighton-primo.hosted.exlibrisgroup.com/primo-explore/search?tab=default_tab&amp;search_scope=EVERYTHING&amp;vid=01CRU&amp;lang=en_US&amp;offset=0&amp;query=any,contains,991001304029702656","Catalog Record")</f>
        <v/>
      </c>
      <c r="AT240">
        <f>HYPERLINK("http://www.worldcat.org/oclc/23232968","WorldCat Record")</f>
        <v/>
      </c>
      <c r="AU240" t="inlineStr">
        <is>
          <t>364406876:eng</t>
        </is>
      </c>
      <c r="AV240" t="inlineStr">
        <is>
          <t>23232968</t>
        </is>
      </c>
      <c r="AW240" t="inlineStr">
        <is>
          <t>991001304029702656</t>
        </is>
      </c>
      <c r="AX240" t="inlineStr">
        <is>
          <t>991001304029702656</t>
        </is>
      </c>
      <c r="AY240" t="inlineStr">
        <is>
          <t>2268080030002656</t>
        </is>
      </c>
      <c r="AZ240" t="inlineStr">
        <is>
          <t>BOOK</t>
        </is>
      </c>
      <c r="BB240" t="inlineStr">
        <is>
          <t>9780748400164</t>
        </is>
      </c>
      <c r="BC240" t="inlineStr">
        <is>
          <t>30001002412924</t>
        </is>
      </c>
      <c r="BD240" t="inlineStr">
        <is>
          <t>893134460</t>
        </is>
      </c>
    </row>
    <row r="241">
      <c r="A241" t="inlineStr">
        <is>
          <t>No</t>
        </is>
      </c>
      <c r="B241" t="inlineStr">
        <is>
          <t>QZ 200 E647c 2005</t>
        </is>
      </c>
      <c r="C241" t="inlineStr">
        <is>
          <t>0                      QZ 0200000E  647c        2005</t>
        </is>
      </c>
      <c r="D241" t="inlineStr">
        <is>
          <t>Cancer-gate : how to win the losing cancer war / Samuel S. Epstein.</t>
        </is>
      </c>
      <c r="F241" t="inlineStr">
        <is>
          <t>No</t>
        </is>
      </c>
      <c r="G241" t="inlineStr">
        <is>
          <t>1</t>
        </is>
      </c>
      <c r="H241" t="inlineStr">
        <is>
          <t>No</t>
        </is>
      </c>
      <c r="I241" t="inlineStr">
        <is>
          <t>No</t>
        </is>
      </c>
      <c r="J241" t="inlineStr">
        <is>
          <t>0</t>
        </is>
      </c>
      <c r="K241" t="inlineStr">
        <is>
          <t>Epstein, Samuel S.</t>
        </is>
      </c>
      <c r="L241" t="inlineStr">
        <is>
          <t>Amityville, N.Y. : Baywood Pub., c2005.</t>
        </is>
      </c>
      <c r="M241" t="inlineStr">
        <is>
          <t>2005</t>
        </is>
      </c>
      <c r="O241" t="inlineStr">
        <is>
          <t>eng</t>
        </is>
      </c>
      <c r="P241" t="inlineStr">
        <is>
          <t>nyu</t>
        </is>
      </c>
      <c r="Q241" t="inlineStr">
        <is>
          <t>Policy, politics, health, and medicine series</t>
        </is>
      </c>
      <c r="R241" t="inlineStr">
        <is>
          <t xml:space="preserve">QZ </t>
        </is>
      </c>
      <c r="S241" t="n">
        <v>0</v>
      </c>
      <c r="T241" t="n">
        <v>0</v>
      </c>
      <c r="U241" t="inlineStr">
        <is>
          <t>2005-07-17</t>
        </is>
      </c>
      <c r="V241" t="inlineStr">
        <is>
          <t>2005-07-17</t>
        </is>
      </c>
      <c r="W241" t="inlineStr">
        <is>
          <t>2005-07-14</t>
        </is>
      </c>
      <c r="X241" t="inlineStr">
        <is>
          <t>2005-07-14</t>
        </is>
      </c>
      <c r="Y241" t="n">
        <v>140</v>
      </c>
      <c r="Z241" t="n">
        <v>100</v>
      </c>
      <c r="AA241" t="n">
        <v>125</v>
      </c>
      <c r="AB241" t="n">
        <v>1</v>
      </c>
      <c r="AC241" t="n">
        <v>1</v>
      </c>
      <c r="AD241" t="n">
        <v>2</v>
      </c>
      <c r="AE241" t="n">
        <v>2</v>
      </c>
      <c r="AF241" t="n">
        <v>0</v>
      </c>
      <c r="AG241" t="n">
        <v>0</v>
      </c>
      <c r="AH241" t="n">
        <v>1</v>
      </c>
      <c r="AI241" t="n">
        <v>1</v>
      </c>
      <c r="AJ241" t="n">
        <v>2</v>
      </c>
      <c r="AK241" t="n">
        <v>2</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HYPERLINK("https://creighton-primo.hosted.exlibrisgroup.com/primo-explore/search?tab=default_tab&amp;search_scope=EVERYTHING&amp;vid=01CRU&amp;lang=en_US&amp;offset=0&amp;query=any,contains,991000440949702656","Catalog Record")</f>
        <v/>
      </c>
      <c r="AT241">
        <f>HYPERLINK("http://www.worldcat.org/oclc/57392172","WorldCat Record")</f>
        <v/>
      </c>
      <c r="AU241" t="inlineStr">
        <is>
          <t>372952:eng</t>
        </is>
      </c>
      <c r="AV241" t="inlineStr">
        <is>
          <t>57392172</t>
        </is>
      </c>
      <c r="AW241" t="inlineStr">
        <is>
          <t>991000440949702656</t>
        </is>
      </c>
      <c r="AX241" t="inlineStr">
        <is>
          <t>991000440949702656</t>
        </is>
      </c>
      <c r="AY241" t="inlineStr">
        <is>
          <t>2269209180002656</t>
        </is>
      </c>
      <c r="AZ241" t="inlineStr">
        <is>
          <t>BOOK</t>
        </is>
      </c>
      <c r="BB241" t="inlineStr">
        <is>
          <t>9780895033109</t>
        </is>
      </c>
      <c r="BC241" t="inlineStr">
        <is>
          <t>30001005000494</t>
        </is>
      </c>
      <c r="BD241" t="inlineStr">
        <is>
          <t>893542338</t>
        </is>
      </c>
    </row>
    <row r="242">
      <c r="A242" t="inlineStr">
        <is>
          <t>No</t>
        </is>
      </c>
      <c r="B242" t="inlineStr">
        <is>
          <t>QZ 200 G855o 1984</t>
        </is>
      </c>
      <c r="C242" t="inlineStr">
        <is>
          <t>0                      QZ 0200000G  855o        1984</t>
        </is>
      </c>
      <c r="D242" t="inlineStr">
        <is>
          <t>Oncology nursing : pathophysiology, assessment, and intervention / Margaret J. Griffiths, Kathleen H. Murray, Phyllis C. Russo.</t>
        </is>
      </c>
      <c r="F242" t="inlineStr">
        <is>
          <t>No</t>
        </is>
      </c>
      <c r="G242" t="inlineStr">
        <is>
          <t>1</t>
        </is>
      </c>
      <c r="H242" t="inlineStr">
        <is>
          <t>No</t>
        </is>
      </c>
      <c r="I242" t="inlineStr">
        <is>
          <t>No</t>
        </is>
      </c>
      <c r="J242" t="inlineStr">
        <is>
          <t>0</t>
        </is>
      </c>
      <c r="K242" t="inlineStr">
        <is>
          <t>Griffiths, Margaret J.</t>
        </is>
      </c>
      <c r="L242" t="inlineStr">
        <is>
          <t>New York : Macmillan Pub. Co., c1984.</t>
        </is>
      </c>
      <c r="M242" t="inlineStr">
        <is>
          <t>1984</t>
        </is>
      </c>
      <c r="O242" t="inlineStr">
        <is>
          <t>eng</t>
        </is>
      </c>
      <c r="P242" t="inlineStr">
        <is>
          <t>nyu</t>
        </is>
      </c>
      <c r="R242" t="inlineStr">
        <is>
          <t xml:space="preserve">QZ </t>
        </is>
      </c>
      <c r="S242" t="n">
        <v>7</v>
      </c>
      <c r="T242" t="n">
        <v>7</v>
      </c>
      <c r="U242" t="inlineStr">
        <is>
          <t>1988-03-22</t>
        </is>
      </c>
      <c r="V242" t="inlineStr">
        <is>
          <t>1988-03-22</t>
        </is>
      </c>
      <c r="W242" t="inlineStr">
        <is>
          <t>1988-02-19</t>
        </is>
      </c>
      <c r="X242" t="inlineStr">
        <is>
          <t>1988-02-19</t>
        </is>
      </c>
      <c r="Y242" t="n">
        <v>223</v>
      </c>
      <c r="Z242" t="n">
        <v>193</v>
      </c>
      <c r="AA242" t="n">
        <v>195</v>
      </c>
      <c r="AB242" t="n">
        <v>2</v>
      </c>
      <c r="AC242" t="n">
        <v>2</v>
      </c>
      <c r="AD242" t="n">
        <v>3</v>
      </c>
      <c r="AE242" t="n">
        <v>3</v>
      </c>
      <c r="AF242" t="n">
        <v>1</v>
      </c>
      <c r="AG242" t="n">
        <v>1</v>
      </c>
      <c r="AH242" t="n">
        <v>0</v>
      </c>
      <c r="AI242" t="n">
        <v>0</v>
      </c>
      <c r="AJ242" t="n">
        <v>3</v>
      </c>
      <c r="AK242" t="n">
        <v>3</v>
      </c>
      <c r="AL242" t="n">
        <v>0</v>
      </c>
      <c r="AM242" t="n">
        <v>0</v>
      </c>
      <c r="AN242" t="n">
        <v>0</v>
      </c>
      <c r="AO242" t="n">
        <v>0</v>
      </c>
      <c r="AP242" t="inlineStr">
        <is>
          <t>No</t>
        </is>
      </c>
      <c r="AQ242" t="inlineStr">
        <is>
          <t>Yes</t>
        </is>
      </c>
      <c r="AR242">
        <f>HYPERLINK("http://catalog.hathitrust.org/Record/000290092","HathiTrust Record")</f>
        <v/>
      </c>
      <c r="AS242">
        <f>HYPERLINK("https://creighton-primo.hosted.exlibrisgroup.com/primo-explore/search?tab=default_tab&amp;search_scope=EVERYTHING&amp;vid=01CRU&amp;lang=en_US&amp;offset=0&amp;query=any,contains,991001166899702656","Catalog Record")</f>
        <v/>
      </c>
      <c r="AT242">
        <f>HYPERLINK("http://www.worldcat.org/oclc/10948751","WorldCat Record")</f>
        <v/>
      </c>
      <c r="AU242" t="inlineStr">
        <is>
          <t>3750821:eng</t>
        </is>
      </c>
      <c r="AV242" t="inlineStr">
        <is>
          <t>10948751</t>
        </is>
      </c>
      <c r="AW242" t="inlineStr">
        <is>
          <t>991001166899702656</t>
        </is>
      </c>
      <c r="AX242" t="inlineStr">
        <is>
          <t>991001166899702656</t>
        </is>
      </c>
      <c r="AY242" t="inlineStr">
        <is>
          <t>2255730900002656</t>
        </is>
      </c>
      <c r="AZ242" t="inlineStr">
        <is>
          <t>BOOK</t>
        </is>
      </c>
      <c r="BB242" t="inlineStr">
        <is>
          <t>9780023472503</t>
        </is>
      </c>
      <c r="BC242" t="inlineStr">
        <is>
          <t>30001000304974</t>
        </is>
      </c>
      <c r="BD242" t="inlineStr">
        <is>
          <t>893727307</t>
        </is>
      </c>
    </row>
    <row r="243">
      <c r="A243" t="inlineStr">
        <is>
          <t>No</t>
        </is>
      </c>
      <c r="B243" t="inlineStr">
        <is>
          <t>QZ 200 GA163 1986 no.31</t>
        </is>
      </c>
      <c r="C243" t="inlineStr">
        <is>
          <t>0                      QZ 0200000GA 163         1986                                        no.31</t>
        </is>
      </c>
      <c r="D243" t="inlineStr">
        <is>
          <t>Digestive tract tumors : fundamental and clinical aspects / edited by Kiyoshi Inokuchi ... [et al.].</t>
        </is>
      </c>
      <c r="E243" t="inlineStr">
        <is>
          <t>no.31*</t>
        </is>
      </c>
      <c r="F243" t="inlineStr">
        <is>
          <t>No</t>
        </is>
      </c>
      <c r="G243" t="inlineStr">
        <is>
          <t>1</t>
        </is>
      </c>
      <c r="H243" t="inlineStr">
        <is>
          <t>No</t>
        </is>
      </c>
      <c r="I243" t="inlineStr">
        <is>
          <t>No</t>
        </is>
      </c>
      <c r="J243" t="inlineStr">
        <is>
          <t>0</t>
        </is>
      </c>
      <c r="L243" t="inlineStr">
        <is>
          <t>Tokyo : Japan Scientific Societies Press ; New York : Plenum Press, c1986.</t>
        </is>
      </c>
      <c r="M243" t="inlineStr">
        <is>
          <t>1986</t>
        </is>
      </c>
      <c r="O243" t="inlineStr">
        <is>
          <t>eng</t>
        </is>
      </c>
      <c r="P243" t="inlineStr">
        <is>
          <t xml:space="preserve">ja </t>
        </is>
      </c>
      <c r="Q243" t="inlineStr">
        <is>
          <t>Gann monograph on cancer research ; no. 31</t>
        </is>
      </c>
      <c r="R243" t="inlineStr">
        <is>
          <t xml:space="preserve">QZ </t>
        </is>
      </c>
      <c r="S243" t="n">
        <v>2</v>
      </c>
      <c r="T243" t="n">
        <v>2</v>
      </c>
      <c r="U243" t="inlineStr">
        <is>
          <t>1990-02-03</t>
        </is>
      </c>
      <c r="V243" t="inlineStr">
        <is>
          <t>1990-02-03</t>
        </is>
      </c>
      <c r="W243" t="inlineStr">
        <is>
          <t>1989-02-02</t>
        </is>
      </c>
      <c r="X243" t="inlineStr">
        <is>
          <t>1989-02-02</t>
        </is>
      </c>
      <c r="Y243" t="n">
        <v>110</v>
      </c>
      <c r="Z243" t="n">
        <v>87</v>
      </c>
      <c r="AA243" t="n">
        <v>89</v>
      </c>
      <c r="AB243" t="n">
        <v>1</v>
      </c>
      <c r="AC243" t="n">
        <v>1</v>
      </c>
      <c r="AD243" t="n">
        <v>1</v>
      </c>
      <c r="AE243" t="n">
        <v>1</v>
      </c>
      <c r="AF243" t="n">
        <v>0</v>
      </c>
      <c r="AG243" t="n">
        <v>0</v>
      </c>
      <c r="AH243" t="n">
        <v>0</v>
      </c>
      <c r="AI243" t="n">
        <v>0</v>
      </c>
      <c r="AJ243" t="n">
        <v>1</v>
      </c>
      <c r="AK243" t="n">
        <v>1</v>
      </c>
      <c r="AL243" t="n">
        <v>0</v>
      </c>
      <c r="AM243" t="n">
        <v>0</v>
      </c>
      <c r="AN243" t="n">
        <v>0</v>
      </c>
      <c r="AO243" t="n">
        <v>0</v>
      </c>
      <c r="AP243" t="inlineStr">
        <is>
          <t>No</t>
        </is>
      </c>
      <c r="AQ243" t="inlineStr">
        <is>
          <t>Yes</t>
        </is>
      </c>
      <c r="AR243">
        <f>HYPERLINK("http://catalog.hathitrust.org/Record/000628165","HathiTrust Record")</f>
        <v/>
      </c>
      <c r="AS243">
        <f>HYPERLINK("https://creighton-primo.hosted.exlibrisgroup.com/primo-explore/search?tab=default_tab&amp;search_scope=EVERYTHING&amp;vid=01CRU&amp;lang=en_US&amp;offset=0&amp;query=any,contains,991001167009702656","Catalog Record")</f>
        <v/>
      </c>
      <c r="AT243">
        <f>HYPERLINK("http://www.worldcat.org/oclc/13434898","WorldCat Record")</f>
        <v/>
      </c>
      <c r="AU243" t="inlineStr">
        <is>
          <t>367702177:eng</t>
        </is>
      </c>
      <c r="AV243" t="inlineStr">
        <is>
          <t>13434898</t>
        </is>
      </c>
      <c r="AW243" t="inlineStr">
        <is>
          <t>991001167009702656</t>
        </is>
      </c>
      <c r="AX243" t="inlineStr">
        <is>
          <t>991001167009702656</t>
        </is>
      </c>
      <c r="AY243" t="inlineStr">
        <is>
          <t>2256916720002656</t>
        </is>
      </c>
      <c r="AZ243" t="inlineStr">
        <is>
          <t>BOOK</t>
        </is>
      </c>
      <c r="BB243" t="inlineStr">
        <is>
          <t>9780306422973</t>
        </is>
      </c>
      <c r="BC243" t="inlineStr">
        <is>
          <t>30001000305005</t>
        </is>
      </c>
      <c r="BD243" t="inlineStr">
        <is>
          <t>893736288</t>
        </is>
      </c>
    </row>
    <row r="244">
      <c r="A244" t="inlineStr">
        <is>
          <t>No</t>
        </is>
      </c>
      <c r="B244" t="inlineStr">
        <is>
          <t>QZ 200 H235 1989</t>
        </is>
      </c>
      <c r="C244" t="inlineStr">
        <is>
          <t>0                      QZ 0200000H  235         1989</t>
        </is>
      </c>
      <c r="D244" t="inlineStr">
        <is>
          <t>Handbook of psychooncology : psychological care of the patient with cancer / edited by Jimmie C. Holland and Julia H. Rowland.</t>
        </is>
      </c>
      <c r="F244" t="inlineStr">
        <is>
          <t>No</t>
        </is>
      </c>
      <c r="G244" t="inlineStr">
        <is>
          <t>1</t>
        </is>
      </c>
      <c r="H244" t="inlineStr">
        <is>
          <t>No</t>
        </is>
      </c>
      <c r="I244" t="inlineStr">
        <is>
          <t>No</t>
        </is>
      </c>
      <c r="J244" t="inlineStr">
        <is>
          <t>0</t>
        </is>
      </c>
      <c r="L244" t="inlineStr">
        <is>
          <t>New York : Oxford University Press, c1989.</t>
        </is>
      </c>
      <c r="M244" t="inlineStr">
        <is>
          <t>1989</t>
        </is>
      </c>
      <c r="O244" t="inlineStr">
        <is>
          <t>eng</t>
        </is>
      </c>
      <c r="P244" t="inlineStr">
        <is>
          <t>xxu</t>
        </is>
      </c>
      <c r="R244" t="inlineStr">
        <is>
          <t xml:space="preserve">QZ </t>
        </is>
      </c>
      <c r="S244" t="n">
        <v>9</v>
      </c>
      <c r="T244" t="n">
        <v>9</v>
      </c>
      <c r="U244" t="inlineStr">
        <is>
          <t>2006-04-03</t>
        </is>
      </c>
      <c r="V244" t="inlineStr">
        <is>
          <t>2006-04-03</t>
        </is>
      </c>
      <c r="W244" t="inlineStr">
        <is>
          <t>1990-01-17</t>
        </is>
      </c>
      <c r="X244" t="inlineStr">
        <is>
          <t>1990-01-17</t>
        </is>
      </c>
      <c r="Y244" t="n">
        <v>295</v>
      </c>
      <c r="Z244" t="n">
        <v>218</v>
      </c>
      <c r="AA244" t="n">
        <v>261</v>
      </c>
      <c r="AB244" t="n">
        <v>1</v>
      </c>
      <c r="AC244" t="n">
        <v>2</v>
      </c>
      <c r="AD244" t="n">
        <v>5</v>
      </c>
      <c r="AE244" t="n">
        <v>10</v>
      </c>
      <c r="AF244" t="n">
        <v>2</v>
      </c>
      <c r="AG244" t="n">
        <v>3</v>
      </c>
      <c r="AH244" t="n">
        <v>3</v>
      </c>
      <c r="AI244" t="n">
        <v>3</v>
      </c>
      <c r="AJ244" t="n">
        <v>1</v>
      </c>
      <c r="AK244" t="n">
        <v>4</v>
      </c>
      <c r="AL244" t="n">
        <v>0</v>
      </c>
      <c r="AM244" t="n">
        <v>1</v>
      </c>
      <c r="AN244" t="n">
        <v>0</v>
      </c>
      <c r="AO244" t="n">
        <v>0</v>
      </c>
      <c r="AP244" t="inlineStr">
        <is>
          <t>No</t>
        </is>
      </c>
      <c r="AQ244" t="inlineStr">
        <is>
          <t>Yes</t>
        </is>
      </c>
      <c r="AR244">
        <f>HYPERLINK("http://catalog.hathitrust.org/Record/001816138","HathiTrust Record")</f>
        <v/>
      </c>
      <c r="AS244">
        <f>HYPERLINK("https://creighton-primo.hosted.exlibrisgroup.com/primo-explore/search?tab=default_tab&amp;search_scope=EVERYTHING&amp;vid=01CRU&amp;lang=en_US&amp;offset=0&amp;query=any,contains,991001385679702656","Catalog Record")</f>
        <v/>
      </c>
      <c r="AT244">
        <f>HYPERLINK("http://www.worldcat.org/oclc/19739733","WorldCat Record")</f>
        <v/>
      </c>
      <c r="AU244" t="inlineStr">
        <is>
          <t>836761599:eng</t>
        </is>
      </c>
      <c r="AV244" t="inlineStr">
        <is>
          <t>19739733</t>
        </is>
      </c>
      <c r="AW244" t="inlineStr">
        <is>
          <t>991001385679702656</t>
        </is>
      </c>
      <c r="AX244" t="inlineStr">
        <is>
          <t>991001385679702656</t>
        </is>
      </c>
      <c r="AY244" t="inlineStr">
        <is>
          <t>2259219880002656</t>
        </is>
      </c>
      <c r="AZ244" t="inlineStr">
        <is>
          <t>BOOK</t>
        </is>
      </c>
      <c r="BB244" t="inlineStr">
        <is>
          <t>9780195043082</t>
        </is>
      </c>
      <c r="BC244" t="inlineStr">
        <is>
          <t>30001001799701</t>
        </is>
      </c>
      <c r="BD244" t="inlineStr">
        <is>
          <t>893652002</t>
        </is>
      </c>
    </row>
    <row r="245">
      <c r="A245" t="inlineStr">
        <is>
          <t>No</t>
        </is>
      </c>
      <c r="B245" t="inlineStr">
        <is>
          <t>QZ200 H483 1998</t>
        </is>
      </c>
      <c r="C245" t="inlineStr">
        <is>
          <t>0                      QZ 0200000H  483         1998</t>
        </is>
      </c>
      <c r="D245" t="inlineStr">
        <is>
          <t>Helping cancer patients cope : a problem-solving approach / Arthur M. Nezu ... [et al.].</t>
        </is>
      </c>
      <c r="F245" t="inlineStr">
        <is>
          <t>No</t>
        </is>
      </c>
      <c r="G245" t="inlineStr">
        <is>
          <t>1</t>
        </is>
      </c>
      <c r="H245" t="inlineStr">
        <is>
          <t>No</t>
        </is>
      </c>
      <c r="I245" t="inlineStr">
        <is>
          <t>No</t>
        </is>
      </c>
      <c r="J245" t="inlineStr">
        <is>
          <t>0</t>
        </is>
      </c>
      <c r="L245" t="inlineStr">
        <is>
          <t>Washington, DC : American Psychological Association, c1998.</t>
        </is>
      </c>
      <c r="M245" t="inlineStr">
        <is>
          <t>1998</t>
        </is>
      </c>
      <c r="O245" t="inlineStr">
        <is>
          <t>eng</t>
        </is>
      </c>
      <c r="P245" t="inlineStr">
        <is>
          <t>dcu</t>
        </is>
      </c>
      <c r="R245" t="inlineStr">
        <is>
          <t xml:space="preserve">QZ </t>
        </is>
      </c>
      <c r="S245" t="n">
        <v>0</v>
      </c>
      <c r="T245" t="n">
        <v>0</v>
      </c>
      <c r="U245" t="inlineStr">
        <is>
          <t>2002-12-10</t>
        </is>
      </c>
      <c r="V245" t="inlineStr">
        <is>
          <t>2002-12-10</t>
        </is>
      </c>
      <c r="W245" t="inlineStr">
        <is>
          <t>2002-07-02</t>
        </is>
      </c>
      <c r="X245" t="inlineStr">
        <is>
          <t>2002-07-02</t>
        </is>
      </c>
      <c r="Y245" t="n">
        <v>346</v>
      </c>
      <c r="Z245" t="n">
        <v>289</v>
      </c>
      <c r="AA245" t="n">
        <v>366</v>
      </c>
      <c r="AB245" t="n">
        <v>1</v>
      </c>
      <c r="AC245" t="n">
        <v>2</v>
      </c>
      <c r="AD245" t="n">
        <v>13</v>
      </c>
      <c r="AE245" t="n">
        <v>17</v>
      </c>
      <c r="AF245" t="n">
        <v>6</v>
      </c>
      <c r="AG245" t="n">
        <v>7</v>
      </c>
      <c r="AH245" t="n">
        <v>2</v>
      </c>
      <c r="AI245" t="n">
        <v>2</v>
      </c>
      <c r="AJ245" t="n">
        <v>9</v>
      </c>
      <c r="AK245" t="n">
        <v>11</v>
      </c>
      <c r="AL245" t="n">
        <v>0</v>
      </c>
      <c r="AM245" t="n">
        <v>1</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HYPERLINK("https://creighton-primo.hosted.exlibrisgroup.com/primo-explore/search?tab=default_tab&amp;search_scope=EVERYTHING&amp;vid=01CRU&amp;lang=en_US&amp;offset=0&amp;query=any,contains,991000321459702656","Catalog Record")</f>
        <v/>
      </c>
      <c r="AT245">
        <f>HYPERLINK("http://www.worldcat.org/oclc/39539960","WorldCat Record")</f>
        <v/>
      </c>
      <c r="AU245" t="inlineStr">
        <is>
          <t>1078261602:eng</t>
        </is>
      </c>
      <c r="AV245" t="inlineStr">
        <is>
          <t>39539960</t>
        </is>
      </c>
      <c r="AW245" t="inlineStr">
        <is>
          <t>991000321459702656</t>
        </is>
      </c>
      <c r="AX245" t="inlineStr">
        <is>
          <t>991000321459702656</t>
        </is>
      </c>
      <c r="AY245" t="inlineStr">
        <is>
          <t>2260330840002656</t>
        </is>
      </c>
      <c r="AZ245" t="inlineStr">
        <is>
          <t>BOOK</t>
        </is>
      </c>
      <c r="BB245" t="inlineStr">
        <is>
          <t>9781557985330</t>
        </is>
      </c>
      <c r="BC245" t="inlineStr">
        <is>
          <t>30001004442481</t>
        </is>
      </c>
      <c r="BD245" t="inlineStr">
        <is>
          <t>893109409</t>
        </is>
      </c>
    </row>
    <row r="246">
      <c r="A246" t="inlineStr">
        <is>
          <t>No</t>
        </is>
      </c>
      <c r="B246" t="inlineStr">
        <is>
          <t>QZ 200 H7343 2006</t>
        </is>
      </c>
      <c r="C246" t="inlineStr">
        <is>
          <t>0                      QZ 0200000H  7343        2006</t>
        </is>
      </c>
      <c r="D246" t="inlineStr">
        <is>
          <t>Holland Frei cancer medicine 7 / editors, Donald W. Kufe ... [et al.].</t>
        </is>
      </c>
      <c r="F246" t="inlineStr">
        <is>
          <t>No</t>
        </is>
      </c>
      <c r="G246" t="inlineStr">
        <is>
          <t>1</t>
        </is>
      </c>
      <c r="H246" t="inlineStr">
        <is>
          <t>No</t>
        </is>
      </c>
      <c r="I246" t="inlineStr">
        <is>
          <t>No</t>
        </is>
      </c>
      <c r="J246" t="inlineStr">
        <is>
          <t>0</t>
        </is>
      </c>
      <c r="L246" t="inlineStr">
        <is>
          <t>Hamilton, Ont. ; Lewiston, NY [distributor] : BC Decker, 2006.</t>
        </is>
      </c>
      <c r="M246" t="inlineStr">
        <is>
          <t>2006</t>
        </is>
      </c>
      <c r="N246" t="inlineStr">
        <is>
          <t>7th ed.</t>
        </is>
      </c>
      <c r="O246" t="inlineStr">
        <is>
          <t>eng</t>
        </is>
      </c>
      <c r="P246" t="inlineStr">
        <is>
          <t>onc</t>
        </is>
      </c>
      <c r="R246" t="inlineStr">
        <is>
          <t xml:space="preserve">QZ </t>
        </is>
      </c>
      <c r="S246" t="n">
        <v>9</v>
      </c>
      <c r="T246" t="n">
        <v>9</v>
      </c>
      <c r="U246" t="inlineStr">
        <is>
          <t>2007-07-14</t>
        </is>
      </c>
      <c r="V246" t="inlineStr">
        <is>
          <t>2007-07-14</t>
        </is>
      </c>
      <c r="W246" t="inlineStr">
        <is>
          <t>2006-04-06</t>
        </is>
      </c>
      <c r="X246" t="inlineStr">
        <is>
          <t>2006-04-06</t>
        </is>
      </c>
      <c r="Y246" t="n">
        <v>169</v>
      </c>
      <c r="Z246" t="n">
        <v>139</v>
      </c>
      <c r="AA246" t="n">
        <v>140</v>
      </c>
      <c r="AB246" t="n">
        <v>1</v>
      </c>
      <c r="AC246" t="n">
        <v>1</v>
      </c>
      <c r="AD246" t="n">
        <v>3</v>
      </c>
      <c r="AE246" t="n">
        <v>3</v>
      </c>
      <c r="AF246" t="n">
        <v>1</v>
      </c>
      <c r="AG246" t="n">
        <v>1</v>
      </c>
      <c r="AH246" t="n">
        <v>1</v>
      </c>
      <c r="AI246" t="n">
        <v>1</v>
      </c>
      <c r="AJ246" t="n">
        <v>1</v>
      </c>
      <c r="AK246" t="n">
        <v>1</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HYPERLINK("https://creighton-primo.hosted.exlibrisgroup.com/primo-explore/search?tab=default_tab&amp;search_scope=EVERYTHING&amp;vid=01CRU&amp;lang=en_US&amp;offset=0&amp;query=any,contains,991000472379702656","Catalog Record")</f>
        <v/>
      </c>
      <c r="AT246">
        <f>HYPERLINK("http://www.worldcat.org/oclc/65195228","WorldCat Record")</f>
        <v/>
      </c>
      <c r="AU246" t="inlineStr">
        <is>
          <t>4714378166:eng</t>
        </is>
      </c>
      <c r="AV246" t="inlineStr">
        <is>
          <t>65195228</t>
        </is>
      </c>
      <c r="AW246" t="inlineStr">
        <is>
          <t>991000472379702656</t>
        </is>
      </c>
      <c r="AX246" t="inlineStr">
        <is>
          <t>991000472379702656</t>
        </is>
      </c>
      <c r="AY246" t="inlineStr">
        <is>
          <t>2264524710002656</t>
        </is>
      </c>
      <c r="AZ246" t="inlineStr">
        <is>
          <t>BOOK</t>
        </is>
      </c>
      <c r="BB246" t="inlineStr">
        <is>
          <t>9781550093070</t>
        </is>
      </c>
      <c r="BC246" t="inlineStr">
        <is>
          <t>30001005126943</t>
        </is>
      </c>
      <c r="BD246" t="inlineStr">
        <is>
          <t>893275062</t>
        </is>
      </c>
    </row>
    <row r="247">
      <c r="A247" t="inlineStr">
        <is>
          <t>No</t>
        </is>
      </c>
      <c r="B247" t="inlineStr">
        <is>
          <t>QZ 200 I34534 1987</t>
        </is>
      </c>
      <c r="C247" t="inlineStr">
        <is>
          <t>0                      QZ 0200000I  34534       1987</t>
        </is>
      </c>
      <c r="D247" t="inlineStr">
        <is>
          <t>Immunology of malignant diseases / edited by V.S. Byers and R.W. Baldwin.</t>
        </is>
      </c>
      <c r="F247" t="inlineStr">
        <is>
          <t>No</t>
        </is>
      </c>
      <c r="G247" t="inlineStr">
        <is>
          <t>1</t>
        </is>
      </c>
      <c r="H247" t="inlineStr">
        <is>
          <t>No</t>
        </is>
      </c>
      <c r="I247" t="inlineStr">
        <is>
          <t>No</t>
        </is>
      </c>
      <c r="J247" t="inlineStr">
        <is>
          <t>0</t>
        </is>
      </c>
      <c r="L247" t="inlineStr">
        <is>
          <t>Lancaster ; Boston : MTP Press, c1987.</t>
        </is>
      </c>
      <c r="M247" t="inlineStr">
        <is>
          <t>1987</t>
        </is>
      </c>
      <c r="O247" t="inlineStr">
        <is>
          <t>eng</t>
        </is>
      </c>
      <c r="P247" t="inlineStr">
        <is>
          <t>enk</t>
        </is>
      </c>
      <c r="Q247" t="inlineStr">
        <is>
          <t>Immunology and medicine series</t>
        </is>
      </c>
      <c r="R247" t="inlineStr">
        <is>
          <t xml:space="preserve">QZ </t>
        </is>
      </c>
      <c r="S247" t="n">
        <v>2</v>
      </c>
      <c r="T247" t="n">
        <v>2</v>
      </c>
      <c r="U247" t="inlineStr">
        <is>
          <t>2008-07-02</t>
        </is>
      </c>
      <c r="V247" t="inlineStr">
        <is>
          <t>2008-07-02</t>
        </is>
      </c>
      <c r="W247" t="inlineStr">
        <is>
          <t>1988-01-05</t>
        </is>
      </c>
      <c r="X247" t="inlineStr">
        <is>
          <t>1988-01-05</t>
        </is>
      </c>
      <c r="Y247" t="n">
        <v>110</v>
      </c>
      <c r="Z247" t="n">
        <v>69</v>
      </c>
      <c r="AA247" t="n">
        <v>95</v>
      </c>
      <c r="AB247" t="n">
        <v>1</v>
      </c>
      <c r="AC247" t="n">
        <v>1</v>
      </c>
      <c r="AD247" t="n">
        <v>2</v>
      </c>
      <c r="AE247" t="n">
        <v>3</v>
      </c>
      <c r="AF247" t="n">
        <v>0</v>
      </c>
      <c r="AG247" t="n">
        <v>1</v>
      </c>
      <c r="AH247" t="n">
        <v>1</v>
      </c>
      <c r="AI247" t="n">
        <v>1</v>
      </c>
      <c r="AJ247" t="n">
        <v>1</v>
      </c>
      <c r="AK247" t="n">
        <v>2</v>
      </c>
      <c r="AL247" t="n">
        <v>0</v>
      </c>
      <c r="AM247" t="n">
        <v>0</v>
      </c>
      <c r="AN247" t="n">
        <v>0</v>
      </c>
      <c r="AO247" t="n">
        <v>0</v>
      </c>
      <c r="AP247" t="inlineStr">
        <is>
          <t>No</t>
        </is>
      </c>
      <c r="AQ247" t="inlineStr">
        <is>
          <t>Yes</t>
        </is>
      </c>
      <c r="AR247">
        <f>HYPERLINK("http://catalog.hathitrust.org/Record/000856237","HathiTrust Record")</f>
        <v/>
      </c>
      <c r="AS247">
        <f>HYPERLINK("https://creighton-primo.hosted.exlibrisgroup.com/primo-explore/search?tab=default_tab&amp;search_scope=EVERYTHING&amp;vid=01CRU&amp;lang=en_US&amp;offset=0&amp;query=any,contains,991001536589702656","Catalog Record")</f>
        <v/>
      </c>
      <c r="AT247">
        <f>HYPERLINK("http://www.worldcat.org/oclc/15415389","WorldCat Record")</f>
        <v/>
      </c>
      <c r="AU247" t="inlineStr">
        <is>
          <t>365128972:eng</t>
        </is>
      </c>
      <c r="AV247" t="inlineStr">
        <is>
          <t>15415389</t>
        </is>
      </c>
      <c r="AW247" t="inlineStr">
        <is>
          <t>991001536589702656</t>
        </is>
      </c>
      <c r="AX247" t="inlineStr">
        <is>
          <t>991001536589702656</t>
        </is>
      </c>
      <c r="AY247" t="inlineStr">
        <is>
          <t>2261326310002656</t>
        </is>
      </c>
      <c r="AZ247" t="inlineStr">
        <is>
          <t>BOOK</t>
        </is>
      </c>
      <c r="BB247" t="inlineStr">
        <is>
          <t>9780852009642</t>
        </is>
      </c>
      <c r="BC247" t="inlineStr">
        <is>
          <t>30001000623191</t>
        </is>
      </c>
      <c r="BD247" t="inlineStr">
        <is>
          <t>893121615</t>
        </is>
      </c>
    </row>
    <row r="248">
      <c r="A248" t="inlineStr">
        <is>
          <t>No</t>
        </is>
      </c>
      <c r="B248" t="inlineStr">
        <is>
          <t>QZ 200 I432 2006</t>
        </is>
      </c>
      <c r="C248" t="inlineStr">
        <is>
          <t>0                      QZ 0200000I  432         2006</t>
        </is>
      </c>
      <c r="D248" t="inlineStr">
        <is>
          <t>Infection in the cancer patient : a practical guide / edited by Roy A.J. Spence, Roderick J. Hay, Patrick G. Johnston.</t>
        </is>
      </c>
      <c r="F248" t="inlineStr">
        <is>
          <t>No</t>
        </is>
      </c>
      <c r="G248" t="inlineStr">
        <is>
          <t>1</t>
        </is>
      </c>
      <c r="H248" t="inlineStr">
        <is>
          <t>No</t>
        </is>
      </c>
      <c r="I248" t="inlineStr">
        <is>
          <t>No</t>
        </is>
      </c>
      <c r="J248" t="inlineStr">
        <is>
          <t>0</t>
        </is>
      </c>
      <c r="L248" t="inlineStr">
        <is>
          <t>Oxford ; New York : Oxford University Press, 2006.</t>
        </is>
      </c>
      <c r="M248" t="inlineStr">
        <is>
          <t>2006</t>
        </is>
      </c>
      <c r="N248" t="inlineStr">
        <is>
          <t>1st ed.</t>
        </is>
      </c>
      <c r="O248" t="inlineStr">
        <is>
          <t>eng</t>
        </is>
      </c>
      <c r="P248" t="inlineStr">
        <is>
          <t>enk</t>
        </is>
      </c>
      <c r="R248" t="inlineStr">
        <is>
          <t xml:space="preserve">QZ </t>
        </is>
      </c>
      <c r="S248" t="n">
        <v>1</v>
      </c>
      <c r="T248" t="n">
        <v>1</v>
      </c>
      <c r="U248" t="inlineStr">
        <is>
          <t>2009-05-07</t>
        </is>
      </c>
      <c r="V248" t="inlineStr">
        <is>
          <t>2009-05-07</t>
        </is>
      </c>
      <c r="W248" t="inlineStr">
        <is>
          <t>2007-06-13</t>
        </is>
      </c>
      <c r="X248" t="inlineStr">
        <is>
          <t>2007-06-13</t>
        </is>
      </c>
      <c r="Y248" t="n">
        <v>82</v>
      </c>
      <c r="Z248" t="n">
        <v>41</v>
      </c>
      <c r="AA248" t="n">
        <v>46</v>
      </c>
      <c r="AB248" t="n">
        <v>1</v>
      </c>
      <c r="AC248" t="n">
        <v>1</v>
      </c>
      <c r="AD248" t="n">
        <v>1</v>
      </c>
      <c r="AE248" t="n">
        <v>1</v>
      </c>
      <c r="AF248" t="n">
        <v>0</v>
      </c>
      <c r="AG248" t="n">
        <v>0</v>
      </c>
      <c r="AH248" t="n">
        <v>1</v>
      </c>
      <c r="AI248" t="n">
        <v>1</v>
      </c>
      <c r="AJ248" t="n">
        <v>0</v>
      </c>
      <c r="AK248" t="n">
        <v>0</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HYPERLINK("https://creighton-primo.hosted.exlibrisgroup.com/primo-explore/search?tab=default_tab&amp;search_scope=EVERYTHING&amp;vid=01CRU&amp;lang=en_US&amp;offset=0&amp;query=any,contains,991000632689702656","Catalog Record")</f>
        <v/>
      </c>
      <c r="AT248">
        <f>HYPERLINK("http://www.worldcat.org/oclc/75712824","WorldCat Record")</f>
        <v/>
      </c>
      <c r="AU248" t="inlineStr">
        <is>
          <t>61688686:eng</t>
        </is>
      </c>
      <c r="AV248" t="inlineStr">
        <is>
          <t>75712824</t>
        </is>
      </c>
      <c r="AW248" t="inlineStr">
        <is>
          <t>991000632689702656</t>
        </is>
      </c>
      <c r="AX248" t="inlineStr">
        <is>
          <t>991000632689702656</t>
        </is>
      </c>
      <c r="AY248" t="inlineStr">
        <is>
          <t>2271977670002656</t>
        </is>
      </c>
      <c r="AZ248" t="inlineStr">
        <is>
          <t>BOOK</t>
        </is>
      </c>
      <c r="BB248" t="inlineStr">
        <is>
          <t>9780198566328</t>
        </is>
      </c>
      <c r="BC248" t="inlineStr">
        <is>
          <t>30001005218518</t>
        </is>
      </c>
      <c r="BD248" t="inlineStr">
        <is>
          <t>893464319</t>
        </is>
      </c>
    </row>
    <row r="249">
      <c r="A249" t="inlineStr">
        <is>
          <t>No</t>
        </is>
      </c>
      <c r="B249" t="inlineStr">
        <is>
          <t>QZ 200 IM615 1992</t>
        </is>
      </c>
      <c r="C249" t="inlineStr">
        <is>
          <t>0                      QZ 0200000IM 615         1992</t>
        </is>
      </c>
      <c r="D249" t="inlineStr">
        <is>
          <t>Important advances in oncology 1992 / edited by Vincent T. Devita, Jr., Samuel Hellman, Steven A. Rosenberg.</t>
        </is>
      </c>
      <c r="F249" t="inlineStr">
        <is>
          <t>No</t>
        </is>
      </c>
      <c r="G249" t="inlineStr">
        <is>
          <t>1</t>
        </is>
      </c>
      <c r="H249" t="inlineStr">
        <is>
          <t>No</t>
        </is>
      </c>
      <c r="I249" t="inlineStr">
        <is>
          <t>No</t>
        </is>
      </c>
      <c r="J249" t="inlineStr">
        <is>
          <t>0</t>
        </is>
      </c>
      <c r="L249" t="inlineStr">
        <is>
          <t>Philadelphia : Lippincott, c1992.</t>
        </is>
      </c>
      <c r="M249" t="inlineStr">
        <is>
          <t>1992</t>
        </is>
      </c>
      <c r="O249" t="inlineStr">
        <is>
          <t>eng</t>
        </is>
      </c>
      <c r="P249" t="inlineStr">
        <is>
          <t>pau</t>
        </is>
      </c>
      <c r="R249" t="inlineStr">
        <is>
          <t xml:space="preserve">QZ </t>
        </is>
      </c>
      <c r="S249" t="n">
        <v>11</v>
      </c>
      <c r="T249" t="n">
        <v>11</v>
      </c>
      <c r="U249" t="inlineStr">
        <is>
          <t>1997-05-12</t>
        </is>
      </c>
      <c r="V249" t="inlineStr">
        <is>
          <t>1997-05-12</t>
        </is>
      </c>
      <c r="W249" t="inlineStr">
        <is>
          <t>1992-10-15</t>
        </is>
      </c>
      <c r="X249" t="inlineStr">
        <is>
          <t>1992-10-15</t>
        </is>
      </c>
      <c r="Y249" t="n">
        <v>21</v>
      </c>
      <c r="Z249" t="n">
        <v>14</v>
      </c>
      <c r="AA249" t="n">
        <v>14</v>
      </c>
      <c r="AB249" t="n">
        <v>1</v>
      </c>
      <c r="AC249" t="n">
        <v>1</v>
      </c>
      <c r="AD249" t="n">
        <v>0</v>
      </c>
      <c r="AE249" t="n">
        <v>0</v>
      </c>
      <c r="AF249" t="n">
        <v>0</v>
      </c>
      <c r="AG249" t="n">
        <v>0</v>
      </c>
      <c r="AH249" t="n">
        <v>0</v>
      </c>
      <c r="AI249" t="n">
        <v>0</v>
      </c>
      <c r="AJ249" t="n">
        <v>0</v>
      </c>
      <c r="AK249" t="n">
        <v>0</v>
      </c>
      <c r="AL249" t="n">
        <v>0</v>
      </c>
      <c r="AM249" t="n">
        <v>0</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HYPERLINK("https://creighton-primo.hosted.exlibrisgroup.com/primo-explore/search?tab=default_tab&amp;search_scope=EVERYTHING&amp;vid=01CRU&amp;lang=en_US&amp;offset=0&amp;query=any,contains,991001345019702656","Catalog Record")</f>
        <v/>
      </c>
      <c r="AT249">
        <f>HYPERLINK("http://www.worldcat.org/oclc/25668584","WorldCat Record")</f>
        <v/>
      </c>
      <c r="AU249" t="inlineStr">
        <is>
          <t>14804852:eng</t>
        </is>
      </c>
      <c r="AV249" t="inlineStr">
        <is>
          <t>25668584</t>
        </is>
      </c>
      <c r="AW249" t="inlineStr">
        <is>
          <t>991001345019702656</t>
        </is>
      </c>
      <c r="AX249" t="inlineStr">
        <is>
          <t>991001345019702656</t>
        </is>
      </c>
      <c r="AY249" t="inlineStr">
        <is>
          <t>2257144700002656</t>
        </is>
      </c>
      <c r="AZ249" t="inlineStr">
        <is>
          <t>BOOK</t>
        </is>
      </c>
      <c r="BB249" t="inlineStr">
        <is>
          <t>9780397511570</t>
        </is>
      </c>
      <c r="BC249" t="inlineStr">
        <is>
          <t>30001002456897</t>
        </is>
      </c>
      <c r="BD249" t="inlineStr">
        <is>
          <t>893358498</t>
        </is>
      </c>
    </row>
    <row r="250">
      <c r="A250" t="inlineStr">
        <is>
          <t>No</t>
        </is>
      </c>
      <c r="B250" t="inlineStr">
        <is>
          <t>QZ 200 L699c 1987</t>
        </is>
      </c>
      <c r="C250" t="inlineStr">
        <is>
          <t>0                      QZ 0200000L  699c        1987</t>
        </is>
      </c>
      <c r="D250" t="inlineStr">
        <is>
          <t>Communication in cancer care / Ivan Lichter ; [foreword by Dame Cicely Saunders].</t>
        </is>
      </c>
      <c r="F250" t="inlineStr">
        <is>
          <t>No</t>
        </is>
      </c>
      <c r="G250" t="inlineStr">
        <is>
          <t>1</t>
        </is>
      </c>
      <c r="H250" t="inlineStr">
        <is>
          <t>No</t>
        </is>
      </c>
      <c r="I250" t="inlineStr">
        <is>
          <t>No</t>
        </is>
      </c>
      <c r="J250" t="inlineStr">
        <is>
          <t>0</t>
        </is>
      </c>
      <c r="K250" t="inlineStr">
        <is>
          <t>Lichter, Ivan.</t>
        </is>
      </c>
      <c r="L250" t="inlineStr">
        <is>
          <t>Edinburgh ; New York : Churchill Livingstone, c1987.</t>
        </is>
      </c>
      <c r="M250" t="inlineStr">
        <is>
          <t>1987</t>
        </is>
      </c>
      <c r="O250" t="inlineStr">
        <is>
          <t>eng</t>
        </is>
      </c>
      <c r="P250" t="inlineStr">
        <is>
          <t>stk</t>
        </is>
      </c>
      <c r="R250" t="inlineStr">
        <is>
          <t xml:space="preserve">QZ </t>
        </is>
      </c>
      <c r="S250" t="n">
        <v>2</v>
      </c>
      <c r="T250" t="n">
        <v>2</v>
      </c>
      <c r="U250" t="inlineStr">
        <is>
          <t>1992-04-16</t>
        </is>
      </c>
      <c r="V250" t="inlineStr">
        <is>
          <t>1992-04-16</t>
        </is>
      </c>
      <c r="W250" t="inlineStr">
        <is>
          <t>1989-07-16</t>
        </is>
      </c>
      <c r="X250" t="inlineStr">
        <is>
          <t>1989-07-16</t>
        </is>
      </c>
      <c r="Y250" t="n">
        <v>122</v>
      </c>
      <c r="Z250" t="n">
        <v>69</v>
      </c>
      <c r="AA250" t="n">
        <v>71</v>
      </c>
      <c r="AB250" t="n">
        <v>1</v>
      </c>
      <c r="AC250" t="n">
        <v>1</v>
      </c>
      <c r="AD250" t="n">
        <v>2</v>
      </c>
      <c r="AE250" t="n">
        <v>2</v>
      </c>
      <c r="AF250" t="n">
        <v>1</v>
      </c>
      <c r="AG250" t="n">
        <v>1</v>
      </c>
      <c r="AH250" t="n">
        <v>0</v>
      </c>
      <c r="AI250" t="n">
        <v>0</v>
      </c>
      <c r="AJ250" t="n">
        <v>2</v>
      </c>
      <c r="AK250" t="n">
        <v>2</v>
      </c>
      <c r="AL250" t="n">
        <v>0</v>
      </c>
      <c r="AM250" t="n">
        <v>0</v>
      </c>
      <c r="AN250" t="n">
        <v>0</v>
      </c>
      <c r="AO250" t="n">
        <v>0</v>
      </c>
      <c r="AP250" t="inlineStr">
        <is>
          <t>No</t>
        </is>
      </c>
      <c r="AQ250" t="inlineStr">
        <is>
          <t>Yes</t>
        </is>
      </c>
      <c r="AR250">
        <f>HYPERLINK("http://catalog.hathitrust.org/Record/000839882","HathiTrust Record")</f>
        <v/>
      </c>
      <c r="AS250">
        <f>HYPERLINK("https://creighton-primo.hosted.exlibrisgroup.com/primo-explore/search?tab=default_tab&amp;search_scope=EVERYTHING&amp;vid=01CRU&amp;lang=en_US&amp;offset=0&amp;query=any,contains,991001535529702656","Catalog Record")</f>
        <v/>
      </c>
      <c r="AT250">
        <f>HYPERLINK("http://www.worldcat.org/oclc/14069156","WorldCat Record")</f>
        <v/>
      </c>
      <c r="AU250" t="inlineStr">
        <is>
          <t>7254308:eng</t>
        </is>
      </c>
      <c r="AV250" t="inlineStr">
        <is>
          <t>14069156</t>
        </is>
      </c>
      <c r="AW250" t="inlineStr">
        <is>
          <t>991001535529702656</t>
        </is>
      </c>
      <c r="AX250" t="inlineStr">
        <is>
          <t>991001535529702656</t>
        </is>
      </c>
      <c r="AY250" t="inlineStr">
        <is>
          <t>2255523920002656</t>
        </is>
      </c>
      <c r="AZ250" t="inlineStr">
        <is>
          <t>BOOK</t>
        </is>
      </c>
      <c r="BB250" t="inlineStr">
        <is>
          <t>9780443036989</t>
        </is>
      </c>
      <c r="BC250" t="inlineStr">
        <is>
          <t>30001000622763</t>
        </is>
      </c>
      <c r="BD250" t="inlineStr">
        <is>
          <t>893377321</t>
        </is>
      </c>
    </row>
    <row r="251">
      <c r="A251" t="inlineStr">
        <is>
          <t>No</t>
        </is>
      </c>
      <c r="B251" t="inlineStr">
        <is>
          <t>QZ 200 M2495 1981</t>
        </is>
      </c>
      <c r="C251" t="inlineStr">
        <is>
          <t>0                      QZ 0200000M  2495        1981</t>
        </is>
      </c>
      <c r="D251" t="inlineStr">
        <is>
          <t>Malignant melanoma / Irving Ariel, editor.</t>
        </is>
      </c>
      <c r="F251" t="inlineStr">
        <is>
          <t>No</t>
        </is>
      </c>
      <c r="G251" t="inlineStr">
        <is>
          <t>1</t>
        </is>
      </c>
      <c r="H251" t="inlineStr">
        <is>
          <t>No</t>
        </is>
      </c>
      <c r="I251" t="inlineStr">
        <is>
          <t>No</t>
        </is>
      </c>
      <c r="J251" t="inlineStr">
        <is>
          <t>0</t>
        </is>
      </c>
      <c r="L251" t="inlineStr">
        <is>
          <t>New York : Appleton-Century-Crofts, c1981.</t>
        </is>
      </c>
      <c r="M251" t="inlineStr">
        <is>
          <t>1981</t>
        </is>
      </c>
      <c r="O251" t="inlineStr">
        <is>
          <t>eng</t>
        </is>
      </c>
      <c r="P251" t="inlineStr">
        <is>
          <t>nyu</t>
        </is>
      </c>
      <c r="R251" t="inlineStr">
        <is>
          <t xml:space="preserve">QZ </t>
        </is>
      </c>
      <c r="S251" t="n">
        <v>9</v>
      </c>
      <c r="T251" t="n">
        <v>9</v>
      </c>
      <c r="U251" t="inlineStr">
        <is>
          <t>1995-03-11</t>
        </is>
      </c>
      <c r="V251" t="inlineStr">
        <is>
          <t>1995-03-11</t>
        </is>
      </c>
      <c r="W251" t="inlineStr">
        <is>
          <t>1988-02-19</t>
        </is>
      </c>
      <c r="X251" t="inlineStr">
        <is>
          <t>1988-02-19</t>
        </is>
      </c>
      <c r="Y251" t="n">
        <v>148</v>
      </c>
      <c r="Z251" t="n">
        <v>97</v>
      </c>
      <c r="AA251" t="n">
        <v>99</v>
      </c>
      <c r="AB251" t="n">
        <v>1</v>
      </c>
      <c r="AC251" t="n">
        <v>1</v>
      </c>
      <c r="AD251" t="n">
        <v>0</v>
      </c>
      <c r="AE251" t="n">
        <v>0</v>
      </c>
      <c r="AF251" t="n">
        <v>0</v>
      </c>
      <c r="AG251" t="n">
        <v>0</v>
      </c>
      <c r="AH251" t="n">
        <v>0</v>
      </c>
      <c r="AI251" t="n">
        <v>0</v>
      </c>
      <c r="AJ251" t="n">
        <v>0</v>
      </c>
      <c r="AK251" t="n">
        <v>0</v>
      </c>
      <c r="AL251" t="n">
        <v>0</v>
      </c>
      <c r="AM251" t="n">
        <v>0</v>
      </c>
      <c r="AN251" t="n">
        <v>0</v>
      </c>
      <c r="AO251" t="n">
        <v>0</v>
      </c>
      <c r="AP251" t="inlineStr">
        <is>
          <t>No</t>
        </is>
      </c>
      <c r="AQ251" t="inlineStr">
        <is>
          <t>Yes</t>
        </is>
      </c>
      <c r="AR251">
        <f>HYPERLINK("http://catalog.hathitrust.org/Record/000224919","HathiTrust Record")</f>
        <v/>
      </c>
      <c r="AS251">
        <f>HYPERLINK("https://creighton-primo.hosted.exlibrisgroup.com/primo-explore/search?tab=default_tab&amp;search_scope=EVERYTHING&amp;vid=01CRU&amp;lang=en_US&amp;offset=0&amp;query=any,contains,991001091199702656","Catalog Record")</f>
        <v/>
      </c>
      <c r="AT251">
        <f>HYPERLINK("http://www.worldcat.org/oclc/7205010","WorldCat Record")</f>
        <v/>
      </c>
      <c r="AU251" t="inlineStr">
        <is>
          <t>54427052:eng</t>
        </is>
      </c>
      <c r="AV251" t="inlineStr">
        <is>
          <t>7205010</t>
        </is>
      </c>
      <c r="AW251" t="inlineStr">
        <is>
          <t>991001091199702656</t>
        </is>
      </c>
      <c r="AX251" t="inlineStr">
        <is>
          <t>991001091199702656</t>
        </is>
      </c>
      <c r="AY251" t="inlineStr">
        <is>
          <t>2264418770002656</t>
        </is>
      </c>
      <c r="AZ251" t="inlineStr">
        <is>
          <t>BOOK</t>
        </is>
      </c>
      <c r="BB251" t="inlineStr">
        <is>
          <t>9780838561140</t>
        </is>
      </c>
      <c r="BC251" t="inlineStr">
        <is>
          <t>30001000262875</t>
        </is>
      </c>
      <c r="BD251" t="inlineStr">
        <is>
          <t>893374246</t>
        </is>
      </c>
    </row>
    <row r="252">
      <c r="A252" t="inlineStr">
        <is>
          <t>No</t>
        </is>
      </c>
      <c r="B252" t="inlineStr">
        <is>
          <t>QZ 200 M25082 1988</t>
        </is>
      </c>
      <c r="C252" t="inlineStr">
        <is>
          <t>0                      QZ 0200000M  25082       1988</t>
        </is>
      </c>
      <c r="D252" t="inlineStr">
        <is>
          <t>Malignant melanoma : biology, diagnosis, and therapy / edited by Larry Nathanson.</t>
        </is>
      </c>
      <c r="F252" t="inlineStr">
        <is>
          <t>No</t>
        </is>
      </c>
      <c r="G252" t="inlineStr">
        <is>
          <t>1</t>
        </is>
      </c>
      <c r="H252" t="inlineStr">
        <is>
          <t>No</t>
        </is>
      </c>
      <c r="I252" t="inlineStr">
        <is>
          <t>No</t>
        </is>
      </c>
      <c r="J252" t="inlineStr">
        <is>
          <t>0</t>
        </is>
      </c>
      <c r="L252" t="inlineStr">
        <is>
          <t>Boston : Kluwer Academic Publishers, c1988.</t>
        </is>
      </c>
      <c r="M252" t="inlineStr">
        <is>
          <t>1988</t>
        </is>
      </c>
      <c r="O252" t="inlineStr">
        <is>
          <t>eng</t>
        </is>
      </c>
      <c r="P252" t="inlineStr">
        <is>
          <t>xxu</t>
        </is>
      </c>
      <c r="Q252" t="inlineStr">
        <is>
          <t>Cancer treatment and research ; CTAR43</t>
        </is>
      </c>
      <c r="R252" t="inlineStr">
        <is>
          <t xml:space="preserve">QZ </t>
        </is>
      </c>
      <c r="S252" t="n">
        <v>10</v>
      </c>
      <c r="T252" t="n">
        <v>10</v>
      </c>
      <c r="U252" t="inlineStr">
        <is>
          <t>1995-03-11</t>
        </is>
      </c>
      <c r="V252" t="inlineStr">
        <is>
          <t>1995-03-11</t>
        </is>
      </c>
      <c r="W252" t="inlineStr">
        <is>
          <t>1989-07-07</t>
        </is>
      </c>
      <c r="X252" t="inlineStr">
        <is>
          <t>1989-07-07</t>
        </is>
      </c>
      <c r="Y252" t="n">
        <v>111</v>
      </c>
      <c r="Z252" t="n">
        <v>79</v>
      </c>
      <c r="AA252" t="n">
        <v>84</v>
      </c>
      <c r="AB252" t="n">
        <v>1</v>
      </c>
      <c r="AC252" t="n">
        <v>1</v>
      </c>
      <c r="AD252" t="n">
        <v>0</v>
      </c>
      <c r="AE252" t="n">
        <v>0</v>
      </c>
      <c r="AF252" t="n">
        <v>0</v>
      </c>
      <c r="AG252" t="n">
        <v>0</v>
      </c>
      <c r="AH252" t="n">
        <v>0</v>
      </c>
      <c r="AI252" t="n">
        <v>0</v>
      </c>
      <c r="AJ252" t="n">
        <v>0</v>
      </c>
      <c r="AK252" t="n">
        <v>0</v>
      </c>
      <c r="AL252" t="n">
        <v>0</v>
      </c>
      <c r="AM252" t="n">
        <v>0</v>
      </c>
      <c r="AN252" t="n">
        <v>0</v>
      </c>
      <c r="AO252" t="n">
        <v>0</v>
      </c>
      <c r="AP252" t="inlineStr">
        <is>
          <t>No</t>
        </is>
      </c>
      <c r="AQ252" t="inlineStr">
        <is>
          <t>Yes</t>
        </is>
      </c>
      <c r="AR252">
        <f>HYPERLINK("http://catalog.hathitrust.org/Record/001535065","HathiTrust Record")</f>
        <v/>
      </c>
      <c r="AS252">
        <f>HYPERLINK("https://creighton-primo.hosted.exlibrisgroup.com/primo-explore/search?tab=default_tab&amp;search_scope=EVERYTHING&amp;vid=01CRU&amp;lang=en_US&amp;offset=0&amp;query=any,contains,991001310499702656","Catalog Record")</f>
        <v/>
      </c>
      <c r="AT252">
        <f>HYPERLINK("http://www.worldcat.org/oclc/17953757","WorldCat Record")</f>
        <v/>
      </c>
      <c r="AU252" t="inlineStr">
        <is>
          <t>16322321:eng</t>
        </is>
      </c>
      <c r="AV252" t="inlineStr">
        <is>
          <t>17953757</t>
        </is>
      </c>
      <c r="AW252" t="inlineStr">
        <is>
          <t>991001310499702656</t>
        </is>
      </c>
      <c r="AX252" t="inlineStr">
        <is>
          <t>991001310499702656</t>
        </is>
      </c>
      <c r="AY252" t="inlineStr">
        <is>
          <t>2262983280002656</t>
        </is>
      </c>
      <c r="AZ252" t="inlineStr">
        <is>
          <t>BOOK</t>
        </is>
      </c>
      <c r="BB252" t="inlineStr">
        <is>
          <t>9780898383843</t>
        </is>
      </c>
      <c r="BC252" t="inlineStr">
        <is>
          <t>30001001750704</t>
        </is>
      </c>
      <c r="BD252" t="inlineStr">
        <is>
          <t>893826645</t>
        </is>
      </c>
    </row>
    <row r="253">
      <c r="A253" t="inlineStr">
        <is>
          <t>No</t>
        </is>
      </c>
      <c r="B253" t="inlineStr">
        <is>
          <t>QZ 200 M294 1988</t>
        </is>
      </c>
      <c r="C253" t="inlineStr">
        <is>
          <t>0                      QZ 0200000M  294         1988</t>
        </is>
      </c>
      <c r="D253" t="inlineStr">
        <is>
          <t>Manual of clinical oncology / edited by Dennis Albert Casciato, Barry Bennett Lowitz.</t>
        </is>
      </c>
      <c r="F253" t="inlineStr">
        <is>
          <t>No</t>
        </is>
      </c>
      <c r="G253" t="inlineStr">
        <is>
          <t>1</t>
        </is>
      </c>
      <c r="H253" t="inlineStr">
        <is>
          <t>No</t>
        </is>
      </c>
      <c r="I253" t="inlineStr">
        <is>
          <t>Yes</t>
        </is>
      </c>
      <c r="J253" t="inlineStr">
        <is>
          <t>1</t>
        </is>
      </c>
      <c r="L253" t="inlineStr">
        <is>
          <t>Boston : Little, Brown, c1988.</t>
        </is>
      </c>
      <c r="M253" t="inlineStr">
        <is>
          <t>1988</t>
        </is>
      </c>
      <c r="N253" t="inlineStr">
        <is>
          <t>2nd ed.</t>
        </is>
      </c>
      <c r="O253" t="inlineStr">
        <is>
          <t>eng</t>
        </is>
      </c>
      <c r="P253" t="inlineStr">
        <is>
          <t>mau</t>
        </is>
      </c>
      <c r="R253" t="inlineStr">
        <is>
          <t xml:space="preserve">QZ </t>
        </is>
      </c>
      <c r="S253" t="n">
        <v>20</v>
      </c>
      <c r="T253" t="n">
        <v>20</v>
      </c>
      <c r="U253" t="inlineStr">
        <is>
          <t>1998-03-24</t>
        </is>
      </c>
      <c r="V253" t="inlineStr">
        <is>
          <t>1998-03-24</t>
        </is>
      </c>
      <c r="W253" t="inlineStr">
        <is>
          <t>1989-04-08</t>
        </is>
      </c>
      <c r="X253" t="inlineStr">
        <is>
          <t>1989-04-08</t>
        </is>
      </c>
      <c r="Y253" t="n">
        <v>108</v>
      </c>
      <c r="Z253" t="n">
        <v>72</v>
      </c>
      <c r="AA253" t="n">
        <v>767</v>
      </c>
      <c r="AB253" t="n">
        <v>1</v>
      </c>
      <c r="AC253" t="n">
        <v>13</v>
      </c>
      <c r="AD253" t="n">
        <v>1</v>
      </c>
      <c r="AE253" t="n">
        <v>30</v>
      </c>
      <c r="AF253" t="n">
        <v>0</v>
      </c>
      <c r="AG253" t="n">
        <v>7</v>
      </c>
      <c r="AH253" t="n">
        <v>0</v>
      </c>
      <c r="AI253" t="n">
        <v>6</v>
      </c>
      <c r="AJ253" t="n">
        <v>1</v>
      </c>
      <c r="AK253" t="n">
        <v>9</v>
      </c>
      <c r="AL253" t="n">
        <v>0</v>
      </c>
      <c r="AM253" t="n">
        <v>11</v>
      </c>
      <c r="AN253" t="n">
        <v>0</v>
      </c>
      <c r="AO253" t="n">
        <v>1</v>
      </c>
      <c r="AP253" t="inlineStr">
        <is>
          <t>No</t>
        </is>
      </c>
      <c r="AQ253" t="inlineStr">
        <is>
          <t>No</t>
        </is>
      </c>
      <c r="AS253">
        <f>HYPERLINK("https://creighton-primo.hosted.exlibrisgroup.com/primo-explore/search?tab=default_tab&amp;search_scope=EVERYTHING&amp;vid=01CRU&amp;lang=en_US&amp;offset=0&amp;query=any,contains,991001245089702656","Catalog Record")</f>
        <v/>
      </c>
      <c r="AT253">
        <f>HYPERLINK("http://www.worldcat.org/oclc/19633029","WorldCat Record")</f>
        <v/>
      </c>
      <c r="AU253" t="inlineStr">
        <is>
          <t>768274558:eng</t>
        </is>
      </c>
      <c r="AV253" t="inlineStr">
        <is>
          <t>19633029</t>
        </is>
      </c>
      <c r="AW253" t="inlineStr">
        <is>
          <t>991001245089702656</t>
        </is>
      </c>
      <c r="AX253" t="inlineStr">
        <is>
          <t>991001245089702656</t>
        </is>
      </c>
      <c r="AY253" t="inlineStr">
        <is>
          <t>2271961890002656</t>
        </is>
      </c>
      <c r="AZ253" t="inlineStr">
        <is>
          <t>BOOK</t>
        </is>
      </c>
      <c r="BB253" t="inlineStr">
        <is>
          <t>9780316130677</t>
        </is>
      </c>
      <c r="BC253" t="inlineStr">
        <is>
          <t>30001001676883</t>
        </is>
      </c>
      <c r="BD253" t="inlineStr">
        <is>
          <t>893552271</t>
        </is>
      </c>
    </row>
    <row r="254">
      <c r="A254" t="inlineStr">
        <is>
          <t>No</t>
        </is>
      </c>
      <c r="B254" t="inlineStr">
        <is>
          <t>QZ 200 M71831 1985</t>
        </is>
      </c>
      <c r="C254" t="inlineStr">
        <is>
          <t>0                      QZ 0200000M  71831       1985</t>
        </is>
      </c>
      <c r="D254" t="inlineStr">
        <is>
          <t>The Molecular basis of cancer / edited by Peter B. Farmer and John M. Walker.</t>
        </is>
      </c>
      <c r="F254" t="inlineStr">
        <is>
          <t>No</t>
        </is>
      </c>
      <c r="G254" t="inlineStr">
        <is>
          <t>1</t>
        </is>
      </c>
      <c r="H254" t="inlineStr">
        <is>
          <t>No</t>
        </is>
      </c>
      <c r="I254" t="inlineStr">
        <is>
          <t>No</t>
        </is>
      </c>
      <c r="J254" t="inlineStr">
        <is>
          <t>0</t>
        </is>
      </c>
      <c r="L254" t="inlineStr">
        <is>
          <t>New York : Wiley, c1985.</t>
        </is>
      </c>
      <c r="M254" t="inlineStr">
        <is>
          <t>1985</t>
        </is>
      </c>
      <c r="O254" t="inlineStr">
        <is>
          <t>eng</t>
        </is>
      </c>
      <c r="P254" t="inlineStr">
        <is>
          <t>nyu</t>
        </is>
      </c>
      <c r="R254" t="inlineStr">
        <is>
          <t xml:space="preserve">QZ </t>
        </is>
      </c>
      <c r="S254" t="n">
        <v>3</v>
      </c>
      <c r="T254" t="n">
        <v>3</v>
      </c>
      <c r="U254" t="inlineStr">
        <is>
          <t>2005-07-22</t>
        </is>
      </c>
      <c r="V254" t="inlineStr">
        <is>
          <t>2005-07-22</t>
        </is>
      </c>
      <c r="W254" t="inlineStr">
        <is>
          <t>1988-02-19</t>
        </is>
      </c>
      <c r="X254" t="inlineStr">
        <is>
          <t>1988-02-19</t>
        </is>
      </c>
      <c r="Y254" t="n">
        <v>334</v>
      </c>
      <c r="Z254" t="n">
        <v>317</v>
      </c>
      <c r="AA254" t="n">
        <v>354</v>
      </c>
      <c r="AB254" t="n">
        <v>2</v>
      </c>
      <c r="AC254" t="n">
        <v>2</v>
      </c>
      <c r="AD254" t="n">
        <v>14</v>
      </c>
      <c r="AE254" t="n">
        <v>15</v>
      </c>
      <c r="AF254" t="n">
        <v>4</v>
      </c>
      <c r="AG254" t="n">
        <v>4</v>
      </c>
      <c r="AH254" t="n">
        <v>5</v>
      </c>
      <c r="AI254" t="n">
        <v>5</v>
      </c>
      <c r="AJ254" t="n">
        <v>9</v>
      </c>
      <c r="AK254" t="n">
        <v>10</v>
      </c>
      <c r="AL254" t="n">
        <v>1</v>
      </c>
      <c r="AM254" t="n">
        <v>1</v>
      </c>
      <c r="AN254" t="n">
        <v>0</v>
      </c>
      <c r="AO254" t="n">
        <v>0</v>
      </c>
      <c r="AP254" t="inlineStr">
        <is>
          <t>No</t>
        </is>
      </c>
      <c r="AQ254" t="inlineStr">
        <is>
          <t>Yes</t>
        </is>
      </c>
      <c r="AR254">
        <f>HYPERLINK("http://catalog.hathitrust.org/Record/000574399","HathiTrust Record")</f>
        <v/>
      </c>
      <c r="AS254">
        <f>HYPERLINK("https://creighton-primo.hosted.exlibrisgroup.com/primo-explore/search?tab=default_tab&amp;search_scope=EVERYTHING&amp;vid=01CRU&amp;lang=en_US&amp;offset=0&amp;query=any,contains,991001091239702656","Catalog Record")</f>
        <v/>
      </c>
      <c r="AT254">
        <f>HYPERLINK("http://www.worldcat.org/oclc/11574772","WorldCat Record")</f>
        <v/>
      </c>
      <c r="AU254" t="inlineStr">
        <is>
          <t>355912353:eng</t>
        </is>
      </c>
      <c r="AV254" t="inlineStr">
        <is>
          <t>11574772</t>
        </is>
      </c>
      <c r="AW254" t="inlineStr">
        <is>
          <t>991001091239702656</t>
        </is>
      </c>
      <c r="AX254" t="inlineStr">
        <is>
          <t>991001091239702656</t>
        </is>
      </c>
      <c r="AY254" t="inlineStr">
        <is>
          <t>2265129410002656</t>
        </is>
      </c>
      <c r="AZ254" t="inlineStr">
        <is>
          <t>BOOK</t>
        </is>
      </c>
      <c r="BB254" t="inlineStr">
        <is>
          <t>9780471827559</t>
        </is>
      </c>
      <c r="BC254" t="inlineStr">
        <is>
          <t>30001000262891</t>
        </is>
      </c>
      <c r="BD254" t="inlineStr">
        <is>
          <t>893273656</t>
        </is>
      </c>
    </row>
    <row r="255">
      <c r="A255" t="inlineStr">
        <is>
          <t>No</t>
        </is>
      </c>
      <c r="B255" t="inlineStr">
        <is>
          <t>QZ 200 M718331 1998</t>
        </is>
      </c>
      <c r="C255" t="inlineStr">
        <is>
          <t>0                      QZ 0200000M  718331      1998</t>
        </is>
      </c>
      <c r="D255" t="inlineStr">
        <is>
          <t>Molecular diagnosis and treatment of melanoma / edited by John M. Kirkwood.</t>
        </is>
      </c>
      <c r="F255" t="inlineStr">
        <is>
          <t>No</t>
        </is>
      </c>
      <c r="G255" t="inlineStr">
        <is>
          <t>1</t>
        </is>
      </c>
      <c r="H255" t="inlineStr">
        <is>
          <t>No</t>
        </is>
      </c>
      <c r="I255" t="inlineStr">
        <is>
          <t>No</t>
        </is>
      </c>
      <c r="J255" t="inlineStr">
        <is>
          <t>0</t>
        </is>
      </c>
      <c r="L255" t="inlineStr">
        <is>
          <t>New York : M. Dekker, c1998.</t>
        </is>
      </c>
      <c r="M255" t="inlineStr">
        <is>
          <t>1998</t>
        </is>
      </c>
      <c r="O255" t="inlineStr">
        <is>
          <t>eng</t>
        </is>
      </c>
      <c r="P255" t="inlineStr">
        <is>
          <t>nyu</t>
        </is>
      </c>
      <c r="R255" t="inlineStr">
        <is>
          <t xml:space="preserve">QZ </t>
        </is>
      </c>
      <c r="S255" t="n">
        <v>3</v>
      </c>
      <c r="T255" t="n">
        <v>3</v>
      </c>
      <c r="U255" t="inlineStr">
        <is>
          <t>2002-04-18</t>
        </is>
      </c>
      <c r="V255" t="inlineStr">
        <is>
          <t>2002-04-18</t>
        </is>
      </c>
      <c r="W255" t="inlineStr">
        <is>
          <t>2000-03-03</t>
        </is>
      </c>
      <c r="X255" t="inlineStr">
        <is>
          <t>2000-03-03</t>
        </is>
      </c>
      <c r="Y255" t="n">
        <v>85</v>
      </c>
      <c r="Z255" t="n">
        <v>66</v>
      </c>
      <c r="AA255" t="n">
        <v>763</v>
      </c>
      <c r="AB255" t="n">
        <v>1</v>
      </c>
      <c r="AC255" t="n">
        <v>2</v>
      </c>
      <c r="AD255" t="n">
        <v>4</v>
      </c>
      <c r="AE255" t="n">
        <v>14</v>
      </c>
      <c r="AF255" t="n">
        <v>2</v>
      </c>
      <c r="AG255" t="n">
        <v>9</v>
      </c>
      <c r="AH255" t="n">
        <v>0</v>
      </c>
      <c r="AI255" t="n">
        <v>2</v>
      </c>
      <c r="AJ255" t="n">
        <v>3</v>
      </c>
      <c r="AK255" t="n">
        <v>5</v>
      </c>
      <c r="AL255" t="n">
        <v>0</v>
      </c>
      <c r="AM255" t="n">
        <v>1</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HYPERLINK("https://creighton-primo.hosted.exlibrisgroup.com/primo-explore/search?tab=default_tab&amp;search_scope=EVERYTHING&amp;vid=01CRU&amp;lang=en_US&amp;offset=0&amp;query=any,contains,991001440809702656","Catalog Record")</f>
        <v/>
      </c>
      <c r="AT255">
        <f>HYPERLINK("http://www.worldcat.org/oclc/38249921","WorldCat Record")</f>
        <v/>
      </c>
      <c r="AU255" t="inlineStr">
        <is>
          <t>56247777:eng</t>
        </is>
      </c>
      <c r="AV255" t="inlineStr">
        <is>
          <t>38249921</t>
        </is>
      </c>
      <c r="AW255" t="inlineStr">
        <is>
          <t>991001440809702656</t>
        </is>
      </c>
      <c r="AX255" t="inlineStr">
        <is>
          <t>991001440809702656</t>
        </is>
      </c>
      <c r="AY255" t="inlineStr">
        <is>
          <t>2272168790002656</t>
        </is>
      </c>
      <c r="AZ255" t="inlineStr">
        <is>
          <t>BOOK</t>
        </is>
      </c>
      <c r="BB255" t="inlineStr">
        <is>
          <t>9780824701024</t>
        </is>
      </c>
      <c r="BC255" t="inlineStr">
        <is>
          <t>30001003882091</t>
        </is>
      </c>
      <c r="BD255" t="inlineStr">
        <is>
          <t>893821217</t>
        </is>
      </c>
    </row>
    <row r="256">
      <c r="A256" t="inlineStr">
        <is>
          <t>No</t>
        </is>
      </c>
      <c r="B256" t="inlineStr">
        <is>
          <t>QZ200 M718345 2001</t>
        </is>
      </c>
      <c r="C256" t="inlineStr">
        <is>
          <t>0                      QZ 0200000M  718345      2001</t>
        </is>
      </c>
      <c r="D256" t="inlineStr">
        <is>
          <t>Molecular genetics of cancer / [edited by] J.K. Cowell.</t>
        </is>
      </c>
      <c r="F256" t="inlineStr">
        <is>
          <t>No</t>
        </is>
      </c>
      <c r="G256" t="inlineStr">
        <is>
          <t>1</t>
        </is>
      </c>
      <c r="H256" t="inlineStr">
        <is>
          <t>No</t>
        </is>
      </c>
      <c r="I256" t="inlineStr">
        <is>
          <t>No</t>
        </is>
      </c>
      <c r="J256" t="inlineStr">
        <is>
          <t>0</t>
        </is>
      </c>
      <c r="L256" t="inlineStr">
        <is>
          <t>Oxford : Bios ; San Diego, CA : Distributed by Academic Press, 2001.</t>
        </is>
      </c>
      <c r="M256" t="inlineStr">
        <is>
          <t>2001</t>
        </is>
      </c>
      <c r="N256" t="inlineStr">
        <is>
          <t>2nd ed.</t>
        </is>
      </c>
      <c r="O256" t="inlineStr">
        <is>
          <t>eng</t>
        </is>
      </c>
      <c r="P256" t="inlineStr">
        <is>
          <t>enk</t>
        </is>
      </c>
      <c r="Q256" t="inlineStr">
        <is>
          <t>The human molecular genetics series</t>
        </is>
      </c>
      <c r="R256" t="inlineStr">
        <is>
          <t xml:space="preserve">QZ </t>
        </is>
      </c>
      <c r="S256" t="n">
        <v>10</v>
      </c>
      <c r="T256" t="n">
        <v>10</v>
      </c>
      <c r="U256" t="inlineStr">
        <is>
          <t>2007-09-17</t>
        </is>
      </c>
      <c r="V256" t="inlineStr">
        <is>
          <t>2007-09-17</t>
        </is>
      </c>
      <c r="W256" t="inlineStr">
        <is>
          <t>2003-04-04</t>
        </is>
      </c>
      <c r="X256" t="inlineStr">
        <is>
          <t>2003-04-04</t>
        </is>
      </c>
      <c r="Y256" t="n">
        <v>199</v>
      </c>
      <c r="Z256" t="n">
        <v>138</v>
      </c>
      <c r="AA256" t="n">
        <v>197</v>
      </c>
      <c r="AB256" t="n">
        <v>1</v>
      </c>
      <c r="AC256" t="n">
        <v>1</v>
      </c>
      <c r="AD256" t="n">
        <v>7</v>
      </c>
      <c r="AE256" t="n">
        <v>7</v>
      </c>
      <c r="AF256" t="n">
        <v>2</v>
      </c>
      <c r="AG256" t="n">
        <v>2</v>
      </c>
      <c r="AH256" t="n">
        <v>2</v>
      </c>
      <c r="AI256" t="n">
        <v>2</v>
      </c>
      <c r="AJ256" t="n">
        <v>3</v>
      </c>
      <c r="AK256" t="n">
        <v>3</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HYPERLINK("https://creighton-primo.hosted.exlibrisgroup.com/primo-explore/search?tab=default_tab&amp;search_scope=EVERYTHING&amp;vid=01CRU&amp;lang=en_US&amp;offset=0&amp;query=any,contains,991000343589702656","Catalog Record")</f>
        <v/>
      </c>
      <c r="AT256">
        <f>HYPERLINK("http://www.worldcat.org/oclc/46985216","WorldCat Record")</f>
        <v/>
      </c>
      <c r="AU256" t="inlineStr">
        <is>
          <t>766796374:eng</t>
        </is>
      </c>
      <c r="AV256" t="inlineStr">
        <is>
          <t>46985216</t>
        </is>
      </c>
      <c r="AW256" t="inlineStr">
        <is>
          <t>991000343589702656</t>
        </is>
      </c>
      <c r="AX256" t="inlineStr">
        <is>
          <t>991000343589702656</t>
        </is>
      </c>
      <c r="AY256" t="inlineStr">
        <is>
          <t>2258753970002656</t>
        </is>
      </c>
      <c r="AZ256" t="inlineStr">
        <is>
          <t>BOOK</t>
        </is>
      </c>
      <c r="BB256" t="inlineStr">
        <is>
          <t>9780121501006</t>
        </is>
      </c>
      <c r="BC256" t="inlineStr">
        <is>
          <t>30001004504058</t>
        </is>
      </c>
      <c r="BD256" t="inlineStr">
        <is>
          <t>893279939</t>
        </is>
      </c>
    </row>
    <row r="257">
      <c r="A257" t="inlineStr">
        <is>
          <t>No</t>
        </is>
      </c>
      <c r="B257" t="inlineStr">
        <is>
          <t>QZ 200 M8176b 1992</t>
        </is>
      </c>
      <c r="C257" t="inlineStr">
        <is>
          <t>0                      QZ 0200000M  8176b       1992</t>
        </is>
      </c>
      <c r="D257" t="inlineStr">
        <is>
          <t>Biopsy pathology of melanocytic disorders / W.J. Mooi and T. Krausz ; with a foreword by J.G. Azzopardi.</t>
        </is>
      </c>
      <c r="F257" t="inlineStr">
        <is>
          <t>No</t>
        </is>
      </c>
      <c r="G257" t="inlineStr">
        <is>
          <t>1</t>
        </is>
      </c>
      <c r="H257" t="inlineStr">
        <is>
          <t>No</t>
        </is>
      </c>
      <c r="I257" t="inlineStr">
        <is>
          <t>No</t>
        </is>
      </c>
      <c r="J257" t="inlineStr">
        <is>
          <t>0</t>
        </is>
      </c>
      <c r="K257" t="inlineStr">
        <is>
          <t>Mooi, W. J.</t>
        </is>
      </c>
      <c r="L257" t="inlineStr">
        <is>
          <t>London ; New York : Chapman &amp; Hall Medical, c1992.</t>
        </is>
      </c>
      <c r="M257" t="inlineStr">
        <is>
          <t>1992</t>
        </is>
      </c>
      <c r="N257" t="inlineStr">
        <is>
          <t>1st ed.</t>
        </is>
      </c>
      <c r="O257" t="inlineStr">
        <is>
          <t>eng</t>
        </is>
      </c>
      <c r="P257" t="inlineStr">
        <is>
          <t>enk</t>
        </is>
      </c>
      <c r="Q257" t="inlineStr">
        <is>
          <t>Biopsy pathology series</t>
        </is>
      </c>
      <c r="R257" t="inlineStr">
        <is>
          <t xml:space="preserve">QZ </t>
        </is>
      </c>
      <c r="S257" t="n">
        <v>2</v>
      </c>
      <c r="T257" t="n">
        <v>2</v>
      </c>
      <c r="U257" t="inlineStr">
        <is>
          <t>1994-09-07</t>
        </is>
      </c>
      <c r="V257" t="inlineStr">
        <is>
          <t>1994-09-07</t>
        </is>
      </c>
      <c r="W257" t="inlineStr">
        <is>
          <t>1994-09-02</t>
        </is>
      </c>
      <c r="X257" t="inlineStr">
        <is>
          <t>1994-09-02</t>
        </is>
      </c>
      <c r="Y257" t="n">
        <v>71</v>
      </c>
      <c r="Z257" t="n">
        <v>31</v>
      </c>
      <c r="AA257" t="n">
        <v>54</v>
      </c>
      <c r="AB257" t="n">
        <v>1</v>
      </c>
      <c r="AC257" t="n">
        <v>1</v>
      </c>
      <c r="AD257" t="n">
        <v>0</v>
      </c>
      <c r="AE257" t="n">
        <v>0</v>
      </c>
      <c r="AF257" t="n">
        <v>0</v>
      </c>
      <c r="AG257" t="n">
        <v>0</v>
      </c>
      <c r="AH257" t="n">
        <v>0</v>
      </c>
      <c r="AI257" t="n">
        <v>0</v>
      </c>
      <c r="AJ257" t="n">
        <v>0</v>
      </c>
      <c r="AK257" t="n">
        <v>0</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HYPERLINK("https://creighton-primo.hosted.exlibrisgroup.com/primo-explore/search?tab=default_tab&amp;search_scope=EVERYTHING&amp;vid=01CRU&amp;lang=en_US&amp;offset=0&amp;query=any,contains,991000672709702656","Catalog Record")</f>
        <v/>
      </c>
      <c r="AT257">
        <f>HYPERLINK("http://www.worldcat.org/oclc/25095260","WorldCat Record")</f>
        <v/>
      </c>
      <c r="AU257" t="inlineStr">
        <is>
          <t>26497806:eng</t>
        </is>
      </c>
      <c r="AV257" t="inlineStr">
        <is>
          <t>25095260</t>
        </is>
      </c>
      <c r="AW257" t="inlineStr">
        <is>
          <t>991000672709702656</t>
        </is>
      </c>
      <c r="AX257" t="inlineStr">
        <is>
          <t>991000672709702656</t>
        </is>
      </c>
      <c r="AY257" t="inlineStr">
        <is>
          <t>2261871620002656</t>
        </is>
      </c>
      <c r="AZ257" t="inlineStr">
        <is>
          <t>BOOK</t>
        </is>
      </c>
      <c r="BB257" t="inlineStr">
        <is>
          <t>9780412323508</t>
        </is>
      </c>
      <c r="BC257" t="inlineStr">
        <is>
          <t>30001002696302</t>
        </is>
      </c>
      <c r="BD257" t="inlineStr">
        <is>
          <t>893454726</t>
        </is>
      </c>
    </row>
    <row r="258">
      <c r="A258" t="inlineStr">
        <is>
          <t>No</t>
        </is>
      </c>
      <c r="B258" t="inlineStr">
        <is>
          <t>QZ 200 N277p 1972</t>
        </is>
      </c>
      <c r="C258" t="inlineStr">
        <is>
          <t>0                      QZ 0200000N  277p        1972</t>
        </is>
      </c>
      <c r="D258" t="inlineStr">
        <is>
          <t>Proceedings : Seventh National Cancer Conference : Biltmore Hotel, Los Angeles, California, September 27, 28, and 29, 1972 / Sponsored by: American Cancer Society, Inc. and National Cancer Institute.</t>
        </is>
      </c>
      <c r="F258" t="inlineStr">
        <is>
          <t>No</t>
        </is>
      </c>
      <c r="G258" t="inlineStr">
        <is>
          <t>1</t>
        </is>
      </c>
      <c r="H258" t="inlineStr">
        <is>
          <t>No</t>
        </is>
      </c>
      <c r="I258" t="inlineStr">
        <is>
          <t>No</t>
        </is>
      </c>
      <c r="J258" t="inlineStr">
        <is>
          <t>0</t>
        </is>
      </c>
      <c r="K258" t="inlineStr">
        <is>
          <t>National Cancer Conference (7th : 1972 : Los Angeles, Calif.)</t>
        </is>
      </c>
      <c r="L258" t="inlineStr">
        <is>
          <t>-- Philadelphia, Lippincott, c1973.</t>
        </is>
      </c>
      <c r="M258" t="inlineStr">
        <is>
          <t>1973</t>
        </is>
      </c>
      <c r="O258" t="inlineStr">
        <is>
          <t>eng</t>
        </is>
      </c>
      <c r="P258" t="inlineStr">
        <is>
          <t>|||</t>
        </is>
      </c>
      <c r="R258" t="inlineStr">
        <is>
          <t xml:space="preserve">QZ </t>
        </is>
      </c>
      <c r="S258" t="n">
        <v>1</v>
      </c>
      <c r="T258" t="n">
        <v>1</v>
      </c>
      <c r="U258" t="inlineStr">
        <is>
          <t>1989-05-04</t>
        </is>
      </c>
      <c r="V258" t="inlineStr">
        <is>
          <t>1989-05-04</t>
        </is>
      </c>
      <c r="W258" t="inlineStr">
        <is>
          <t>1988-02-19</t>
        </is>
      </c>
      <c r="X258" t="inlineStr">
        <is>
          <t>1988-02-19</t>
        </is>
      </c>
      <c r="Y258" t="n">
        <v>29</v>
      </c>
      <c r="Z258" t="n">
        <v>21</v>
      </c>
      <c r="AA258" t="n">
        <v>22</v>
      </c>
      <c r="AB258" t="n">
        <v>1</v>
      </c>
      <c r="AC258" t="n">
        <v>1</v>
      </c>
      <c r="AD258" t="n">
        <v>0</v>
      </c>
      <c r="AE258" t="n">
        <v>0</v>
      </c>
      <c r="AF258" t="n">
        <v>0</v>
      </c>
      <c r="AG258" t="n">
        <v>0</v>
      </c>
      <c r="AH258" t="n">
        <v>0</v>
      </c>
      <c r="AI258" t="n">
        <v>0</v>
      </c>
      <c r="AJ258" t="n">
        <v>0</v>
      </c>
      <c r="AK258" t="n">
        <v>0</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HYPERLINK("https://creighton-primo.hosted.exlibrisgroup.com/primo-explore/search?tab=default_tab&amp;search_scope=EVERYTHING&amp;vid=01CRU&amp;lang=en_US&amp;offset=0&amp;query=any,contains,991001091319702656","Catalog Record")</f>
        <v/>
      </c>
      <c r="AT258">
        <f>HYPERLINK("http://www.worldcat.org/oclc/1411827","WorldCat Record")</f>
        <v/>
      </c>
      <c r="AU258" t="inlineStr">
        <is>
          <t>4757693121:eng</t>
        </is>
      </c>
      <c r="AV258" t="inlineStr">
        <is>
          <t>1411827</t>
        </is>
      </c>
      <c r="AW258" t="inlineStr">
        <is>
          <t>991001091319702656</t>
        </is>
      </c>
      <c r="AX258" t="inlineStr">
        <is>
          <t>991001091319702656</t>
        </is>
      </c>
      <c r="AY258" t="inlineStr">
        <is>
          <t>2256746260002656</t>
        </is>
      </c>
      <c r="AZ258" t="inlineStr">
        <is>
          <t>BOOK</t>
        </is>
      </c>
      <c r="BB258" t="inlineStr">
        <is>
          <t>9780397503254</t>
        </is>
      </c>
      <c r="BC258" t="inlineStr">
        <is>
          <t>30001000262982</t>
        </is>
      </c>
      <c r="BD258" t="inlineStr">
        <is>
          <t>893273657</t>
        </is>
      </c>
    </row>
    <row r="259">
      <c r="A259" t="inlineStr">
        <is>
          <t>No</t>
        </is>
      </c>
      <c r="B259" t="inlineStr">
        <is>
          <t>QZ 200 N279a fasc.10b 1968</t>
        </is>
      </c>
      <c r="C259" t="inlineStr">
        <is>
          <t>0                      QZ 0200000N  279a                                                    fasc.10b 1968</t>
        </is>
      </c>
      <c r="D259" t="inlineStr">
        <is>
          <t>Tumors of the oral cavity and pharynx [by] Malcom B. Dockerty [et al.]</t>
        </is>
      </c>
      <c r="E259" t="inlineStr">
        <is>
          <t>fasc.10b 1968*</t>
        </is>
      </c>
      <c r="F259" t="inlineStr">
        <is>
          <t>No</t>
        </is>
      </c>
      <c r="G259" t="inlineStr">
        <is>
          <t>1</t>
        </is>
      </c>
      <c r="H259" t="inlineStr">
        <is>
          <t>No</t>
        </is>
      </c>
      <c r="I259" t="inlineStr">
        <is>
          <t>No</t>
        </is>
      </c>
      <c r="J259" t="inlineStr">
        <is>
          <t>0</t>
        </is>
      </c>
      <c r="K259" t="inlineStr">
        <is>
          <t>Dockerty, Malcolm B. (Malcolm Birt), 1909-</t>
        </is>
      </c>
      <c r="L259" t="inlineStr">
        <is>
          <t>Washington, Armed Forces Institute of Pathology, 1968.</t>
        </is>
      </c>
      <c r="M259" t="inlineStr">
        <is>
          <t>1968</t>
        </is>
      </c>
      <c r="O259" t="inlineStr">
        <is>
          <t>eng</t>
        </is>
      </c>
      <c r="P259" t="inlineStr">
        <is>
          <t>dcu</t>
        </is>
      </c>
      <c r="Q259" t="inlineStr">
        <is>
          <t>National Research Council. Committee on Pathology. Atlas of tumor pathology, section 4, fasc. 10b</t>
        </is>
      </c>
      <c r="R259" t="inlineStr">
        <is>
          <t xml:space="preserve">QZ </t>
        </is>
      </c>
      <c r="S259" t="n">
        <v>3</v>
      </c>
      <c r="T259" t="n">
        <v>3</v>
      </c>
      <c r="U259" t="inlineStr">
        <is>
          <t>2001-07-14</t>
        </is>
      </c>
      <c r="V259" t="inlineStr">
        <is>
          <t>2001-07-14</t>
        </is>
      </c>
      <c r="W259" t="inlineStr">
        <is>
          <t>1988-02-19</t>
        </is>
      </c>
      <c r="X259" t="inlineStr">
        <is>
          <t>1988-02-19</t>
        </is>
      </c>
      <c r="Y259" t="n">
        <v>89</v>
      </c>
      <c r="Z259" t="n">
        <v>67</v>
      </c>
      <c r="AA259" t="n">
        <v>73</v>
      </c>
      <c r="AB259" t="n">
        <v>1</v>
      </c>
      <c r="AC259" t="n">
        <v>1</v>
      </c>
      <c r="AD259" t="n">
        <v>1</v>
      </c>
      <c r="AE259" t="n">
        <v>1</v>
      </c>
      <c r="AF259" t="n">
        <v>0</v>
      </c>
      <c r="AG259" t="n">
        <v>0</v>
      </c>
      <c r="AH259" t="n">
        <v>0</v>
      </c>
      <c r="AI259" t="n">
        <v>0</v>
      </c>
      <c r="AJ259" t="n">
        <v>1</v>
      </c>
      <c r="AK259" t="n">
        <v>1</v>
      </c>
      <c r="AL259" t="n">
        <v>0</v>
      </c>
      <c r="AM259" t="n">
        <v>0</v>
      </c>
      <c r="AN259" t="n">
        <v>0</v>
      </c>
      <c r="AO259" t="n">
        <v>0</v>
      </c>
      <c r="AP259" t="inlineStr">
        <is>
          <t>No</t>
        </is>
      </c>
      <c r="AQ259" t="inlineStr">
        <is>
          <t>Yes</t>
        </is>
      </c>
      <c r="AR259">
        <f>HYPERLINK("http://catalog.hathitrust.org/Record/102138052","HathiTrust Record")</f>
        <v/>
      </c>
      <c r="AS259">
        <f>HYPERLINK("https://creighton-primo.hosted.exlibrisgroup.com/primo-explore/search?tab=default_tab&amp;search_scope=EVERYTHING&amp;vid=01CRU&amp;lang=en_US&amp;offset=0&amp;query=any,contains,991001091439702656","Catalog Record")</f>
        <v/>
      </c>
      <c r="AT259">
        <f>HYPERLINK("http://www.worldcat.org/oclc/14477129","WorldCat Record")</f>
        <v/>
      </c>
      <c r="AU259" t="inlineStr">
        <is>
          <t>134380012:eng</t>
        </is>
      </c>
      <c r="AV259" t="inlineStr">
        <is>
          <t>14477129</t>
        </is>
      </c>
      <c r="AW259" t="inlineStr">
        <is>
          <t>991001091439702656</t>
        </is>
      </c>
      <c r="AX259" t="inlineStr">
        <is>
          <t>991001091439702656</t>
        </is>
      </c>
      <c r="AY259" t="inlineStr">
        <is>
          <t>2262521210002656</t>
        </is>
      </c>
      <c r="AZ259" t="inlineStr">
        <is>
          <t>BOOK</t>
        </is>
      </c>
      <c r="BC259" t="inlineStr">
        <is>
          <t>30001000263006</t>
        </is>
      </c>
      <c r="BD259" t="inlineStr">
        <is>
          <t>893273659</t>
        </is>
      </c>
    </row>
    <row r="260">
      <c r="A260" t="inlineStr">
        <is>
          <t>No</t>
        </is>
      </c>
      <c r="B260" t="inlineStr">
        <is>
          <t>QZ 200 N897m 1998</t>
        </is>
      </c>
      <c r="C260" t="inlineStr">
        <is>
          <t>0                      QZ 0200000N  897m        1998</t>
        </is>
      </c>
      <c r="D260" t="inlineStr">
        <is>
          <t>Management of infectious complication in cancer patients / edited by Gary A. Noskin.</t>
        </is>
      </c>
      <c r="F260" t="inlineStr">
        <is>
          <t>No</t>
        </is>
      </c>
      <c r="G260" t="inlineStr">
        <is>
          <t>1</t>
        </is>
      </c>
      <c r="H260" t="inlineStr">
        <is>
          <t>No</t>
        </is>
      </c>
      <c r="I260" t="inlineStr">
        <is>
          <t>No</t>
        </is>
      </c>
      <c r="J260" t="inlineStr">
        <is>
          <t>0</t>
        </is>
      </c>
      <c r="L260" t="inlineStr">
        <is>
          <t>Boston : Kluwer Academic Publishers, c1998.</t>
        </is>
      </c>
      <c r="M260" t="inlineStr">
        <is>
          <t>1998</t>
        </is>
      </c>
      <c r="O260" t="inlineStr">
        <is>
          <t>eng</t>
        </is>
      </c>
      <c r="P260" t="inlineStr">
        <is>
          <t>mau</t>
        </is>
      </c>
      <c r="Q260" t="inlineStr">
        <is>
          <t>Cancer treatment and research ; CTAR 96</t>
        </is>
      </c>
      <c r="R260" t="inlineStr">
        <is>
          <t xml:space="preserve">QZ </t>
        </is>
      </c>
      <c r="S260" t="n">
        <v>2</v>
      </c>
      <c r="T260" t="n">
        <v>2</v>
      </c>
      <c r="U260" t="inlineStr">
        <is>
          <t>1999-04-21</t>
        </is>
      </c>
      <c r="V260" t="inlineStr">
        <is>
          <t>1999-04-21</t>
        </is>
      </c>
      <c r="W260" t="inlineStr">
        <is>
          <t>1999-04-15</t>
        </is>
      </c>
      <c r="X260" t="inlineStr">
        <is>
          <t>1999-04-15</t>
        </is>
      </c>
      <c r="Y260" t="n">
        <v>81</v>
      </c>
      <c r="Z260" t="n">
        <v>63</v>
      </c>
      <c r="AA260" t="n">
        <v>313</v>
      </c>
      <c r="AB260" t="n">
        <v>2</v>
      </c>
      <c r="AC260" t="n">
        <v>3</v>
      </c>
      <c r="AD260" t="n">
        <v>1</v>
      </c>
      <c r="AE260" t="n">
        <v>5</v>
      </c>
      <c r="AF260" t="n">
        <v>0</v>
      </c>
      <c r="AG260" t="n">
        <v>2</v>
      </c>
      <c r="AH260" t="n">
        <v>0</v>
      </c>
      <c r="AI260" t="n">
        <v>0</v>
      </c>
      <c r="AJ260" t="n">
        <v>0</v>
      </c>
      <c r="AK260" t="n">
        <v>1</v>
      </c>
      <c r="AL260" t="n">
        <v>1</v>
      </c>
      <c r="AM260" t="n">
        <v>2</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HYPERLINK("https://creighton-primo.hosted.exlibrisgroup.com/primo-explore/search?tab=default_tab&amp;search_scope=EVERYTHING&amp;vid=01CRU&amp;lang=en_US&amp;offset=0&amp;query=any,contains,991000784449702656","Catalog Record")</f>
        <v/>
      </c>
      <c r="AT260">
        <f>HYPERLINK("http://www.worldcat.org/oclc/38732294","WorldCat Record")</f>
        <v/>
      </c>
      <c r="AU260" t="inlineStr">
        <is>
          <t>863885275:eng</t>
        </is>
      </c>
      <c r="AV260" t="inlineStr">
        <is>
          <t>38732294</t>
        </is>
      </c>
      <c r="AW260" t="inlineStr">
        <is>
          <t>991000784449702656</t>
        </is>
      </c>
      <c r="AX260" t="inlineStr">
        <is>
          <t>991000784449702656</t>
        </is>
      </c>
      <c r="AY260" t="inlineStr">
        <is>
          <t>2270230860002656</t>
        </is>
      </c>
      <c r="AZ260" t="inlineStr">
        <is>
          <t>BOOK</t>
        </is>
      </c>
      <c r="BB260" t="inlineStr">
        <is>
          <t>9780792381501</t>
        </is>
      </c>
      <c r="BC260" t="inlineStr">
        <is>
          <t>30001004071611</t>
        </is>
      </c>
      <c r="BD260" t="inlineStr">
        <is>
          <t>893815440</t>
        </is>
      </c>
    </row>
    <row r="261">
      <c r="A261" t="inlineStr">
        <is>
          <t>No</t>
        </is>
      </c>
      <c r="B261" t="inlineStr">
        <is>
          <t>QZ 200 P822m 1998</t>
        </is>
      </c>
      <c r="C261" t="inlineStr">
        <is>
          <t>0                      QZ 0200000P  822m        1998</t>
        </is>
      </c>
      <c r="D261" t="inlineStr">
        <is>
          <t>Melanoma : prevention, detection, and treatment / Catherine M. Poole with DuPont Guerry IV ; drawings by David Low.</t>
        </is>
      </c>
      <c r="F261" t="inlineStr">
        <is>
          <t>No</t>
        </is>
      </c>
      <c r="G261" t="inlineStr">
        <is>
          <t>1</t>
        </is>
      </c>
      <c r="H261" t="inlineStr">
        <is>
          <t>No</t>
        </is>
      </c>
      <c r="I261" t="inlineStr">
        <is>
          <t>No</t>
        </is>
      </c>
      <c r="J261" t="inlineStr">
        <is>
          <t>0</t>
        </is>
      </c>
      <c r="K261" t="inlineStr">
        <is>
          <t>Poole, Catherine M.</t>
        </is>
      </c>
      <c r="L261" t="inlineStr">
        <is>
          <t>New Haven : Yale University Press, c1998.</t>
        </is>
      </c>
      <c r="M261" t="inlineStr">
        <is>
          <t>1998</t>
        </is>
      </c>
      <c r="O261" t="inlineStr">
        <is>
          <t>eng</t>
        </is>
      </c>
      <c r="P261" t="inlineStr">
        <is>
          <t>ctu</t>
        </is>
      </c>
      <c r="R261" t="inlineStr">
        <is>
          <t xml:space="preserve">QZ </t>
        </is>
      </c>
      <c r="S261" t="n">
        <v>9</v>
      </c>
      <c r="T261" t="n">
        <v>9</v>
      </c>
      <c r="U261" t="inlineStr">
        <is>
          <t>2003-10-29</t>
        </is>
      </c>
      <c r="V261" t="inlineStr">
        <is>
          <t>2003-10-29</t>
        </is>
      </c>
      <c r="W261" t="inlineStr">
        <is>
          <t>1999-05-07</t>
        </is>
      </c>
      <c r="X261" t="inlineStr">
        <is>
          <t>1999-05-07</t>
        </is>
      </c>
      <c r="Y261" t="n">
        <v>713</v>
      </c>
      <c r="Z261" t="n">
        <v>641</v>
      </c>
      <c r="AA261" t="n">
        <v>1834</v>
      </c>
      <c r="AB261" t="n">
        <v>1</v>
      </c>
      <c r="AC261" t="n">
        <v>19</v>
      </c>
      <c r="AD261" t="n">
        <v>5</v>
      </c>
      <c r="AE261" t="n">
        <v>44</v>
      </c>
      <c r="AF261" t="n">
        <v>1</v>
      </c>
      <c r="AG261" t="n">
        <v>17</v>
      </c>
      <c r="AH261" t="n">
        <v>2</v>
      </c>
      <c r="AI261" t="n">
        <v>8</v>
      </c>
      <c r="AJ261" t="n">
        <v>3</v>
      </c>
      <c r="AK261" t="n">
        <v>13</v>
      </c>
      <c r="AL261" t="n">
        <v>0</v>
      </c>
      <c r="AM261" t="n">
        <v>12</v>
      </c>
      <c r="AN261" t="n">
        <v>0</v>
      </c>
      <c r="AO261" t="n">
        <v>1</v>
      </c>
      <c r="AP261" t="inlineStr">
        <is>
          <t>No</t>
        </is>
      </c>
      <c r="AQ261" t="inlineStr">
        <is>
          <t>No</t>
        </is>
      </c>
      <c r="AS261">
        <f>HYPERLINK("https://creighton-primo.hosted.exlibrisgroup.com/primo-explore/search?tab=default_tab&amp;search_scope=EVERYTHING&amp;vid=01CRU&amp;lang=en_US&amp;offset=0&amp;query=any,contains,991000786839702656","Catalog Record")</f>
        <v/>
      </c>
      <c r="AT261">
        <f>HYPERLINK("http://www.worldcat.org/oclc/37567414","WorldCat Record")</f>
        <v/>
      </c>
      <c r="AU261" t="inlineStr">
        <is>
          <t>19283892:eng</t>
        </is>
      </c>
      <c r="AV261" t="inlineStr">
        <is>
          <t>37567414</t>
        </is>
      </c>
      <c r="AW261" t="inlineStr">
        <is>
          <t>991000786839702656</t>
        </is>
      </c>
      <c r="AX261" t="inlineStr">
        <is>
          <t>991000786839702656</t>
        </is>
      </c>
      <c r="AY261" t="inlineStr">
        <is>
          <t>2267630140002656</t>
        </is>
      </c>
      <c r="AZ261" t="inlineStr">
        <is>
          <t>BOOK</t>
        </is>
      </c>
      <c r="BB261" t="inlineStr">
        <is>
          <t>9780300073614</t>
        </is>
      </c>
      <c r="BC261" t="inlineStr">
        <is>
          <t>30001004073872</t>
        </is>
      </c>
      <c r="BD261" t="inlineStr">
        <is>
          <t>893735758</t>
        </is>
      </c>
    </row>
    <row r="262">
      <c r="A262" t="inlineStr">
        <is>
          <t>No</t>
        </is>
      </c>
      <c r="B262" t="inlineStr">
        <is>
          <t>QZ 200 P9429 1992</t>
        </is>
      </c>
      <c r="C262" t="inlineStr">
        <is>
          <t>0                      QZ 0200000P  9429        1992</t>
        </is>
      </c>
      <c r="D262" t="inlineStr">
        <is>
          <t>Preventing cancers / edited by Tom Heller, Lorna Bailey, and Stephen Pattison.</t>
        </is>
      </c>
      <c r="F262" t="inlineStr">
        <is>
          <t>No</t>
        </is>
      </c>
      <c r="G262" t="inlineStr">
        <is>
          <t>1</t>
        </is>
      </c>
      <c r="H262" t="inlineStr">
        <is>
          <t>No</t>
        </is>
      </c>
      <c r="I262" t="inlineStr">
        <is>
          <t>No</t>
        </is>
      </c>
      <c r="J262" t="inlineStr">
        <is>
          <t>0</t>
        </is>
      </c>
      <c r="L262" t="inlineStr">
        <is>
          <t>Buckingham, England ; Bristol, PA, USA : Open University Press, c1992.</t>
        </is>
      </c>
      <c r="M262" t="inlineStr">
        <is>
          <t>1992</t>
        </is>
      </c>
      <c r="O262" t="inlineStr">
        <is>
          <t>eng</t>
        </is>
      </c>
      <c r="P262" t="inlineStr">
        <is>
          <t>enk</t>
        </is>
      </c>
      <c r="R262" t="inlineStr">
        <is>
          <t xml:space="preserve">QZ </t>
        </is>
      </c>
      <c r="S262" t="n">
        <v>5</v>
      </c>
      <c r="T262" t="n">
        <v>5</v>
      </c>
      <c r="U262" t="inlineStr">
        <is>
          <t>1997-08-11</t>
        </is>
      </c>
      <c r="V262" t="inlineStr">
        <is>
          <t>1997-08-11</t>
        </is>
      </c>
      <c r="W262" t="inlineStr">
        <is>
          <t>1993-03-03</t>
        </is>
      </c>
      <c r="X262" t="inlineStr">
        <is>
          <t>1993-03-03</t>
        </is>
      </c>
      <c r="Y262" t="n">
        <v>117</v>
      </c>
      <c r="Z262" t="n">
        <v>53</v>
      </c>
      <c r="AA262" t="n">
        <v>53</v>
      </c>
      <c r="AB262" t="n">
        <v>1</v>
      </c>
      <c r="AC262" t="n">
        <v>1</v>
      </c>
      <c r="AD262" t="n">
        <v>0</v>
      </c>
      <c r="AE262" t="n">
        <v>0</v>
      </c>
      <c r="AF262" t="n">
        <v>0</v>
      </c>
      <c r="AG262" t="n">
        <v>0</v>
      </c>
      <c r="AH262" t="n">
        <v>0</v>
      </c>
      <c r="AI262" t="n">
        <v>0</v>
      </c>
      <c r="AJ262" t="n">
        <v>0</v>
      </c>
      <c r="AK262" t="n">
        <v>0</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HYPERLINK("https://creighton-primo.hosted.exlibrisgroup.com/primo-explore/search?tab=default_tab&amp;search_scope=EVERYTHING&amp;vid=01CRU&amp;lang=en_US&amp;offset=0&amp;query=any,contains,991001431779702656","Catalog Record")</f>
        <v/>
      </c>
      <c r="AT262">
        <f>HYPERLINK("http://www.worldcat.org/oclc/26162775","WorldCat Record")</f>
        <v/>
      </c>
      <c r="AU262" t="inlineStr">
        <is>
          <t>354649698:eng</t>
        </is>
      </c>
      <c r="AV262" t="inlineStr">
        <is>
          <t>26162775</t>
        </is>
      </c>
      <c r="AW262" t="inlineStr">
        <is>
          <t>991001431779702656</t>
        </is>
      </c>
      <c r="AX262" t="inlineStr">
        <is>
          <t>991001431779702656</t>
        </is>
      </c>
      <c r="AY262" t="inlineStr">
        <is>
          <t>2271376570002656</t>
        </is>
      </c>
      <c r="AZ262" t="inlineStr">
        <is>
          <t>BOOK</t>
        </is>
      </c>
      <c r="BB262" t="inlineStr">
        <is>
          <t>9780335190041</t>
        </is>
      </c>
      <c r="BC262" t="inlineStr">
        <is>
          <t>30001002529495</t>
        </is>
      </c>
      <c r="BD262" t="inlineStr">
        <is>
          <t>893826745</t>
        </is>
      </c>
    </row>
    <row r="263">
      <c r="A263" t="inlineStr">
        <is>
          <t>No</t>
        </is>
      </c>
      <c r="B263" t="inlineStr">
        <is>
          <t>QZ 200 P952 1986</t>
        </is>
      </c>
      <c r="C263" t="inlineStr">
        <is>
          <t>0                      QZ 0200000P  952         1986</t>
        </is>
      </c>
      <c r="D263" t="inlineStr">
        <is>
          <t>Primary prevention of cancer / editors, W.J. Eylenbosch, A.M. Depoorter, N. Van Larebeke.</t>
        </is>
      </c>
      <c r="E263" t="inlineStr">
        <is>
          <t>V. 19</t>
        </is>
      </c>
      <c r="F263" t="inlineStr">
        <is>
          <t>No</t>
        </is>
      </c>
      <c r="G263" t="inlineStr">
        <is>
          <t>1</t>
        </is>
      </c>
      <c r="H263" t="inlineStr">
        <is>
          <t>No</t>
        </is>
      </c>
      <c r="I263" t="inlineStr">
        <is>
          <t>No</t>
        </is>
      </c>
      <c r="J263" t="inlineStr">
        <is>
          <t>0</t>
        </is>
      </c>
      <c r="L263" t="inlineStr">
        <is>
          <t>New York, N.Y. : Raven Press, c1988.</t>
        </is>
      </c>
      <c r="M263" t="inlineStr">
        <is>
          <t>1988</t>
        </is>
      </c>
      <c r="O263" t="inlineStr">
        <is>
          <t>eng</t>
        </is>
      </c>
      <c r="P263" t="inlineStr">
        <is>
          <t>xxu</t>
        </is>
      </c>
      <c r="Q263" t="inlineStr">
        <is>
          <t>Monograph series of the European Organization for Research on Treatment of Cancer ; v. 19</t>
        </is>
      </c>
      <c r="R263" t="inlineStr">
        <is>
          <t xml:space="preserve">QZ </t>
        </is>
      </c>
      <c r="S263" t="n">
        <v>3</v>
      </c>
      <c r="T263" t="n">
        <v>3</v>
      </c>
      <c r="U263" t="inlineStr">
        <is>
          <t>2009-10-01</t>
        </is>
      </c>
      <c r="V263" t="inlineStr">
        <is>
          <t>2009-10-01</t>
        </is>
      </c>
      <c r="W263" t="inlineStr">
        <is>
          <t>1988-08-18</t>
        </is>
      </c>
      <c r="X263" t="inlineStr">
        <is>
          <t>1988-08-18</t>
        </is>
      </c>
      <c r="Y263" t="n">
        <v>89</v>
      </c>
      <c r="Z263" t="n">
        <v>64</v>
      </c>
      <c r="AA263" t="n">
        <v>66</v>
      </c>
      <c r="AB263" t="n">
        <v>1</v>
      </c>
      <c r="AC263" t="n">
        <v>1</v>
      </c>
      <c r="AD263" t="n">
        <v>0</v>
      </c>
      <c r="AE263" t="n">
        <v>0</v>
      </c>
      <c r="AF263" t="n">
        <v>0</v>
      </c>
      <c r="AG263" t="n">
        <v>0</v>
      </c>
      <c r="AH263" t="n">
        <v>0</v>
      </c>
      <c r="AI263" t="n">
        <v>0</v>
      </c>
      <c r="AJ263" t="n">
        <v>0</v>
      </c>
      <c r="AK263" t="n">
        <v>0</v>
      </c>
      <c r="AL263" t="n">
        <v>0</v>
      </c>
      <c r="AM263" t="n">
        <v>0</v>
      </c>
      <c r="AN263" t="n">
        <v>0</v>
      </c>
      <c r="AO263" t="n">
        <v>0</v>
      </c>
      <c r="AP263" t="inlineStr">
        <is>
          <t>No</t>
        </is>
      </c>
      <c r="AQ263" t="inlineStr">
        <is>
          <t>Yes</t>
        </is>
      </c>
      <c r="AR263">
        <f>HYPERLINK("http://catalog.hathitrust.org/Record/000905057","HathiTrust Record")</f>
        <v/>
      </c>
      <c r="AS263">
        <f>HYPERLINK("https://creighton-primo.hosted.exlibrisgroup.com/primo-explore/search?tab=default_tab&amp;search_scope=EVERYTHING&amp;vid=01CRU&amp;lang=en_US&amp;offset=0&amp;query=any,contains,991001419779702656","Catalog Record")</f>
        <v/>
      </c>
      <c r="AT263">
        <f>HYPERLINK("http://www.worldcat.org/oclc/17259953","WorldCat Record")</f>
        <v/>
      </c>
      <c r="AU263" t="inlineStr">
        <is>
          <t>10033107471:eng</t>
        </is>
      </c>
      <c r="AV263" t="inlineStr">
        <is>
          <t>17259953</t>
        </is>
      </c>
      <c r="AW263" t="inlineStr">
        <is>
          <t>991001419779702656</t>
        </is>
      </c>
      <c r="AX263" t="inlineStr">
        <is>
          <t>991001419779702656</t>
        </is>
      </c>
      <c r="AY263" t="inlineStr">
        <is>
          <t>2256353890002656</t>
        </is>
      </c>
      <c r="AZ263" t="inlineStr">
        <is>
          <t>BOOK</t>
        </is>
      </c>
      <c r="BB263" t="inlineStr">
        <is>
          <t>9780881674040</t>
        </is>
      </c>
      <c r="BC263" t="inlineStr">
        <is>
          <t>30001001181876</t>
        </is>
      </c>
      <c r="BD263" t="inlineStr">
        <is>
          <t>893377235</t>
        </is>
      </c>
    </row>
    <row r="264">
      <c r="A264" t="inlineStr">
        <is>
          <t>No</t>
        </is>
      </c>
      <c r="B264" t="inlineStr">
        <is>
          <t>QZ 200 P957 1989</t>
        </is>
      </c>
      <c r="C264" t="inlineStr">
        <is>
          <t>0                      QZ 0200000P  957         1989</t>
        </is>
      </c>
      <c r="D264" t="inlineStr">
        <is>
          <t>Principles and practice of pediatric oncology / edited by Philip A. Pizzo, David G. Poplack ; with 107 contributors.</t>
        </is>
      </c>
      <c r="F264" t="inlineStr">
        <is>
          <t>No</t>
        </is>
      </c>
      <c r="G264" t="inlineStr">
        <is>
          <t>1</t>
        </is>
      </c>
      <c r="H264" t="inlineStr">
        <is>
          <t>No</t>
        </is>
      </c>
      <c r="I264" t="inlineStr">
        <is>
          <t>Yes</t>
        </is>
      </c>
      <c r="J264" t="inlineStr">
        <is>
          <t>1</t>
        </is>
      </c>
      <c r="L264" t="inlineStr">
        <is>
          <t>Philadelphia : Lippincott, c1989.</t>
        </is>
      </c>
      <c r="M264" t="inlineStr">
        <is>
          <t>1989</t>
        </is>
      </c>
      <c r="O264" t="inlineStr">
        <is>
          <t>eng</t>
        </is>
      </c>
      <c r="P264" t="inlineStr">
        <is>
          <t>xxu</t>
        </is>
      </c>
      <c r="R264" t="inlineStr">
        <is>
          <t xml:space="preserve">QZ </t>
        </is>
      </c>
      <c r="S264" t="n">
        <v>29</v>
      </c>
      <c r="T264" t="n">
        <v>29</v>
      </c>
      <c r="U264" t="inlineStr">
        <is>
          <t>1996-04-15</t>
        </is>
      </c>
      <c r="V264" t="inlineStr">
        <is>
          <t>1996-04-15</t>
        </is>
      </c>
      <c r="W264" t="inlineStr">
        <is>
          <t>1989-06-13</t>
        </is>
      </c>
      <c r="X264" t="inlineStr">
        <is>
          <t>1989-06-13</t>
        </is>
      </c>
      <c r="Y264" t="n">
        <v>144</v>
      </c>
      <c r="Z264" t="n">
        <v>102</v>
      </c>
      <c r="AA264" t="n">
        <v>1108</v>
      </c>
      <c r="AB264" t="n">
        <v>1</v>
      </c>
      <c r="AC264" t="n">
        <v>14</v>
      </c>
      <c r="AD264" t="n">
        <v>2</v>
      </c>
      <c r="AE264" t="n">
        <v>48</v>
      </c>
      <c r="AF264" t="n">
        <v>1</v>
      </c>
      <c r="AG264" t="n">
        <v>14</v>
      </c>
      <c r="AH264" t="n">
        <v>0</v>
      </c>
      <c r="AI264" t="n">
        <v>13</v>
      </c>
      <c r="AJ264" t="n">
        <v>2</v>
      </c>
      <c r="AK264" t="n">
        <v>16</v>
      </c>
      <c r="AL264" t="n">
        <v>0</v>
      </c>
      <c r="AM264" t="n">
        <v>12</v>
      </c>
      <c r="AN264" t="n">
        <v>0</v>
      </c>
      <c r="AO264" t="n">
        <v>2</v>
      </c>
      <c r="AP264" t="inlineStr">
        <is>
          <t>No</t>
        </is>
      </c>
      <c r="AQ264" t="inlineStr">
        <is>
          <t>No</t>
        </is>
      </c>
      <c r="AS264">
        <f>HYPERLINK("https://creighton-primo.hosted.exlibrisgroup.com/primo-explore/search?tab=default_tab&amp;search_scope=EVERYTHING&amp;vid=01CRU&amp;lang=en_US&amp;offset=0&amp;query=any,contains,991001251569702656","Catalog Record")</f>
        <v/>
      </c>
      <c r="AT264">
        <f>HYPERLINK("http://www.worldcat.org/oclc/17327896","WorldCat Record")</f>
        <v/>
      </c>
      <c r="AU264" t="inlineStr">
        <is>
          <t>503714226:eng</t>
        </is>
      </c>
      <c r="AV264" t="inlineStr">
        <is>
          <t>17327896</t>
        </is>
      </c>
      <c r="AW264" t="inlineStr">
        <is>
          <t>991001251569702656</t>
        </is>
      </c>
      <c r="AX264" t="inlineStr">
        <is>
          <t>991001251569702656</t>
        </is>
      </c>
      <c r="AY264" t="inlineStr">
        <is>
          <t>2269611190002656</t>
        </is>
      </c>
      <c r="AZ264" t="inlineStr">
        <is>
          <t>BOOK</t>
        </is>
      </c>
      <c r="BB264" t="inlineStr">
        <is>
          <t>9780397508211</t>
        </is>
      </c>
      <c r="BC264" t="inlineStr">
        <is>
          <t>30001001678988</t>
        </is>
      </c>
      <c r="BD264" t="inlineStr">
        <is>
          <t>893374395</t>
        </is>
      </c>
    </row>
    <row r="265">
      <c r="A265" t="inlineStr">
        <is>
          <t>No</t>
        </is>
      </c>
      <c r="B265" t="inlineStr">
        <is>
          <t>QZ200 P9575 2004</t>
        </is>
      </c>
      <c r="C265" t="inlineStr">
        <is>
          <t>0                      QZ 0200000P  9575        2004</t>
        </is>
      </c>
      <c r="D265" t="inlineStr">
        <is>
          <t>Principles of molecular oncology / edited by Miguel H. Bronchud ... [et al.] ; forewords by E. Donnall Thomas, David J. Weatherall, Derek Crowther.</t>
        </is>
      </c>
      <c r="F265" t="inlineStr">
        <is>
          <t>No</t>
        </is>
      </c>
      <c r="G265" t="inlineStr">
        <is>
          <t>1</t>
        </is>
      </c>
      <c r="H265" t="inlineStr">
        <is>
          <t>No</t>
        </is>
      </c>
      <c r="I265" t="inlineStr">
        <is>
          <t>No</t>
        </is>
      </c>
      <c r="J265" t="inlineStr">
        <is>
          <t>1</t>
        </is>
      </c>
      <c r="L265" t="inlineStr">
        <is>
          <t>Totowa, N.J. : Humana Press, c2004.</t>
        </is>
      </c>
      <c r="M265" t="inlineStr">
        <is>
          <t>2004</t>
        </is>
      </c>
      <c r="N265" t="inlineStr">
        <is>
          <t>2nd ed.</t>
        </is>
      </c>
      <c r="O265" t="inlineStr">
        <is>
          <t>eng</t>
        </is>
      </c>
      <c r="P265" t="inlineStr">
        <is>
          <t>nju</t>
        </is>
      </c>
      <c r="R265" t="inlineStr">
        <is>
          <t xml:space="preserve">QZ </t>
        </is>
      </c>
      <c r="S265" t="n">
        <v>5</v>
      </c>
      <c r="T265" t="n">
        <v>5</v>
      </c>
      <c r="U265" t="inlineStr">
        <is>
          <t>2007-05-21</t>
        </is>
      </c>
      <c r="V265" t="inlineStr">
        <is>
          <t>2007-05-21</t>
        </is>
      </c>
      <c r="W265" t="inlineStr">
        <is>
          <t>2004-09-15</t>
        </is>
      </c>
      <c r="X265" t="inlineStr">
        <is>
          <t>2004-09-15</t>
        </is>
      </c>
      <c r="Y265" t="n">
        <v>159</v>
      </c>
      <c r="Z265" t="n">
        <v>116</v>
      </c>
      <c r="AA265" t="n">
        <v>437</v>
      </c>
      <c r="AB265" t="n">
        <v>1</v>
      </c>
      <c r="AC265" t="n">
        <v>2</v>
      </c>
      <c r="AD265" t="n">
        <v>4</v>
      </c>
      <c r="AE265" t="n">
        <v>11</v>
      </c>
      <c r="AF265" t="n">
        <v>2</v>
      </c>
      <c r="AG265" t="n">
        <v>7</v>
      </c>
      <c r="AH265" t="n">
        <v>0</v>
      </c>
      <c r="AI265" t="n">
        <v>2</v>
      </c>
      <c r="AJ265" t="n">
        <v>2</v>
      </c>
      <c r="AK265" t="n">
        <v>5</v>
      </c>
      <c r="AL265" t="n">
        <v>0</v>
      </c>
      <c r="AM265" t="n">
        <v>0</v>
      </c>
      <c r="AN265" t="n">
        <v>0</v>
      </c>
      <c r="AO265" t="n">
        <v>0</v>
      </c>
      <c r="AP265" t="inlineStr">
        <is>
          <t>No</t>
        </is>
      </c>
      <c r="AQ265" t="inlineStr">
        <is>
          <t>Yes</t>
        </is>
      </c>
      <c r="AR265">
        <f>HYPERLINK("http://catalog.hathitrust.org/Record/004361379","HathiTrust Record")</f>
        <v/>
      </c>
      <c r="AS265">
        <f>HYPERLINK("https://creighton-primo.hosted.exlibrisgroup.com/primo-explore/search?tab=default_tab&amp;search_scope=EVERYTHING&amp;vid=01CRU&amp;lang=en_US&amp;offset=0&amp;query=any,contains,991000389759702656","Catalog Record")</f>
        <v/>
      </c>
      <c r="AT265">
        <f>HYPERLINK("http://www.worldcat.org/oclc/52086182","WorldCat Record")</f>
        <v/>
      </c>
      <c r="AU265" t="inlineStr">
        <is>
          <t>1077198548:eng</t>
        </is>
      </c>
      <c r="AV265" t="inlineStr">
        <is>
          <t>52086182</t>
        </is>
      </c>
      <c r="AW265" t="inlineStr">
        <is>
          <t>991000389759702656</t>
        </is>
      </c>
      <c r="AX265" t="inlineStr">
        <is>
          <t>991000389759702656</t>
        </is>
      </c>
      <c r="AY265" t="inlineStr">
        <is>
          <t>2256715810002656</t>
        </is>
      </c>
      <c r="AZ265" t="inlineStr">
        <is>
          <t>BOOK</t>
        </is>
      </c>
      <c r="BB265" t="inlineStr">
        <is>
          <t>9781588292797</t>
        </is>
      </c>
      <c r="BC265" t="inlineStr">
        <is>
          <t>30001004920783</t>
        </is>
      </c>
      <c r="BD265" t="inlineStr">
        <is>
          <t>893136788</t>
        </is>
      </c>
    </row>
    <row r="266">
      <c r="A266" t="inlineStr">
        <is>
          <t>No</t>
        </is>
      </c>
      <c r="B266" t="inlineStr">
        <is>
          <t>QZ 200 P9743 1998</t>
        </is>
      </c>
      <c r="C266" t="inlineStr">
        <is>
          <t>0                      QZ 0200000P  9743        1998</t>
        </is>
      </c>
      <c r="D266" t="inlineStr">
        <is>
          <t>Psycho-oncology / edited by Jimmie C. Holland ; associate editors, William Breitbart ... [et al.].</t>
        </is>
      </c>
      <c r="F266" t="inlineStr">
        <is>
          <t>No</t>
        </is>
      </c>
      <c r="G266" t="inlineStr">
        <is>
          <t>1</t>
        </is>
      </c>
      <c r="H266" t="inlineStr">
        <is>
          <t>No</t>
        </is>
      </c>
      <c r="I266" t="inlineStr">
        <is>
          <t>No</t>
        </is>
      </c>
      <c r="J266" t="inlineStr">
        <is>
          <t>0</t>
        </is>
      </c>
      <c r="L266" t="inlineStr">
        <is>
          <t>New York : Oxford University Press, c1998.</t>
        </is>
      </c>
      <c r="M266" t="inlineStr">
        <is>
          <t>1998</t>
        </is>
      </c>
      <c r="O266" t="inlineStr">
        <is>
          <t>eng</t>
        </is>
      </c>
      <c r="P266" t="inlineStr">
        <is>
          <t>nyu</t>
        </is>
      </c>
      <c r="R266" t="inlineStr">
        <is>
          <t xml:space="preserve">QZ </t>
        </is>
      </c>
      <c r="S266" t="n">
        <v>7</v>
      </c>
      <c r="T266" t="n">
        <v>7</v>
      </c>
      <c r="U266" t="inlineStr">
        <is>
          <t>2000-03-12</t>
        </is>
      </c>
      <c r="V266" t="inlineStr">
        <is>
          <t>2000-03-12</t>
        </is>
      </c>
      <c r="W266" t="inlineStr">
        <is>
          <t>1999-12-17</t>
        </is>
      </c>
      <c r="X266" t="inlineStr">
        <is>
          <t>1999-12-17</t>
        </is>
      </c>
      <c r="Y266" t="n">
        <v>221</v>
      </c>
      <c r="Z266" t="n">
        <v>147</v>
      </c>
      <c r="AA266" t="n">
        <v>147</v>
      </c>
      <c r="AB266" t="n">
        <v>1</v>
      </c>
      <c r="AC266" t="n">
        <v>1</v>
      </c>
      <c r="AD266" t="n">
        <v>3</v>
      </c>
      <c r="AE266" t="n">
        <v>3</v>
      </c>
      <c r="AF266" t="n">
        <v>2</v>
      </c>
      <c r="AG266" t="n">
        <v>2</v>
      </c>
      <c r="AH266" t="n">
        <v>0</v>
      </c>
      <c r="AI266" t="n">
        <v>0</v>
      </c>
      <c r="AJ266" t="n">
        <v>2</v>
      </c>
      <c r="AK266" t="n">
        <v>2</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HYPERLINK("https://creighton-primo.hosted.exlibrisgroup.com/primo-explore/search?tab=default_tab&amp;search_scope=EVERYTHING&amp;vid=01CRU&amp;lang=en_US&amp;offset=0&amp;query=any,contains,991001411079702656","Catalog Record")</f>
        <v/>
      </c>
      <c r="AT266">
        <f>HYPERLINK("http://www.worldcat.org/oclc/37214025","WorldCat Record")</f>
        <v/>
      </c>
      <c r="AU266" t="inlineStr">
        <is>
          <t>8909019272:eng</t>
        </is>
      </c>
      <c r="AV266" t="inlineStr">
        <is>
          <t>37214025</t>
        </is>
      </c>
      <c r="AW266" t="inlineStr">
        <is>
          <t>991001411079702656</t>
        </is>
      </c>
      <c r="AX266" t="inlineStr">
        <is>
          <t>991001411079702656</t>
        </is>
      </c>
      <c r="AY266" t="inlineStr">
        <is>
          <t>2257993800002656</t>
        </is>
      </c>
      <c r="AZ266" t="inlineStr">
        <is>
          <t>BOOK</t>
        </is>
      </c>
      <c r="BB266" t="inlineStr">
        <is>
          <t>9780195106145</t>
        </is>
      </c>
      <c r="BC266" t="inlineStr">
        <is>
          <t>30001003831619</t>
        </is>
      </c>
      <c r="BD266" t="inlineStr">
        <is>
          <t>893832160</t>
        </is>
      </c>
    </row>
    <row r="267">
      <c r="A267" t="inlineStr">
        <is>
          <t>No</t>
        </is>
      </c>
      <c r="B267" t="inlineStr">
        <is>
          <t>QZ 200 Q116 1987</t>
        </is>
      </c>
      <c r="C267" t="inlineStr">
        <is>
          <t>0                      QZ 0200000Q  116         1987</t>
        </is>
      </c>
      <c r="D267" t="inlineStr">
        <is>
          <t>Quality of life of the cancer patient / chief editors, Neil K. Aaronson, Jörn Beckmann ; associate editors, Jan Bernheim, Robert Zittoun.</t>
        </is>
      </c>
      <c r="F267" t="inlineStr">
        <is>
          <t>No</t>
        </is>
      </c>
      <c r="G267" t="inlineStr">
        <is>
          <t>1</t>
        </is>
      </c>
      <c r="H267" t="inlineStr">
        <is>
          <t>No</t>
        </is>
      </c>
      <c r="I267" t="inlineStr">
        <is>
          <t>No</t>
        </is>
      </c>
      <c r="J267" t="inlineStr">
        <is>
          <t>0</t>
        </is>
      </c>
      <c r="L267" t="inlineStr">
        <is>
          <t>New York, NY : Raven Press, c1987.</t>
        </is>
      </c>
      <c r="M267" t="inlineStr">
        <is>
          <t>1987</t>
        </is>
      </c>
      <c r="O267" t="inlineStr">
        <is>
          <t>eng</t>
        </is>
      </c>
      <c r="P267" t="inlineStr">
        <is>
          <t>xxu</t>
        </is>
      </c>
      <c r="Q267" t="inlineStr">
        <is>
          <t>Monograph series of the European Organization for Research on Treatment of Cancer ; v. 17</t>
        </is>
      </c>
      <c r="R267" t="inlineStr">
        <is>
          <t xml:space="preserve">QZ </t>
        </is>
      </c>
      <c r="S267" t="n">
        <v>3</v>
      </c>
      <c r="T267" t="n">
        <v>3</v>
      </c>
      <c r="U267" t="inlineStr">
        <is>
          <t>1993-06-25</t>
        </is>
      </c>
      <c r="V267" t="inlineStr">
        <is>
          <t>1993-06-25</t>
        </is>
      </c>
      <c r="W267" t="inlineStr">
        <is>
          <t>1988-02-19</t>
        </is>
      </c>
      <c r="X267" t="inlineStr">
        <is>
          <t>1988-02-19</t>
        </is>
      </c>
      <c r="Y267" t="n">
        <v>170</v>
      </c>
      <c r="Z267" t="n">
        <v>111</v>
      </c>
      <c r="AA267" t="n">
        <v>113</v>
      </c>
      <c r="AB267" t="n">
        <v>1</v>
      </c>
      <c r="AC267" t="n">
        <v>1</v>
      </c>
      <c r="AD267" t="n">
        <v>2</v>
      </c>
      <c r="AE267" t="n">
        <v>2</v>
      </c>
      <c r="AF267" t="n">
        <v>0</v>
      </c>
      <c r="AG267" t="n">
        <v>0</v>
      </c>
      <c r="AH267" t="n">
        <v>0</v>
      </c>
      <c r="AI267" t="n">
        <v>0</v>
      </c>
      <c r="AJ267" t="n">
        <v>2</v>
      </c>
      <c r="AK267" t="n">
        <v>2</v>
      </c>
      <c r="AL267" t="n">
        <v>0</v>
      </c>
      <c r="AM267" t="n">
        <v>0</v>
      </c>
      <c r="AN267" t="n">
        <v>0</v>
      </c>
      <c r="AO267" t="n">
        <v>0</v>
      </c>
      <c r="AP267" t="inlineStr">
        <is>
          <t>No</t>
        </is>
      </c>
      <c r="AQ267" t="inlineStr">
        <is>
          <t>Yes</t>
        </is>
      </c>
      <c r="AR267">
        <f>HYPERLINK("http://catalog.hathitrust.org/Record/000826616","HathiTrust Record")</f>
        <v/>
      </c>
      <c r="AS267">
        <f>HYPERLINK("https://creighton-primo.hosted.exlibrisgroup.com/primo-explore/search?tab=default_tab&amp;search_scope=EVERYTHING&amp;vid=01CRU&amp;lang=en_US&amp;offset=0&amp;query=any,contains,991000764889702656","Catalog Record")</f>
        <v/>
      </c>
      <c r="AT267">
        <f>HYPERLINK("http://www.worldcat.org/oclc/15018838","WorldCat Record")</f>
        <v/>
      </c>
      <c r="AU267" t="inlineStr">
        <is>
          <t>350357284:eng</t>
        </is>
      </c>
      <c r="AV267" t="inlineStr">
        <is>
          <t>15018838</t>
        </is>
      </c>
      <c r="AW267" t="inlineStr">
        <is>
          <t>991000764889702656</t>
        </is>
      </c>
      <c r="AX267" t="inlineStr">
        <is>
          <t>991000764889702656</t>
        </is>
      </c>
      <c r="AY267" t="inlineStr">
        <is>
          <t>2268579870002656</t>
        </is>
      </c>
      <c r="AZ267" t="inlineStr">
        <is>
          <t>BOOK</t>
        </is>
      </c>
      <c r="BB267" t="inlineStr">
        <is>
          <t>9780881672725</t>
        </is>
      </c>
      <c r="BC267" t="inlineStr">
        <is>
          <t>30001000056905</t>
        </is>
      </c>
      <c r="BD267" t="inlineStr">
        <is>
          <t>893267414</t>
        </is>
      </c>
    </row>
    <row r="268">
      <c r="A268" t="inlineStr">
        <is>
          <t>No</t>
        </is>
      </c>
      <c r="B268" t="inlineStr">
        <is>
          <t>QZ200 S359c 2002</t>
        </is>
      </c>
      <c r="C268" t="inlineStr">
        <is>
          <t>0                      QZ 0200000S  359c        2002</t>
        </is>
      </c>
      <c r="D268" t="inlineStr">
        <is>
          <t>Counseling about cancer : strategies for genetic counseling / Katherine Schneider.</t>
        </is>
      </c>
      <c r="F268" t="inlineStr">
        <is>
          <t>No</t>
        </is>
      </c>
      <c r="G268" t="inlineStr">
        <is>
          <t>1</t>
        </is>
      </c>
      <c r="H268" t="inlineStr">
        <is>
          <t>Yes</t>
        </is>
      </c>
      <c r="I268" t="inlineStr">
        <is>
          <t>No</t>
        </is>
      </c>
      <c r="J268" t="inlineStr">
        <is>
          <t>0</t>
        </is>
      </c>
      <c r="K268" t="inlineStr">
        <is>
          <t>Schneider, Katherine A.</t>
        </is>
      </c>
      <c r="L268" t="inlineStr">
        <is>
          <t>New York : Wiley-Liss, c2002.</t>
        </is>
      </c>
      <c r="M268" t="inlineStr">
        <is>
          <t>2002</t>
        </is>
      </c>
      <c r="N268" t="inlineStr">
        <is>
          <t>2nd ed.</t>
        </is>
      </c>
      <c r="O268" t="inlineStr">
        <is>
          <t>eng</t>
        </is>
      </c>
      <c r="P268" t="inlineStr">
        <is>
          <t>nyu</t>
        </is>
      </c>
      <c r="R268" t="inlineStr">
        <is>
          <t xml:space="preserve">QZ </t>
        </is>
      </c>
      <c r="S268" t="n">
        <v>0</v>
      </c>
      <c r="T268" t="n">
        <v>2</v>
      </c>
      <c r="U268" t="inlineStr">
        <is>
          <t>2002-12-10</t>
        </is>
      </c>
      <c r="V268" t="inlineStr">
        <is>
          <t>2003-02-04</t>
        </is>
      </c>
      <c r="W268" t="inlineStr">
        <is>
          <t>2002-07-03</t>
        </is>
      </c>
      <c r="X268" t="inlineStr">
        <is>
          <t>2002-07-03</t>
        </is>
      </c>
      <c r="Y268" t="n">
        <v>121</v>
      </c>
      <c r="Z268" t="n">
        <v>75</v>
      </c>
      <c r="AA268" t="n">
        <v>553</v>
      </c>
      <c r="AB268" t="n">
        <v>1</v>
      </c>
      <c r="AC268" t="n">
        <v>6</v>
      </c>
      <c r="AD268" t="n">
        <v>2</v>
      </c>
      <c r="AE268" t="n">
        <v>23</v>
      </c>
      <c r="AF268" t="n">
        <v>1</v>
      </c>
      <c r="AG268" t="n">
        <v>7</v>
      </c>
      <c r="AH268" t="n">
        <v>0</v>
      </c>
      <c r="AI268" t="n">
        <v>6</v>
      </c>
      <c r="AJ268" t="n">
        <v>1</v>
      </c>
      <c r="AK268" t="n">
        <v>6</v>
      </c>
      <c r="AL268" t="n">
        <v>0</v>
      </c>
      <c r="AM268" t="n">
        <v>5</v>
      </c>
      <c r="AN268" t="n">
        <v>0</v>
      </c>
      <c r="AO268" t="n">
        <v>1</v>
      </c>
      <c r="AP268" t="inlineStr">
        <is>
          <t>No</t>
        </is>
      </c>
      <c r="AQ268" t="inlineStr">
        <is>
          <t>No</t>
        </is>
      </c>
      <c r="AS268">
        <f>HYPERLINK("https://creighton-primo.hosted.exlibrisgroup.com/primo-explore/search?tab=default_tab&amp;search_scope=EVERYTHING&amp;vid=01CRU&amp;lang=en_US&amp;offset=0&amp;query=any,contains,991000323409702656","Catalog Record")</f>
        <v/>
      </c>
      <c r="AT268">
        <f>HYPERLINK("http://www.worldcat.org/oclc/47137301","WorldCat Record")</f>
        <v/>
      </c>
      <c r="AU268" t="inlineStr">
        <is>
          <t>824458039:eng</t>
        </is>
      </c>
      <c r="AV268" t="inlineStr">
        <is>
          <t>47137301</t>
        </is>
      </c>
      <c r="AW268" t="inlineStr">
        <is>
          <t>991000323409702656</t>
        </is>
      </c>
      <c r="AX268" t="inlineStr">
        <is>
          <t>991000323409702656</t>
        </is>
      </c>
      <c r="AY268" t="inlineStr">
        <is>
          <t>2267218710002656</t>
        </is>
      </c>
      <c r="AZ268" t="inlineStr">
        <is>
          <t>BOOK</t>
        </is>
      </c>
      <c r="BB268" t="inlineStr">
        <is>
          <t>9780471370369</t>
        </is>
      </c>
      <c r="BC268" t="inlineStr">
        <is>
          <t>30001004442754</t>
        </is>
      </c>
      <c r="BD268" t="inlineStr">
        <is>
          <t>893136741</t>
        </is>
      </c>
    </row>
    <row r="269">
      <c r="A269" t="inlineStr">
        <is>
          <t>No</t>
        </is>
      </c>
      <c r="B269" t="inlineStr">
        <is>
          <t>QZ200 S359c 2002</t>
        </is>
      </c>
      <c r="C269" t="inlineStr">
        <is>
          <t>0                      QZ 0200000S  359c        2002</t>
        </is>
      </c>
      <c r="D269" t="inlineStr">
        <is>
          <t>Counseling about cancer : strategies for genetic counseling / Katherine Schneider.</t>
        </is>
      </c>
      <c r="F269" t="inlineStr">
        <is>
          <t>No</t>
        </is>
      </c>
      <c r="G269" t="inlineStr">
        <is>
          <t>2</t>
        </is>
      </c>
      <c r="H269" t="inlineStr">
        <is>
          <t>Yes</t>
        </is>
      </c>
      <c r="I269" t="inlineStr">
        <is>
          <t>No</t>
        </is>
      </c>
      <c r="J269" t="inlineStr">
        <is>
          <t>0</t>
        </is>
      </c>
      <c r="K269" t="inlineStr">
        <is>
          <t>Schneider, Katherine A.</t>
        </is>
      </c>
      <c r="L269" t="inlineStr">
        <is>
          <t>New York : Wiley-Liss, c2002.</t>
        </is>
      </c>
      <c r="M269" t="inlineStr">
        <is>
          <t>2002</t>
        </is>
      </c>
      <c r="N269" t="inlineStr">
        <is>
          <t>2nd ed.</t>
        </is>
      </c>
      <c r="O269" t="inlineStr">
        <is>
          <t>eng</t>
        </is>
      </c>
      <c r="P269" t="inlineStr">
        <is>
          <t>nyu</t>
        </is>
      </c>
      <c r="R269" t="inlineStr">
        <is>
          <t xml:space="preserve">QZ </t>
        </is>
      </c>
      <c r="S269" t="n">
        <v>2</v>
      </c>
      <c r="T269" t="n">
        <v>2</v>
      </c>
      <c r="U269" t="inlineStr">
        <is>
          <t>2003-02-04</t>
        </is>
      </c>
      <c r="V269" t="inlineStr">
        <is>
          <t>2003-02-04</t>
        </is>
      </c>
      <c r="W269" t="inlineStr">
        <is>
          <t>2002-07-03</t>
        </is>
      </c>
      <c r="X269" t="inlineStr">
        <is>
          <t>2002-07-03</t>
        </is>
      </c>
      <c r="Y269" t="n">
        <v>121</v>
      </c>
      <c r="Z269" t="n">
        <v>75</v>
      </c>
      <c r="AA269" t="n">
        <v>553</v>
      </c>
      <c r="AB269" t="n">
        <v>1</v>
      </c>
      <c r="AC269" t="n">
        <v>6</v>
      </c>
      <c r="AD269" t="n">
        <v>2</v>
      </c>
      <c r="AE269" t="n">
        <v>23</v>
      </c>
      <c r="AF269" t="n">
        <v>1</v>
      </c>
      <c r="AG269" t="n">
        <v>7</v>
      </c>
      <c r="AH269" t="n">
        <v>0</v>
      </c>
      <c r="AI269" t="n">
        <v>6</v>
      </c>
      <c r="AJ269" t="n">
        <v>1</v>
      </c>
      <c r="AK269" t="n">
        <v>6</v>
      </c>
      <c r="AL269" t="n">
        <v>0</v>
      </c>
      <c r="AM269" t="n">
        <v>5</v>
      </c>
      <c r="AN269" t="n">
        <v>0</v>
      </c>
      <c r="AO269" t="n">
        <v>1</v>
      </c>
      <c r="AP269" t="inlineStr">
        <is>
          <t>No</t>
        </is>
      </c>
      <c r="AQ269" t="inlineStr">
        <is>
          <t>No</t>
        </is>
      </c>
      <c r="AS269">
        <f>HYPERLINK("https://creighton-primo.hosted.exlibrisgroup.com/primo-explore/search?tab=default_tab&amp;search_scope=EVERYTHING&amp;vid=01CRU&amp;lang=en_US&amp;offset=0&amp;query=any,contains,991000323409702656","Catalog Record")</f>
        <v/>
      </c>
      <c r="AT269">
        <f>HYPERLINK("http://www.worldcat.org/oclc/47137301","WorldCat Record")</f>
        <v/>
      </c>
      <c r="AU269" t="inlineStr">
        <is>
          <t>824458039:eng</t>
        </is>
      </c>
      <c r="AV269" t="inlineStr">
        <is>
          <t>47137301</t>
        </is>
      </c>
      <c r="AW269" t="inlineStr">
        <is>
          <t>991000323409702656</t>
        </is>
      </c>
      <c r="AX269" t="inlineStr">
        <is>
          <t>991000323409702656</t>
        </is>
      </c>
      <c r="AY269" t="inlineStr">
        <is>
          <t>2267218710002656</t>
        </is>
      </c>
      <c r="AZ269" t="inlineStr">
        <is>
          <t>BOOK</t>
        </is>
      </c>
      <c r="BB269" t="inlineStr">
        <is>
          <t>9780471370369</t>
        </is>
      </c>
      <c r="BC269" t="inlineStr">
        <is>
          <t>30001004445963</t>
        </is>
      </c>
      <c r="BD269" t="inlineStr">
        <is>
          <t>893122976</t>
        </is>
      </c>
    </row>
    <row r="270">
      <c r="A270" t="inlineStr">
        <is>
          <t>No</t>
        </is>
      </c>
      <c r="B270" t="inlineStr">
        <is>
          <t>QZ 200 S697h 2004</t>
        </is>
      </c>
      <c r="C270" t="inlineStr">
        <is>
          <t>0                      QZ 0200000S  697h        2004</t>
        </is>
      </c>
      <c r="D270" t="inlineStr">
        <is>
          <t>How cancer works / Lauren Sompayrac.</t>
        </is>
      </c>
      <c r="F270" t="inlineStr">
        <is>
          <t>No</t>
        </is>
      </c>
      <c r="G270" t="inlineStr">
        <is>
          <t>1</t>
        </is>
      </c>
      <c r="H270" t="inlineStr">
        <is>
          <t>No</t>
        </is>
      </c>
      <c r="I270" t="inlineStr">
        <is>
          <t>No</t>
        </is>
      </c>
      <c r="J270" t="inlineStr">
        <is>
          <t>0</t>
        </is>
      </c>
      <c r="K270" t="inlineStr">
        <is>
          <t>Sompayrac, Lauren.</t>
        </is>
      </c>
      <c r="L270" t="inlineStr">
        <is>
          <t>Sudbury, Mass. : Jones and Bartlett Publishers, c2004.</t>
        </is>
      </c>
      <c r="M270" t="inlineStr">
        <is>
          <t>2004</t>
        </is>
      </c>
      <c r="N270" t="inlineStr">
        <is>
          <t>1st ed.</t>
        </is>
      </c>
      <c r="O270" t="inlineStr">
        <is>
          <t>eng</t>
        </is>
      </c>
      <c r="P270" t="inlineStr">
        <is>
          <t>mau</t>
        </is>
      </c>
      <c r="R270" t="inlineStr">
        <is>
          <t xml:space="preserve">QZ </t>
        </is>
      </c>
      <c r="S270" t="n">
        <v>7</v>
      </c>
      <c r="T270" t="n">
        <v>7</v>
      </c>
      <c r="U270" t="inlineStr">
        <is>
          <t>2009-05-07</t>
        </is>
      </c>
      <c r="V270" t="inlineStr">
        <is>
          <t>2009-05-07</t>
        </is>
      </c>
      <c r="W270" t="inlineStr">
        <is>
          <t>2004-09-14</t>
        </is>
      </c>
      <c r="X270" t="inlineStr">
        <is>
          <t>2004-09-14</t>
        </is>
      </c>
      <c r="Y270" t="n">
        <v>282</v>
      </c>
      <c r="Z270" t="n">
        <v>215</v>
      </c>
      <c r="AA270" t="n">
        <v>215</v>
      </c>
      <c r="AB270" t="n">
        <v>2</v>
      </c>
      <c r="AC270" t="n">
        <v>2</v>
      </c>
      <c r="AD270" t="n">
        <v>4</v>
      </c>
      <c r="AE270" t="n">
        <v>4</v>
      </c>
      <c r="AF270" t="n">
        <v>3</v>
      </c>
      <c r="AG270" t="n">
        <v>3</v>
      </c>
      <c r="AH270" t="n">
        <v>0</v>
      </c>
      <c r="AI270" t="n">
        <v>0</v>
      </c>
      <c r="AJ270" t="n">
        <v>1</v>
      </c>
      <c r="AK270" t="n">
        <v>1</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HYPERLINK("https://creighton-primo.hosted.exlibrisgroup.com/primo-explore/search?tab=default_tab&amp;search_scope=EVERYTHING&amp;vid=01CRU&amp;lang=en_US&amp;offset=0&amp;query=any,contains,991000389019702656","Catalog Record")</f>
        <v/>
      </c>
      <c r="AT270">
        <f>HYPERLINK("http://www.worldcat.org/oclc/52853819","WorldCat Record")</f>
        <v/>
      </c>
      <c r="AU270" t="inlineStr">
        <is>
          <t>758269:eng</t>
        </is>
      </c>
      <c r="AV270" t="inlineStr">
        <is>
          <t>52853819</t>
        </is>
      </c>
      <c r="AW270" t="inlineStr">
        <is>
          <t>991000389019702656</t>
        </is>
      </c>
      <c r="AX270" t="inlineStr">
        <is>
          <t>991000389019702656</t>
        </is>
      </c>
      <c r="AY270" t="inlineStr">
        <is>
          <t>2258368120002656</t>
        </is>
      </c>
      <c r="AZ270" t="inlineStr">
        <is>
          <t>BOOK</t>
        </is>
      </c>
      <c r="BB270" t="inlineStr">
        <is>
          <t>9780763718213</t>
        </is>
      </c>
      <c r="BC270" t="inlineStr">
        <is>
          <t>30001004920866</t>
        </is>
      </c>
      <c r="BD270" t="inlineStr">
        <is>
          <t>893136787</t>
        </is>
      </c>
    </row>
    <row r="271">
      <c r="A271" t="inlineStr">
        <is>
          <t>No</t>
        </is>
      </c>
      <c r="B271" t="inlineStr">
        <is>
          <t>QZ 200 S721c 1998</t>
        </is>
      </c>
      <c r="C271" t="inlineStr">
        <is>
          <t>0                      QZ 0200000S  721c        1998</t>
        </is>
      </c>
      <c r="D271" t="inlineStr">
        <is>
          <t>Cancer and its management / Robert Souhami, Jeffrey Tobias.</t>
        </is>
      </c>
      <c r="F271" t="inlineStr">
        <is>
          <t>No</t>
        </is>
      </c>
      <c r="G271" t="inlineStr">
        <is>
          <t>1</t>
        </is>
      </c>
      <c r="H271" t="inlineStr">
        <is>
          <t>No</t>
        </is>
      </c>
      <c r="I271" t="inlineStr">
        <is>
          <t>No</t>
        </is>
      </c>
      <c r="J271" t="inlineStr">
        <is>
          <t>1</t>
        </is>
      </c>
      <c r="K271" t="inlineStr">
        <is>
          <t>Souhami, Robert L.</t>
        </is>
      </c>
      <c r="L271" t="inlineStr">
        <is>
          <t>Oxford ; Malden, MA, USA : Blackwell Science, c1998.</t>
        </is>
      </c>
      <c r="M271" t="inlineStr">
        <is>
          <t>1998</t>
        </is>
      </c>
      <c r="N271" t="inlineStr">
        <is>
          <t>3rd ed.</t>
        </is>
      </c>
      <c r="O271" t="inlineStr">
        <is>
          <t>eng</t>
        </is>
      </c>
      <c r="P271" t="inlineStr">
        <is>
          <t>enk</t>
        </is>
      </c>
      <c r="R271" t="inlineStr">
        <is>
          <t xml:space="preserve">QZ </t>
        </is>
      </c>
      <c r="S271" t="n">
        <v>11</v>
      </c>
      <c r="T271" t="n">
        <v>11</v>
      </c>
      <c r="U271" t="inlineStr">
        <is>
          <t>2002-04-18</t>
        </is>
      </c>
      <c r="V271" t="inlineStr">
        <is>
          <t>2002-04-18</t>
        </is>
      </c>
      <c r="W271" t="inlineStr">
        <is>
          <t>1998-12-17</t>
        </is>
      </c>
      <c r="X271" t="inlineStr">
        <is>
          <t>1998-12-17</t>
        </is>
      </c>
      <c r="Y271" t="n">
        <v>101</v>
      </c>
      <c r="Z271" t="n">
        <v>46</v>
      </c>
      <c r="AA271" t="n">
        <v>1238</v>
      </c>
      <c r="AB271" t="n">
        <v>2</v>
      </c>
      <c r="AC271" t="n">
        <v>16</v>
      </c>
      <c r="AD271" t="n">
        <v>0</v>
      </c>
      <c r="AE271" t="n">
        <v>44</v>
      </c>
      <c r="AF271" t="n">
        <v>0</v>
      </c>
      <c r="AG271" t="n">
        <v>11</v>
      </c>
      <c r="AH271" t="n">
        <v>0</v>
      </c>
      <c r="AI271" t="n">
        <v>11</v>
      </c>
      <c r="AJ271" t="n">
        <v>0</v>
      </c>
      <c r="AK271" t="n">
        <v>14</v>
      </c>
      <c r="AL271" t="n">
        <v>0</v>
      </c>
      <c r="AM271" t="n">
        <v>13</v>
      </c>
      <c r="AN271" t="n">
        <v>0</v>
      </c>
      <c r="AO271" t="n">
        <v>2</v>
      </c>
      <c r="AP271" t="inlineStr">
        <is>
          <t>No</t>
        </is>
      </c>
      <c r="AQ271" t="inlineStr">
        <is>
          <t>No</t>
        </is>
      </c>
      <c r="AS271">
        <f>HYPERLINK("https://creighton-primo.hosted.exlibrisgroup.com/primo-explore/search?tab=default_tab&amp;search_scope=EVERYTHING&amp;vid=01CRU&amp;lang=en_US&amp;offset=0&amp;query=any,contains,991001391349702656","Catalog Record")</f>
        <v/>
      </c>
      <c r="AT271">
        <f>HYPERLINK("http://www.worldcat.org/oclc/37322251","WorldCat Record")</f>
        <v/>
      </c>
      <c r="AU271" t="inlineStr">
        <is>
          <t>638136:eng</t>
        </is>
      </c>
      <c r="AV271" t="inlineStr">
        <is>
          <t>37322251</t>
        </is>
      </c>
      <c r="AW271" t="inlineStr">
        <is>
          <t>991001391349702656</t>
        </is>
      </c>
      <c r="AX271" t="inlineStr">
        <is>
          <t>991001391349702656</t>
        </is>
      </c>
      <c r="AY271" t="inlineStr">
        <is>
          <t>2269478060002656</t>
        </is>
      </c>
      <c r="AZ271" t="inlineStr">
        <is>
          <t>BOOK</t>
        </is>
      </c>
      <c r="BB271" t="inlineStr">
        <is>
          <t>9780865427747</t>
        </is>
      </c>
      <c r="BC271" t="inlineStr">
        <is>
          <t>30001003807890</t>
        </is>
      </c>
      <c r="BD271" t="inlineStr">
        <is>
          <t>893451128</t>
        </is>
      </c>
    </row>
    <row r="272">
      <c r="A272" t="inlineStr">
        <is>
          <t>No</t>
        </is>
      </c>
      <c r="B272" t="inlineStr">
        <is>
          <t>QZ 200 S959 1993</t>
        </is>
      </c>
      <c r="C272" t="inlineStr">
        <is>
          <t>0                      QZ 0200000S  959         1993</t>
        </is>
      </c>
      <c r="D272" t="inlineStr">
        <is>
          <t>Supportive care of children with cancer : current therapy and guidelines from the Children's Cancer Group / edited by Arthur R. Ablin.</t>
        </is>
      </c>
      <c r="F272" t="inlineStr">
        <is>
          <t>No</t>
        </is>
      </c>
      <c r="G272" t="inlineStr">
        <is>
          <t>1</t>
        </is>
      </c>
      <c r="H272" t="inlineStr">
        <is>
          <t>No</t>
        </is>
      </c>
      <c r="I272" t="inlineStr">
        <is>
          <t>No</t>
        </is>
      </c>
      <c r="J272" t="inlineStr">
        <is>
          <t>0</t>
        </is>
      </c>
      <c r="L272" t="inlineStr">
        <is>
          <t>Baltimore : Johns Hopkins University Press, c1993.</t>
        </is>
      </c>
      <c r="M272" t="inlineStr">
        <is>
          <t>1993</t>
        </is>
      </c>
      <c r="O272" t="inlineStr">
        <is>
          <t>eng</t>
        </is>
      </c>
      <c r="P272" t="inlineStr">
        <is>
          <t>mdu</t>
        </is>
      </c>
      <c r="Q272" t="inlineStr">
        <is>
          <t>The Johns Hopkins series in hematology/oncology</t>
        </is>
      </c>
      <c r="R272" t="inlineStr">
        <is>
          <t xml:space="preserve">QZ </t>
        </is>
      </c>
      <c r="S272" t="n">
        <v>9</v>
      </c>
      <c r="T272" t="n">
        <v>9</v>
      </c>
      <c r="U272" t="inlineStr">
        <is>
          <t>1998-09-27</t>
        </is>
      </c>
      <c r="V272" t="inlineStr">
        <is>
          <t>1998-09-27</t>
        </is>
      </c>
      <c r="W272" t="inlineStr">
        <is>
          <t>1993-09-15</t>
        </is>
      </c>
      <c r="X272" t="inlineStr">
        <is>
          <t>1993-09-15</t>
        </is>
      </c>
      <c r="Y272" t="n">
        <v>126</v>
      </c>
      <c r="Z272" t="n">
        <v>99</v>
      </c>
      <c r="AA272" t="n">
        <v>176</v>
      </c>
      <c r="AB272" t="n">
        <v>2</v>
      </c>
      <c r="AC272" t="n">
        <v>2</v>
      </c>
      <c r="AD272" t="n">
        <v>2</v>
      </c>
      <c r="AE272" t="n">
        <v>4</v>
      </c>
      <c r="AF272" t="n">
        <v>0</v>
      </c>
      <c r="AG272" t="n">
        <v>1</v>
      </c>
      <c r="AH272" t="n">
        <v>0</v>
      </c>
      <c r="AI272" t="n">
        <v>1</v>
      </c>
      <c r="AJ272" t="n">
        <v>1</v>
      </c>
      <c r="AK272" t="n">
        <v>3</v>
      </c>
      <c r="AL272" t="n">
        <v>1</v>
      </c>
      <c r="AM272" t="n">
        <v>1</v>
      </c>
      <c r="AN272" t="n">
        <v>0</v>
      </c>
      <c r="AO272" t="n">
        <v>0</v>
      </c>
      <c r="AP272" t="inlineStr">
        <is>
          <t>No</t>
        </is>
      </c>
      <c r="AQ272" t="inlineStr">
        <is>
          <t>Yes</t>
        </is>
      </c>
      <c r="AR272">
        <f>HYPERLINK("http://catalog.hathitrust.org/Record/002643543","HathiTrust Record")</f>
        <v/>
      </c>
      <c r="AS272">
        <f>HYPERLINK("https://creighton-primo.hosted.exlibrisgroup.com/primo-explore/search?tab=default_tab&amp;search_scope=EVERYTHING&amp;vid=01CRU&amp;lang=en_US&amp;offset=0&amp;query=any,contains,991001484849702656","Catalog Record")</f>
        <v/>
      </c>
      <c r="AT272">
        <f>HYPERLINK("http://www.worldcat.org/oclc/26893353","WorldCat Record")</f>
        <v/>
      </c>
      <c r="AU272" t="inlineStr">
        <is>
          <t>836862345:eng</t>
        </is>
      </c>
      <c r="AV272" t="inlineStr">
        <is>
          <t>26893353</t>
        </is>
      </c>
      <c r="AW272" t="inlineStr">
        <is>
          <t>991001484849702656</t>
        </is>
      </c>
      <c r="AX272" t="inlineStr">
        <is>
          <t>991001484849702656</t>
        </is>
      </c>
      <c r="AY272" t="inlineStr">
        <is>
          <t>2269573540002656</t>
        </is>
      </c>
      <c r="AZ272" t="inlineStr">
        <is>
          <t>BOOK</t>
        </is>
      </c>
      <c r="BB272" t="inlineStr">
        <is>
          <t>9780801846298</t>
        </is>
      </c>
      <c r="BC272" t="inlineStr">
        <is>
          <t>30001002579045</t>
        </is>
      </c>
      <c r="BD272" t="inlineStr">
        <is>
          <t>893287443</t>
        </is>
      </c>
    </row>
    <row r="273">
      <c r="A273" t="inlineStr">
        <is>
          <t>No</t>
        </is>
      </c>
      <c r="B273" t="inlineStr">
        <is>
          <t>QZ 200 T255u 1998</t>
        </is>
      </c>
      <c r="C273" t="inlineStr">
        <is>
          <t>0                      QZ 0200000T  255u        1998</t>
        </is>
      </c>
      <c r="D273" t="inlineStr">
        <is>
          <t>Understanding and assisting low-income women with cancer / Emma Jean Tedder.</t>
        </is>
      </c>
      <c r="F273" t="inlineStr">
        <is>
          <t>No</t>
        </is>
      </c>
      <c r="G273" t="inlineStr">
        <is>
          <t>1</t>
        </is>
      </c>
      <c r="H273" t="inlineStr">
        <is>
          <t>No</t>
        </is>
      </c>
      <c r="I273" t="inlineStr">
        <is>
          <t>No</t>
        </is>
      </c>
      <c r="J273" t="inlineStr">
        <is>
          <t>0</t>
        </is>
      </c>
      <c r="K273" t="inlineStr">
        <is>
          <t>Tedder, Emma Jean.</t>
        </is>
      </c>
      <c r="L273" t="inlineStr">
        <is>
          <t>New York : Haworth Press, c1998.</t>
        </is>
      </c>
      <c r="M273" t="inlineStr">
        <is>
          <t>1998</t>
        </is>
      </c>
      <c r="O273" t="inlineStr">
        <is>
          <t>eng</t>
        </is>
      </c>
      <c r="P273" t="inlineStr">
        <is>
          <t>nyu</t>
        </is>
      </c>
      <c r="R273" t="inlineStr">
        <is>
          <t xml:space="preserve">QZ </t>
        </is>
      </c>
      <c r="S273" t="n">
        <v>1</v>
      </c>
      <c r="T273" t="n">
        <v>1</v>
      </c>
      <c r="U273" t="inlineStr">
        <is>
          <t>1999-07-13</t>
        </is>
      </c>
      <c r="V273" t="inlineStr">
        <is>
          <t>1999-07-13</t>
        </is>
      </c>
      <c r="W273" t="inlineStr">
        <is>
          <t>1999-07-09</t>
        </is>
      </c>
      <c r="X273" t="inlineStr">
        <is>
          <t>1999-07-09</t>
        </is>
      </c>
      <c r="Y273" t="n">
        <v>161</v>
      </c>
      <c r="Z273" t="n">
        <v>140</v>
      </c>
      <c r="AA273" t="n">
        <v>141</v>
      </c>
      <c r="AB273" t="n">
        <v>2</v>
      </c>
      <c r="AC273" t="n">
        <v>2</v>
      </c>
      <c r="AD273" t="n">
        <v>2</v>
      </c>
      <c r="AE273" t="n">
        <v>2</v>
      </c>
      <c r="AF273" t="n">
        <v>1</v>
      </c>
      <c r="AG273" t="n">
        <v>1</v>
      </c>
      <c r="AH273" t="n">
        <v>0</v>
      </c>
      <c r="AI273" t="n">
        <v>0</v>
      </c>
      <c r="AJ273" t="n">
        <v>1</v>
      </c>
      <c r="AK273" t="n">
        <v>1</v>
      </c>
      <c r="AL273" t="n">
        <v>1</v>
      </c>
      <c r="AM273" t="n">
        <v>1</v>
      </c>
      <c r="AN273" t="n">
        <v>0</v>
      </c>
      <c r="AO273" t="n">
        <v>0</v>
      </c>
      <c r="AP273" t="inlineStr">
        <is>
          <t>No</t>
        </is>
      </c>
      <c r="AQ273" t="inlineStr">
        <is>
          <t>Yes</t>
        </is>
      </c>
      <c r="AR273">
        <f>HYPERLINK("http://catalog.hathitrust.org/Record/004016182","HathiTrust Record")</f>
        <v/>
      </c>
      <c r="AS273">
        <f>HYPERLINK("https://creighton-primo.hosted.exlibrisgroup.com/primo-explore/search?tab=default_tab&amp;search_scope=EVERYTHING&amp;vid=01CRU&amp;lang=en_US&amp;offset=0&amp;query=any,contains,991000795189702656","Catalog Record")</f>
        <v/>
      </c>
      <c r="AT273">
        <f>HYPERLINK("http://www.worldcat.org/oclc/38288558","WorldCat Record")</f>
        <v/>
      </c>
      <c r="AU273" t="inlineStr">
        <is>
          <t>1052111:eng</t>
        </is>
      </c>
      <c r="AV273" t="inlineStr">
        <is>
          <t>38288558</t>
        </is>
      </c>
      <c r="AW273" t="inlineStr">
        <is>
          <t>991000795189702656</t>
        </is>
      </c>
      <c r="AX273" t="inlineStr">
        <is>
          <t>991000795189702656</t>
        </is>
      </c>
      <c r="AY273" t="inlineStr">
        <is>
          <t>2258882550002656</t>
        </is>
      </c>
      <c r="AZ273" t="inlineStr">
        <is>
          <t>BOOK</t>
        </is>
      </c>
      <c r="BB273" t="inlineStr">
        <is>
          <t>9780789004260</t>
        </is>
      </c>
      <c r="BC273" t="inlineStr">
        <is>
          <t>30001004077972</t>
        </is>
      </c>
      <c r="BD273" t="inlineStr">
        <is>
          <t>893368570</t>
        </is>
      </c>
    </row>
    <row r="274">
      <c r="A274" t="inlineStr">
        <is>
          <t>No</t>
        </is>
      </c>
      <c r="B274" t="inlineStr">
        <is>
          <t>QZ 200 T3555 2004</t>
        </is>
      </c>
      <c r="C274" t="inlineStr">
        <is>
          <t>0                      QZ 0200000T  3555        2004</t>
        </is>
      </c>
      <c r="D274" t="inlineStr">
        <is>
          <t>Textbook of melanoma / edited by John F. Thompson, Donald L. Morton, Bin B.R. Kroon.</t>
        </is>
      </c>
      <c r="F274" t="inlineStr">
        <is>
          <t>No</t>
        </is>
      </c>
      <c r="G274" t="inlineStr">
        <is>
          <t>1</t>
        </is>
      </c>
      <c r="H274" t="inlineStr">
        <is>
          <t>No</t>
        </is>
      </c>
      <c r="I274" t="inlineStr">
        <is>
          <t>No</t>
        </is>
      </c>
      <c r="J274" t="inlineStr">
        <is>
          <t>0</t>
        </is>
      </c>
      <c r="L274" t="inlineStr">
        <is>
          <t>London ; New York : Martin Dunitz, 2004.</t>
        </is>
      </c>
      <c r="M274" t="inlineStr">
        <is>
          <t>2004</t>
        </is>
      </c>
      <c r="O274" t="inlineStr">
        <is>
          <t>eng</t>
        </is>
      </c>
      <c r="P274" t="inlineStr">
        <is>
          <t>enk</t>
        </is>
      </c>
      <c r="R274" t="inlineStr">
        <is>
          <t xml:space="preserve">QZ </t>
        </is>
      </c>
      <c r="S274" t="n">
        <v>4</v>
      </c>
      <c r="T274" t="n">
        <v>4</v>
      </c>
      <c r="U274" t="inlineStr">
        <is>
          <t>2005-04-18</t>
        </is>
      </c>
      <c r="V274" t="inlineStr">
        <is>
          <t>2005-04-18</t>
        </is>
      </c>
      <c r="W274" t="inlineStr">
        <is>
          <t>2004-09-16</t>
        </is>
      </c>
      <c r="X274" t="inlineStr">
        <is>
          <t>2004-09-16</t>
        </is>
      </c>
      <c r="Y274" t="n">
        <v>113</v>
      </c>
      <c r="Z274" t="n">
        <v>61</v>
      </c>
      <c r="AA274" t="n">
        <v>67</v>
      </c>
      <c r="AB274" t="n">
        <v>1</v>
      </c>
      <c r="AC274" t="n">
        <v>1</v>
      </c>
      <c r="AD274" t="n">
        <v>3</v>
      </c>
      <c r="AE274" t="n">
        <v>3</v>
      </c>
      <c r="AF274" t="n">
        <v>1</v>
      </c>
      <c r="AG274" t="n">
        <v>1</v>
      </c>
      <c r="AH274" t="n">
        <v>1</v>
      </c>
      <c r="AI274" t="n">
        <v>1</v>
      </c>
      <c r="AJ274" t="n">
        <v>1</v>
      </c>
      <c r="AK274" t="n">
        <v>1</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HYPERLINK("https://creighton-primo.hosted.exlibrisgroup.com/primo-explore/search?tab=default_tab&amp;search_scope=EVERYTHING&amp;vid=01CRU&amp;lang=en_US&amp;offset=0&amp;query=any,contains,991000391069702656","Catalog Record")</f>
        <v/>
      </c>
      <c r="AT274">
        <f>HYPERLINK("http://www.worldcat.org/oclc/49240006","WorldCat Record")</f>
        <v/>
      </c>
      <c r="AU274" t="inlineStr">
        <is>
          <t>350887160:eng</t>
        </is>
      </c>
      <c r="AV274" t="inlineStr">
        <is>
          <t>49240006</t>
        </is>
      </c>
      <c r="AW274" t="inlineStr">
        <is>
          <t>991000391069702656</t>
        </is>
      </c>
      <c r="AX274" t="inlineStr">
        <is>
          <t>991000391069702656</t>
        </is>
      </c>
      <c r="AY274" t="inlineStr">
        <is>
          <t>2254852630002656</t>
        </is>
      </c>
      <c r="AZ274" t="inlineStr">
        <is>
          <t>BOOK</t>
        </is>
      </c>
      <c r="BB274" t="inlineStr">
        <is>
          <t>9781901865653</t>
        </is>
      </c>
      <c r="BC274" t="inlineStr">
        <is>
          <t>30001004977049</t>
        </is>
      </c>
      <c r="BD274" t="inlineStr">
        <is>
          <t>893644356</t>
        </is>
      </c>
    </row>
    <row r="275">
      <c r="A275" t="inlineStr">
        <is>
          <t>No</t>
        </is>
      </c>
      <c r="B275" t="inlineStr">
        <is>
          <t>QZ 200 T9212 1993</t>
        </is>
      </c>
      <c r="C275" t="inlineStr">
        <is>
          <t>0                      QZ 0200000T  9212        1993</t>
        </is>
      </c>
      <c r="D275" t="inlineStr">
        <is>
          <t>Tumour immunobiology : a practical approach / edited by G. Gallagher, R.C. Rees, and C.W. Reynolds.</t>
        </is>
      </c>
      <c r="F275" t="inlineStr">
        <is>
          <t>No</t>
        </is>
      </c>
      <c r="G275" t="inlineStr">
        <is>
          <t>1</t>
        </is>
      </c>
      <c r="H275" t="inlineStr">
        <is>
          <t>No</t>
        </is>
      </c>
      <c r="I275" t="inlineStr">
        <is>
          <t>No</t>
        </is>
      </c>
      <c r="J275" t="inlineStr">
        <is>
          <t>0</t>
        </is>
      </c>
      <c r="L275" t="inlineStr">
        <is>
          <t>Oxford ; New York : IRL Press, c1993.</t>
        </is>
      </c>
      <c r="M275" t="inlineStr">
        <is>
          <t>1993</t>
        </is>
      </c>
      <c r="O275" t="inlineStr">
        <is>
          <t>eng</t>
        </is>
      </c>
      <c r="P275" t="inlineStr">
        <is>
          <t>enk</t>
        </is>
      </c>
      <c r="Q275" t="inlineStr">
        <is>
          <t>The Practical approach series ; 121.</t>
        </is>
      </c>
      <c r="R275" t="inlineStr">
        <is>
          <t xml:space="preserve">QZ </t>
        </is>
      </c>
      <c r="S275" t="n">
        <v>9</v>
      </c>
      <c r="T275" t="n">
        <v>9</v>
      </c>
      <c r="U275" t="inlineStr">
        <is>
          <t>1999-10-10</t>
        </is>
      </c>
      <c r="V275" t="inlineStr">
        <is>
          <t>1999-10-10</t>
        </is>
      </c>
      <c r="W275" t="inlineStr">
        <is>
          <t>1994-04-05</t>
        </is>
      </c>
      <c r="X275" t="inlineStr">
        <is>
          <t>1994-04-05</t>
        </is>
      </c>
      <c r="Y275" t="n">
        <v>155</v>
      </c>
      <c r="Z275" t="n">
        <v>90</v>
      </c>
      <c r="AA275" t="n">
        <v>90</v>
      </c>
      <c r="AB275" t="n">
        <v>1</v>
      </c>
      <c r="AC275" t="n">
        <v>1</v>
      </c>
      <c r="AD275" t="n">
        <v>1</v>
      </c>
      <c r="AE275" t="n">
        <v>1</v>
      </c>
      <c r="AF275" t="n">
        <v>0</v>
      </c>
      <c r="AG275" t="n">
        <v>0</v>
      </c>
      <c r="AH275" t="n">
        <v>1</v>
      </c>
      <c r="AI275" t="n">
        <v>1</v>
      </c>
      <c r="AJ275" t="n">
        <v>0</v>
      </c>
      <c r="AK275" t="n">
        <v>0</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HYPERLINK("https://creighton-primo.hosted.exlibrisgroup.com/primo-explore/search?tab=default_tab&amp;search_scope=EVERYTHING&amp;vid=01CRU&amp;lang=en_US&amp;offset=0&amp;query=any,contains,991000669159702656","Catalog Record")</f>
        <v/>
      </c>
      <c r="AT275">
        <f>HYPERLINK("http://www.worldcat.org/oclc/26504556","WorldCat Record")</f>
        <v/>
      </c>
      <c r="AU275" t="inlineStr">
        <is>
          <t>806987610:eng</t>
        </is>
      </c>
      <c r="AV275" t="inlineStr">
        <is>
          <t>26504556</t>
        </is>
      </c>
      <c r="AW275" t="inlineStr">
        <is>
          <t>991000669159702656</t>
        </is>
      </c>
      <c r="AX275" t="inlineStr">
        <is>
          <t>991000669159702656</t>
        </is>
      </c>
      <c r="AY275" t="inlineStr">
        <is>
          <t>2254733320002656</t>
        </is>
      </c>
      <c r="AZ275" t="inlineStr">
        <is>
          <t>BOOK</t>
        </is>
      </c>
      <c r="BB275" t="inlineStr">
        <is>
          <t>9780199633692</t>
        </is>
      </c>
      <c r="BC275" t="inlineStr">
        <is>
          <t>30001002695635</t>
        </is>
      </c>
      <c r="BD275" t="inlineStr">
        <is>
          <t>893730912</t>
        </is>
      </c>
    </row>
    <row r="276">
      <c r="A276" t="inlineStr">
        <is>
          <t>No</t>
        </is>
      </c>
      <c r="B276" t="inlineStr">
        <is>
          <t>QZ 200 T925 1979</t>
        </is>
      </c>
      <c r="C276" t="inlineStr">
        <is>
          <t>0                      QZ 0200000T  925         1979</t>
        </is>
      </c>
      <c r="D276" t="inlineStr">
        <is>
          <t>Tumor blood circulation : angiogenesis, vascular morphology, and blood flow of experimental and human tumors / editor, Hans-Inge Peterson.</t>
        </is>
      </c>
      <c r="F276" t="inlineStr">
        <is>
          <t>No</t>
        </is>
      </c>
      <c r="G276" t="inlineStr">
        <is>
          <t>1</t>
        </is>
      </c>
      <c r="H276" t="inlineStr">
        <is>
          <t>No</t>
        </is>
      </c>
      <c r="I276" t="inlineStr">
        <is>
          <t>No</t>
        </is>
      </c>
      <c r="J276" t="inlineStr">
        <is>
          <t>0</t>
        </is>
      </c>
      <c r="L276" t="inlineStr">
        <is>
          <t>Boca Raton, Fla. : CRC Press, c1979.</t>
        </is>
      </c>
      <c r="M276" t="inlineStr">
        <is>
          <t>1979</t>
        </is>
      </c>
      <c r="O276" t="inlineStr">
        <is>
          <t>eng</t>
        </is>
      </c>
      <c r="P276" t="inlineStr">
        <is>
          <t>flu</t>
        </is>
      </c>
      <c r="R276" t="inlineStr">
        <is>
          <t xml:space="preserve">QZ </t>
        </is>
      </c>
      <c r="S276" t="n">
        <v>3</v>
      </c>
      <c r="T276" t="n">
        <v>3</v>
      </c>
      <c r="U276" t="inlineStr">
        <is>
          <t>2000-05-03</t>
        </is>
      </c>
      <c r="V276" t="inlineStr">
        <is>
          <t>2000-05-03</t>
        </is>
      </c>
      <c r="W276" t="inlineStr">
        <is>
          <t>1989-01-14</t>
        </is>
      </c>
      <c r="X276" t="inlineStr">
        <is>
          <t>1989-01-14</t>
        </is>
      </c>
      <c r="Y276" t="n">
        <v>138</v>
      </c>
      <c r="Z276" t="n">
        <v>92</v>
      </c>
      <c r="AA276" t="n">
        <v>112</v>
      </c>
      <c r="AB276" t="n">
        <v>2</v>
      </c>
      <c r="AC276" t="n">
        <v>2</v>
      </c>
      <c r="AD276" t="n">
        <v>1</v>
      </c>
      <c r="AE276" t="n">
        <v>1</v>
      </c>
      <c r="AF276" t="n">
        <v>0</v>
      </c>
      <c r="AG276" t="n">
        <v>0</v>
      </c>
      <c r="AH276" t="n">
        <v>0</v>
      </c>
      <c r="AI276" t="n">
        <v>0</v>
      </c>
      <c r="AJ276" t="n">
        <v>0</v>
      </c>
      <c r="AK276" t="n">
        <v>0</v>
      </c>
      <c r="AL276" t="n">
        <v>1</v>
      </c>
      <c r="AM276" t="n">
        <v>1</v>
      </c>
      <c r="AN276" t="n">
        <v>0</v>
      </c>
      <c r="AO276" t="n">
        <v>0</v>
      </c>
      <c r="AP276" t="inlineStr">
        <is>
          <t>No</t>
        </is>
      </c>
      <c r="AQ276" t="inlineStr">
        <is>
          <t>Yes</t>
        </is>
      </c>
      <c r="AR276">
        <f>HYPERLINK("http://catalog.hathitrust.org/Record/000737161","HathiTrust Record")</f>
        <v/>
      </c>
      <c r="AS276">
        <f>HYPERLINK("https://creighton-primo.hosted.exlibrisgroup.com/primo-explore/search?tab=default_tab&amp;search_scope=EVERYTHING&amp;vid=01CRU&amp;lang=en_US&amp;offset=0&amp;query=any,contains,991000492169702656","Catalog Record")</f>
        <v/>
      </c>
      <c r="AT276">
        <f>HYPERLINK("http://www.worldcat.org/oclc/4549839","WorldCat Record")</f>
        <v/>
      </c>
      <c r="AU276" t="inlineStr">
        <is>
          <t>899852821:eng</t>
        </is>
      </c>
      <c r="AV276" t="inlineStr">
        <is>
          <t>4549839</t>
        </is>
      </c>
      <c r="AW276" t="inlineStr">
        <is>
          <t>991000492169702656</t>
        </is>
      </c>
      <c r="AX276" t="inlineStr">
        <is>
          <t>991000492169702656</t>
        </is>
      </c>
      <c r="AY276" t="inlineStr">
        <is>
          <t>2272565470002656</t>
        </is>
      </c>
      <c r="AZ276" t="inlineStr">
        <is>
          <t>BOOK</t>
        </is>
      </c>
      <c r="BB276" t="inlineStr">
        <is>
          <t>9780849356957</t>
        </is>
      </c>
      <c r="BC276" t="inlineStr">
        <is>
          <t>30001000263253</t>
        </is>
      </c>
      <c r="BD276" t="inlineStr">
        <is>
          <t>893163881</t>
        </is>
      </c>
    </row>
    <row r="277">
      <c r="A277" t="inlineStr">
        <is>
          <t>No</t>
        </is>
      </c>
      <c r="B277" t="inlineStr">
        <is>
          <t>QZ 200 U64a fasc.1 1967</t>
        </is>
      </c>
      <c r="C277" t="inlineStr">
        <is>
          <t>0                      QZ 0200000U  64a                                                     fasc.1 1967</t>
        </is>
      </c>
      <c r="D277" t="inlineStr">
        <is>
          <t>Tumors of the soft tissues / by Arthur Purdy Stout and Raffaele Lattes.</t>
        </is>
      </c>
      <c r="E277" t="inlineStr">
        <is>
          <t>fasc.1 1967*</t>
        </is>
      </c>
      <c r="F277" t="inlineStr">
        <is>
          <t>No</t>
        </is>
      </c>
      <c r="G277" t="inlineStr">
        <is>
          <t>1</t>
        </is>
      </c>
      <c r="H277" t="inlineStr">
        <is>
          <t>No</t>
        </is>
      </c>
      <c r="I277" t="inlineStr">
        <is>
          <t>No</t>
        </is>
      </c>
      <c r="J277" t="inlineStr">
        <is>
          <t>0</t>
        </is>
      </c>
      <c r="K277" t="inlineStr">
        <is>
          <t>Stout, Arthur Purdy, 1885-1967.</t>
        </is>
      </c>
      <c r="L277" t="inlineStr">
        <is>
          <t>Washington : Armed Forces Institute of Pathology, 1967.</t>
        </is>
      </c>
      <c r="M277" t="inlineStr">
        <is>
          <t>1967</t>
        </is>
      </c>
      <c r="O277" t="inlineStr">
        <is>
          <t>eng</t>
        </is>
      </c>
      <c r="P277" t="inlineStr">
        <is>
          <t>dcu</t>
        </is>
      </c>
      <c r="Q277" t="inlineStr">
        <is>
          <t>Universities associated for research and education in pathology. Atlas of tumor pathology, second series, fasc. 1</t>
        </is>
      </c>
      <c r="R277" t="inlineStr">
        <is>
          <t xml:space="preserve">QZ </t>
        </is>
      </c>
      <c r="S277" t="n">
        <v>9</v>
      </c>
      <c r="T277" t="n">
        <v>9</v>
      </c>
      <c r="U277" t="inlineStr">
        <is>
          <t>1994-11-16</t>
        </is>
      </c>
      <c r="V277" t="inlineStr">
        <is>
          <t>1994-11-16</t>
        </is>
      </c>
      <c r="W277" t="inlineStr">
        <is>
          <t>1988-02-19</t>
        </is>
      </c>
      <c r="X277" t="inlineStr">
        <is>
          <t>1988-02-19</t>
        </is>
      </c>
      <c r="Y277" t="n">
        <v>193</v>
      </c>
      <c r="Z277" t="n">
        <v>125</v>
      </c>
      <c r="AA277" t="n">
        <v>125</v>
      </c>
      <c r="AB277" t="n">
        <v>2</v>
      </c>
      <c r="AC277" t="n">
        <v>2</v>
      </c>
      <c r="AD277" t="n">
        <v>5</v>
      </c>
      <c r="AE277" t="n">
        <v>5</v>
      </c>
      <c r="AF277" t="n">
        <v>0</v>
      </c>
      <c r="AG277" t="n">
        <v>0</v>
      </c>
      <c r="AH277" t="n">
        <v>1</v>
      </c>
      <c r="AI277" t="n">
        <v>1</v>
      </c>
      <c r="AJ277" t="n">
        <v>4</v>
      </c>
      <c r="AK277" t="n">
        <v>4</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HYPERLINK("https://creighton-primo.hosted.exlibrisgroup.com/primo-explore/search?tab=default_tab&amp;search_scope=EVERYTHING&amp;vid=01CRU&amp;lang=en_US&amp;offset=0&amp;query=any,contains,991001091509702656","Catalog Record")</f>
        <v/>
      </c>
      <c r="AT277">
        <f>HYPERLINK("http://www.worldcat.org/oclc/147754","WorldCat Record")</f>
        <v/>
      </c>
      <c r="AU277" t="inlineStr">
        <is>
          <t>5609111911:eng</t>
        </is>
      </c>
      <c r="AV277" t="inlineStr">
        <is>
          <t>147754</t>
        </is>
      </c>
      <c r="AW277" t="inlineStr">
        <is>
          <t>991001091509702656</t>
        </is>
      </c>
      <c r="AX277" t="inlineStr">
        <is>
          <t>991001091509702656</t>
        </is>
      </c>
      <c r="AY277" t="inlineStr">
        <is>
          <t>2258999110002656</t>
        </is>
      </c>
      <c r="AZ277" t="inlineStr">
        <is>
          <t>BOOK</t>
        </is>
      </c>
      <c r="BC277" t="inlineStr">
        <is>
          <t>30001000263022</t>
        </is>
      </c>
      <c r="BD277" t="inlineStr">
        <is>
          <t>893161673</t>
        </is>
      </c>
    </row>
    <row r="278">
      <c r="A278" t="inlineStr">
        <is>
          <t>No</t>
        </is>
      </c>
      <c r="B278" t="inlineStr">
        <is>
          <t>QZ 200 U64a 1990 fasc.27</t>
        </is>
      </c>
      <c r="C278" t="inlineStr">
        <is>
          <t>0                      QZ 0200000U  64a         1990                                        fasc.27</t>
        </is>
      </c>
      <c r="D278" t="inlineStr">
        <is>
          <t>Tumors of the intestines / by Cecilia M. Fenoglio-Preiser, Robert R. Pascal, and Karl H. Perzin.</t>
        </is>
      </c>
      <c r="E278" t="inlineStr">
        <is>
          <t>fasc.27*</t>
        </is>
      </c>
      <c r="F278" t="inlineStr">
        <is>
          <t>No</t>
        </is>
      </c>
      <c r="G278" t="inlineStr">
        <is>
          <t>1</t>
        </is>
      </c>
      <c r="H278" t="inlineStr">
        <is>
          <t>No</t>
        </is>
      </c>
      <c r="I278" t="inlineStr">
        <is>
          <t>No</t>
        </is>
      </c>
      <c r="J278" t="inlineStr">
        <is>
          <t>0</t>
        </is>
      </c>
      <c r="K278" t="inlineStr">
        <is>
          <t>Fenoglio-Preiser, Cecilia M., 1943-</t>
        </is>
      </c>
      <c r="L278" t="inlineStr">
        <is>
          <t>Washington, D.C. : Published by the Armed Forces Institute of Pathology under the auspices of Universities Associated for Research and Education in Pathology, Inc., Bethesda, Md., 1990.</t>
        </is>
      </c>
      <c r="M278" t="inlineStr">
        <is>
          <t>1990</t>
        </is>
      </c>
      <c r="O278" t="inlineStr">
        <is>
          <t>eng</t>
        </is>
      </c>
      <c r="P278" t="inlineStr">
        <is>
          <t>xxu</t>
        </is>
      </c>
      <c r="Q278" t="inlineStr">
        <is>
          <t>Atlas of tumor pathology. Second series, 0160-6344 ; fasc. 27</t>
        </is>
      </c>
      <c r="R278" t="inlineStr">
        <is>
          <t xml:space="preserve">QZ </t>
        </is>
      </c>
      <c r="S278" t="n">
        <v>4</v>
      </c>
      <c r="T278" t="n">
        <v>4</v>
      </c>
      <c r="U278" t="inlineStr">
        <is>
          <t>1992-08-31</t>
        </is>
      </c>
      <c r="V278" t="inlineStr">
        <is>
          <t>1992-08-31</t>
        </is>
      </c>
      <c r="W278" t="inlineStr">
        <is>
          <t>1992-08-31</t>
        </is>
      </c>
      <c r="X278" t="inlineStr">
        <is>
          <t>1992-08-31</t>
        </is>
      </c>
      <c r="Y278" t="n">
        <v>198</v>
      </c>
      <c r="Z278" t="n">
        <v>168</v>
      </c>
      <c r="AA278" t="n">
        <v>175</v>
      </c>
      <c r="AB278" t="n">
        <v>1</v>
      </c>
      <c r="AC278" t="n">
        <v>1</v>
      </c>
      <c r="AD278" t="n">
        <v>2</v>
      </c>
      <c r="AE278" t="n">
        <v>2</v>
      </c>
      <c r="AF278" t="n">
        <v>0</v>
      </c>
      <c r="AG278" t="n">
        <v>0</v>
      </c>
      <c r="AH278" t="n">
        <v>0</v>
      </c>
      <c r="AI278" t="n">
        <v>0</v>
      </c>
      <c r="AJ278" t="n">
        <v>2</v>
      </c>
      <c r="AK278" t="n">
        <v>2</v>
      </c>
      <c r="AL278" t="n">
        <v>0</v>
      </c>
      <c r="AM278" t="n">
        <v>0</v>
      </c>
      <c r="AN278" t="n">
        <v>0</v>
      </c>
      <c r="AO278" t="n">
        <v>0</v>
      </c>
      <c r="AP278" t="inlineStr">
        <is>
          <t>Yes</t>
        </is>
      </c>
      <c r="AQ278" t="inlineStr">
        <is>
          <t>No</t>
        </is>
      </c>
      <c r="AR278">
        <f>HYPERLINK("http://catalog.hathitrust.org/Record/102029132","HathiTrust Record")</f>
        <v/>
      </c>
      <c r="AS278">
        <f>HYPERLINK("https://creighton-primo.hosted.exlibrisgroup.com/primo-explore/search?tab=default_tab&amp;search_scope=EVERYTHING&amp;vid=01CRU&amp;lang=en_US&amp;offset=0&amp;query=any,contains,991001343559702656","Catalog Record")</f>
        <v/>
      </c>
      <c r="AT278">
        <f>HYPERLINK("http://www.worldcat.org/oclc/24797807","WorldCat Record")</f>
        <v/>
      </c>
      <c r="AU278" t="inlineStr">
        <is>
          <t>43362292:eng</t>
        </is>
      </c>
      <c r="AV278" t="inlineStr">
        <is>
          <t>24797807</t>
        </is>
      </c>
      <c r="AW278" t="inlineStr">
        <is>
          <t>991001343559702656</t>
        </is>
      </c>
      <c r="AX278" t="inlineStr">
        <is>
          <t>991001343559702656</t>
        </is>
      </c>
      <c r="AY278" t="inlineStr">
        <is>
          <t>2260913470002656</t>
        </is>
      </c>
      <c r="AZ278" t="inlineStr">
        <is>
          <t>BOOK</t>
        </is>
      </c>
      <c r="BC278" t="inlineStr">
        <is>
          <t>30001002456434</t>
        </is>
      </c>
      <c r="BD278" t="inlineStr">
        <is>
          <t>893826666</t>
        </is>
      </c>
    </row>
    <row r="279">
      <c r="A279" t="inlineStr">
        <is>
          <t>No</t>
        </is>
      </c>
      <c r="B279" t="inlineStr">
        <is>
          <t>QZ 200 U64b 1991 fasc.1</t>
        </is>
      </c>
      <c r="C279" t="inlineStr">
        <is>
          <t>0                      QZ 0200000U  64b         1991                                        fasc.1</t>
        </is>
      </c>
      <c r="D279" t="inlineStr">
        <is>
          <t>Non-melanocytic tumors of the skin / by George F. Murphy and David E. Elder.</t>
        </is>
      </c>
      <c r="E279" t="inlineStr">
        <is>
          <t>fasc.1*</t>
        </is>
      </c>
      <c r="F279" t="inlineStr">
        <is>
          <t>No</t>
        </is>
      </c>
      <c r="G279" t="inlineStr">
        <is>
          <t>1</t>
        </is>
      </c>
      <c r="H279" t="inlineStr">
        <is>
          <t>No</t>
        </is>
      </c>
      <c r="I279" t="inlineStr">
        <is>
          <t>No</t>
        </is>
      </c>
      <c r="J279" t="inlineStr">
        <is>
          <t>0</t>
        </is>
      </c>
      <c r="K279" t="inlineStr">
        <is>
          <t>Murphy, George F. (George Francis), 1950-</t>
        </is>
      </c>
      <c r="L279" t="inlineStr">
        <is>
          <t>Washington, D.C. : Armed Forces Institute of Pathology : [Supt. of Docs., U.S.G.P.O., distributor], 1991.</t>
        </is>
      </c>
      <c r="M279" t="inlineStr">
        <is>
          <t>1991</t>
        </is>
      </c>
      <c r="O279" t="inlineStr">
        <is>
          <t>eng</t>
        </is>
      </c>
      <c r="P279" t="inlineStr">
        <is>
          <t>dcu</t>
        </is>
      </c>
      <c r="Q279" t="inlineStr">
        <is>
          <t>Atlas of tumor pathology, 0160-6344 ; 3rd ser., fasc. 1</t>
        </is>
      </c>
      <c r="R279" t="inlineStr">
        <is>
          <t xml:space="preserve">QZ </t>
        </is>
      </c>
      <c r="S279" t="n">
        <v>2</v>
      </c>
      <c r="T279" t="n">
        <v>2</v>
      </c>
      <c r="U279" t="inlineStr">
        <is>
          <t>1992-08-31</t>
        </is>
      </c>
      <c r="V279" t="inlineStr">
        <is>
          <t>1992-08-31</t>
        </is>
      </c>
      <c r="W279" t="inlineStr">
        <is>
          <t>1992-08-31</t>
        </is>
      </c>
      <c r="X279" t="inlineStr">
        <is>
          <t>1992-08-31</t>
        </is>
      </c>
      <c r="Y279" t="n">
        <v>229</v>
      </c>
      <c r="Z279" t="n">
        <v>185</v>
      </c>
      <c r="AA279" t="n">
        <v>194</v>
      </c>
      <c r="AB279" t="n">
        <v>1</v>
      </c>
      <c r="AC279" t="n">
        <v>1</v>
      </c>
      <c r="AD279" t="n">
        <v>1</v>
      </c>
      <c r="AE279" t="n">
        <v>1</v>
      </c>
      <c r="AF279" t="n">
        <v>0</v>
      </c>
      <c r="AG279" t="n">
        <v>0</v>
      </c>
      <c r="AH279" t="n">
        <v>0</v>
      </c>
      <c r="AI279" t="n">
        <v>0</v>
      </c>
      <c r="AJ279" t="n">
        <v>1</v>
      </c>
      <c r="AK279" t="n">
        <v>1</v>
      </c>
      <c r="AL279" t="n">
        <v>0</v>
      </c>
      <c r="AM279" t="n">
        <v>0</v>
      </c>
      <c r="AN279" t="n">
        <v>0</v>
      </c>
      <c r="AO279" t="n">
        <v>0</v>
      </c>
      <c r="AP279" t="inlineStr">
        <is>
          <t>Yes</t>
        </is>
      </c>
      <c r="AQ279" t="inlineStr">
        <is>
          <t>No</t>
        </is>
      </c>
      <c r="AR279">
        <f>HYPERLINK("http://catalog.hathitrust.org/Record/002874728","HathiTrust Record")</f>
        <v/>
      </c>
      <c r="AS279">
        <f>HYPERLINK("https://creighton-primo.hosted.exlibrisgroup.com/primo-explore/search?tab=default_tab&amp;search_scope=EVERYTHING&amp;vid=01CRU&amp;lang=en_US&amp;offset=0&amp;query=any,contains,991001344099702656","Catalog Record")</f>
        <v/>
      </c>
      <c r="AT279">
        <f>HYPERLINK("http://www.worldcat.org/oclc/25234502","WorldCat Record")</f>
        <v/>
      </c>
      <c r="AU279" t="inlineStr">
        <is>
          <t>3856988825:eng</t>
        </is>
      </c>
      <c r="AV279" t="inlineStr">
        <is>
          <t>25234502</t>
        </is>
      </c>
      <c r="AW279" t="inlineStr">
        <is>
          <t>991001344099702656</t>
        </is>
      </c>
      <c r="AX279" t="inlineStr">
        <is>
          <t>991001344099702656</t>
        </is>
      </c>
      <c r="AY279" t="inlineStr">
        <is>
          <t>2254858870002656</t>
        </is>
      </c>
      <c r="AZ279" t="inlineStr">
        <is>
          <t>BOOK</t>
        </is>
      </c>
      <c r="BC279" t="inlineStr">
        <is>
          <t>30001002456475</t>
        </is>
      </c>
      <c r="BD279" t="inlineStr">
        <is>
          <t>893552380</t>
        </is>
      </c>
    </row>
    <row r="280">
      <c r="A280" t="inlineStr">
        <is>
          <t>No</t>
        </is>
      </c>
      <c r="B280" t="inlineStr">
        <is>
          <t>QZ 200 U64b 1991 fasc.2</t>
        </is>
      </c>
      <c r="C280" t="inlineStr">
        <is>
          <t>0                      QZ 0200000U  64b         1991                                        fasc.2</t>
        </is>
      </c>
      <c r="D280" t="inlineStr">
        <is>
          <t>Melanocytic tumors of the skin / by David E. Elder and George F. Murphy.</t>
        </is>
      </c>
      <c r="E280" t="inlineStr">
        <is>
          <t>fasc.2*</t>
        </is>
      </c>
      <c r="F280" t="inlineStr">
        <is>
          <t>No</t>
        </is>
      </c>
      <c r="G280" t="inlineStr">
        <is>
          <t>1</t>
        </is>
      </c>
      <c r="H280" t="inlineStr">
        <is>
          <t>No</t>
        </is>
      </c>
      <c r="I280" t="inlineStr">
        <is>
          <t>No</t>
        </is>
      </c>
      <c r="J280" t="inlineStr">
        <is>
          <t>0</t>
        </is>
      </c>
      <c r="K280" t="inlineStr">
        <is>
          <t>Elder, David E.</t>
        </is>
      </c>
      <c r="L280" t="inlineStr">
        <is>
          <t>Washington : Armed Forces Institute of Pathology ; under the auspices of Universities Associated for Research and Education in Pathology, 1991.</t>
        </is>
      </c>
      <c r="M280" t="inlineStr">
        <is>
          <t>1991</t>
        </is>
      </c>
      <c r="O280" t="inlineStr">
        <is>
          <t>eng</t>
        </is>
      </c>
      <c r="P280" t="inlineStr">
        <is>
          <t>dcu</t>
        </is>
      </c>
      <c r="Q280" t="inlineStr">
        <is>
          <t>Atlas of tumor pathology, 0160-6344 ; 3rd ser., fasc. 2</t>
        </is>
      </c>
      <c r="R280" t="inlineStr">
        <is>
          <t xml:space="preserve">QZ </t>
        </is>
      </c>
      <c r="S280" t="n">
        <v>3</v>
      </c>
      <c r="T280" t="n">
        <v>3</v>
      </c>
      <c r="U280" t="inlineStr">
        <is>
          <t>1999-09-18</t>
        </is>
      </c>
      <c r="V280" t="inlineStr">
        <is>
          <t>1999-09-18</t>
        </is>
      </c>
      <c r="W280" t="inlineStr">
        <is>
          <t>1992-08-31</t>
        </is>
      </c>
      <c r="X280" t="inlineStr">
        <is>
          <t>1992-08-31</t>
        </is>
      </c>
      <c r="Y280" t="n">
        <v>219</v>
      </c>
      <c r="Z280" t="n">
        <v>180</v>
      </c>
      <c r="AA280" t="n">
        <v>207</v>
      </c>
      <c r="AB280" t="n">
        <v>1</v>
      </c>
      <c r="AC280" t="n">
        <v>1</v>
      </c>
      <c r="AD280" t="n">
        <v>1</v>
      </c>
      <c r="AE280" t="n">
        <v>1</v>
      </c>
      <c r="AF280" t="n">
        <v>0</v>
      </c>
      <c r="AG280" t="n">
        <v>0</v>
      </c>
      <c r="AH280" t="n">
        <v>0</v>
      </c>
      <c r="AI280" t="n">
        <v>0</v>
      </c>
      <c r="AJ280" t="n">
        <v>1</v>
      </c>
      <c r="AK280" t="n">
        <v>1</v>
      </c>
      <c r="AL280" t="n">
        <v>0</v>
      </c>
      <c r="AM280" t="n">
        <v>0</v>
      </c>
      <c r="AN280" t="n">
        <v>0</v>
      </c>
      <c r="AO280" t="n">
        <v>0</v>
      </c>
      <c r="AP280" t="inlineStr">
        <is>
          <t>Yes</t>
        </is>
      </c>
      <c r="AQ280" t="inlineStr">
        <is>
          <t>No</t>
        </is>
      </c>
      <c r="AR280">
        <f>HYPERLINK("http://catalog.hathitrust.org/Record/003011413","HathiTrust Record")</f>
        <v/>
      </c>
      <c r="AS280">
        <f>HYPERLINK("https://creighton-primo.hosted.exlibrisgroup.com/primo-explore/search?tab=default_tab&amp;search_scope=EVERYTHING&amp;vid=01CRU&amp;lang=en_US&amp;offset=0&amp;query=any,contains,991001343849702656","Catalog Record")</f>
        <v/>
      </c>
      <c r="AT280">
        <f>HYPERLINK("http://www.worldcat.org/oclc/25287786","WorldCat Record")</f>
        <v/>
      </c>
      <c r="AU280" t="inlineStr">
        <is>
          <t>25711250:eng</t>
        </is>
      </c>
      <c r="AV280" t="inlineStr">
        <is>
          <t>25287786</t>
        </is>
      </c>
      <c r="AW280" t="inlineStr">
        <is>
          <t>991001343849702656</t>
        </is>
      </c>
      <c r="AX280" t="inlineStr">
        <is>
          <t>991001343849702656</t>
        </is>
      </c>
      <c r="AY280" t="inlineStr">
        <is>
          <t>2269332660002656</t>
        </is>
      </c>
      <c r="AZ280" t="inlineStr">
        <is>
          <t>BOOK</t>
        </is>
      </c>
      <c r="BC280" t="inlineStr">
        <is>
          <t>30001002456459</t>
        </is>
      </c>
      <c r="BD280" t="inlineStr">
        <is>
          <t>893816317</t>
        </is>
      </c>
    </row>
    <row r="281">
      <c r="A281" t="inlineStr">
        <is>
          <t>No</t>
        </is>
      </c>
      <c r="B281" t="inlineStr">
        <is>
          <t>QZ 200 W7205c 1990</t>
        </is>
      </c>
      <c r="C281" t="inlineStr">
        <is>
          <t>0                      QZ 0200000W  7205c       1990</t>
        </is>
      </c>
      <c r="D281" t="inlineStr">
        <is>
          <t>Cancer biology and management : an introduction / C.J. Williams ; with contributions by N.R. Dennis ... [et al.].</t>
        </is>
      </c>
      <c r="F281" t="inlineStr">
        <is>
          <t>No</t>
        </is>
      </c>
      <c r="G281" t="inlineStr">
        <is>
          <t>1</t>
        </is>
      </c>
      <c r="H281" t="inlineStr">
        <is>
          <t>No</t>
        </is>
      </c>
      <c r="I281" t="inlineStr">
        <is>
          <t>No</t>
        </is>
      </c>
      <c r="J281" t="inlineStr">
        <is>
          <t>0</t>
        </is>
      </c>
      <c r="K281" t="inlineStr">
        <is>
          <t>Williams, C. J. (Christopher John Hacon)</t>
        </is>
      </c>
      <c r="L281" t="inlineStr">
        <is>
          <t>Chichester ; New York : Wiley, c1990.</t>
        </is>
      </c>
      <c r="M281" t="inlineStr">
        <is>
          <t>1990</t>
        </is>
      </c>
      <c r="O281" t="inlineStr">
        <is>
          <t>eng</t>
        </is>
      </c>
      <c r="P281" t="inlineStr">
        <is>
          <t>enk</t>
        </is>
      </c>
      <c r="R281" t="inlineStr">
        <is>
          <t xml:space="preserve">QZ </t>
        </is>
      </c>
      <c r="S281" t="n">
        <v>9</v>
      </c>
      <c r="T281" t="n">
        <v>9</v>
      </c>
      <c r="U281" t="inlineStr">
        <is>
          <t>1998-10-10</t>
        </is>
      </c>
      <c r="V281" t="inlineStr">
        <is>
          <t>1998-10-10</t>
        </is>
      </c>
      <c r="W281" t="inlineStr">
        <is>
          <t>1990-09-19</t>
        </is>
      </c>
      <c r="X281" t="inlineStr">
        <is>
          <t>1990-09-19</t>
        </is>
      </c>
      <c r="Y281" t="n">
        <v>107</v>
      </c>
      <c r="Z281" t="n">
        <v>66</v>
      </c>
      <c r="AA281" t="n">
        <v>74</v>
      </c>
      <c r="AB281" t="n">
        <v>1</v>
      </c>
      <c r="AC281" t="n">
        <v>1</v>
      </c>
      <c r="AD281" t="n">
        <v>0</v>
      </c>
      <c r="AE281" t="n">
        <v>0</v>
      </c>
      <c r="AF281" t="n">
        <v>0</v>
      </c>
      <c r="AG281" t="n">
        <v>0</v>
      </c>
      <c r="AH281" t="n">
        <v>0</v>
      </c>
      <c r="AI281" t="n">
        <v>0</v>
      </c>
      <c r="AJ281" t="n">
        <v>0</v>
      </c>
      <c r="AK281" t="n">
        <v>0</v>
      </c>
      <c r="AL281" t="n">
        <v>0</v>
      </c>
      <c r="AM281" t="n">
        <v>0</v>
      </c>
      <c r="AN281" t="n">
        <v>0</v>
      </c>
      <c r="AO281" t="n">
        <v>0</v>
      </c>
      <c r="AP281" t="inlineStr">
        <is>
          <t>No</t>
        </is>
      </c>
      <c r="AQ281" t="inlineStr">
        <is>
          <t>Yes</t>
        </is>
      </c>
      <c r="AR281">
        <f>HYPERLINK("http://catalog.hathitrust.org/Record/002234940","HathiTrust Record")</f>
        <v/>
      </c>
      <c r="AS281">
        <f>HYPERLINK("https://creighton-primo.hosted.exlibrisgroup.com/primo-explore/search?tab=default_tab&amp;search_scope=EVERYTHING&amp;vid=01CRU&amp;lang=en_US&amp;offset=0&amp;query=any,contains,991001454529702656","Catalog Record")</f>
        <v/>
      </c>
      <c r="AT281">
        <f>HYPERLINK("http://www.worldcat.org/oclc/20088063","WorldCat Record")</f>
        <v/>
      </c>
      <c r="AU281" t="inlineStr">
        <is>
          <t>11795554:eng</t>
        </is>
      </c>
      <c r="AV281" t="inlineStr">
        <is>
          <t>20088063</t>
        </is>
      </c>
      <c r="AW281" t="inlineStr">
        <is>
          <t>991001454529702656</t>
        </is>
      </c>
      <c r="AX281" t="inlineStr">
        <is>
          <t>991001454529702656</t>
        </is>
      </c>
      <c r="AY281" t="inlineStr">
        <is>
          <t>2260610790002656</t>
        </is>
      </c>
      <c r="AZ281" t="inlineStr">
        <is>
          <t>BOOK</t>
        </is>
      </c>
      <c r="BB281" t="inlineStr">
        <is>
          <t>9780471917816</t>
        </is>
      </c>
      <c r="BC281" t="inlineStr">
        <is>
          <t>30001001884537</t>
        </is>
      </c>
      <c r="BD281" t="inlineStr">
        <is>
          <t>893638330</t>
        </is>
      </c>
    </row>
    <row r="282">
      <c r="A282" t="inlineStr">
        <is>
          <t>No</t>
        </is>
      </c>
      <c r="B282" t="inlineStr">
        <is>
          <t>QZ 200 W9269 2003</t>
        </is>
      </c>
      <c r="C282" t="inlineStr">
        <is>
          <t>0                      QZ 0200000W  9269        2003</t>
        </is>
      </c>
      <c r="D282" t="inlineStr">
        <is>
          <t>World cancer report / edited by Bernard W. Stewart, Paul Kleihues.</t>
        </is>
      </c>
      <c r="F282" t="inlineStr">
        <is>
          <t>No</t>
        </is>
      </c>
      <c r="G282" t="inlineStr">
        <is>
          <t>1</t>
        </is>
      </c>
      <c r="H282" t="inlineStr">
        <is>
          <t>No</t>
        </is>
      </c>
      <c r="I282" t="inlineStr">
        <is>
          <t>No</t>
        </is>
      </c>
      <c r="J282" t="inlineStr">
        <is>
          <t>0</t>
        </is>
      </c>
      <c r="L282" t="inlineStr">
        <is>
          <t>Lyon : IARC Press, 2003.</t>
        </is>
      </c>
      <c r="M282" t="inlineStr">
        <is>
          <t>2003</t>
        </is>
      </c>
      <c r="O282" t="inlineStr">
        <is>
          <t>eng</t>
        </is>
      </c>
      <c r="P282" t="inlineStr">
        <is>
          <t xml:space="preserve">fr </t>
        </is>
      </c>
      <c r="R282" t="inlineStr">
        <is>
          <t xml:space="preserve">QZ </t>
        </is>
      </c>
      <c r="S282" t="n">
        <v>2</v>
      </c>
      <c r="T282" t="n">
        <v>2</v>
      </c>
      <c r="U282" t="inlineStr">
        <is>
          <t>2009-07-11</t>
        </is>
      </c>
      <c r="V282" t="inlineStr">
        <is>
          <t>2009-07-11</t>
        </is>
      </c>
      <c r="W282" t="inlineStr">
        <is>
          <t>2004-05-19</t>
        </is>
      </c>
      <c r="X282" t="inlineStr">
        <is>
          <t>2004-05-19</t>
        </is>
      </c>
      <c r="Y282" t="n">
        <v>261</v>
      </c>
      <c r="Z282" t="n">
        <v>129</v>
      </c>
      <c r="AA282" t="n">
        <v>140</v>
      </c>
      <c r="AB282" t="n">
        <v>1</v>
      </c>
      <c r="AC282" t="n">
        <v>2</v>
      </c>
      <c r="AD282" t="n">
        <v>5</v>
      </c>
      <c r="AE282" t="n">
        <v>7</v>
      </c>
      <c r="AF282" t="n">
        <v>0</v>
      </c>
      <c r="AG282" t="n">
        <v>1</v>
      </c>
      <c r="AH282" t="n">
        <v>1</v>
      </c>
      <c r="AI282" t="n">
        <v>2</v>
      </c>
      <c r="AJ282" t="n">
        <v>4</v>
      </c>
      <c r="AK282" t="n">
        <v>4</v>
      </c>
      <c r="AL282" t="n">
        <v>0</v>
      </c>
      <c r="AM282" t="n">
        <v>1</v>
      </c>
      <c r="AN282" t="n">
        <v>1</v>
      </c>
      <c r="AO282" t="n">
        <v>1</v>
      </c>
      <c r="AP282" t="inlineStr">
        <is>
          <t>No</t>
        </is>
      </c>
      <c r="AQ282" t="inlineStr">
        <is>
          <t>Yes</t>
        </is>
      </c>
      <c r="AR282">
        <f>HYPERLINK("http://catalog.hathitrust.org/Record/004340165","HathiTrust Record")</f>
        <v/>
      </c>
      <c r="AS282">
        <f>HYPERLINK("https://creighton-primo.hosted.exlibrisgroup.com/primo-explore/search?tab=default_tab&amp;search_scope=EVERYTHING&amp;vid=01CRU&amp;lang=en_US&amp;offset=0&amp;query=any,contains,991000370139702656","Catalog Record")</f>
        <v/>
      </c>
      <c r="AT282">
        <f>HYPERLINK("http://www.worldcat.org/oclc/52122625","WorldCat Record")</f>
        <v/>
      </c>
      <c r="AU282" t="inlineStr">
        <is>
          <t>2864479976:eng</t>
        </is>
      </c>
      <c r="AV282" t="inlineStr">
        <is>
          <t>52122625</t>
        </is>
      </c>
      <c r="AW282" t="inlineStr">
        <is>
          <t>991000370139702656</t>
        </is>
      </c>
      <c r="AX282" t="inlineStr">
        <is>
          <t>991000370139702656</t>
        </is>
      </c>
      <c r="AY282" t="inlineStr">
        <is>
          <t>2263411380002656</t>
        </is>
      </c>
      <c r="AZ282" t="inlineStr">
        <is>
          <t>BOOK</t>
        </is>
      </c>
      <c r="BB282" t="inlineStr">
        <is>
          <t>9789283204114</t>
        </is>
      </c>
      <c r="BC282" t="inlineStr">
        <is>
          <t>30001004218733</t>
        </is>
      </c>
      <c r="BD282" t="inlineStr">
        <is>
          <t>893370426</t>
        </is>
      </c>
    </row>
    <row r="283">
      <c r="A283" t="inlineStr">
        <is>
          <t>No</t>
        </is>
      </c>
      <c r="B283" t="inlineStr">
        <is>
          <t>QZ 201 B725c 1979</t>
        </is>
      </c>
      <c r="C283" t="inlineStr">
        <is>
          <t>0                      QZ 0201000B  725c        1979</t>
        </is>
      </c>
      <c r="D283" t="inlineStr">
        <is>
          <t>The cancer epidemic : shadow of the conquest of nature / by Gotthard Booth.</t>
        </is>
      </c>
      <c r="F283" t="inlineStr">
        <is>
          <t>No</t>
        </is>
      </c>
      <c r="G283" t="inlineStr">
        <is>
          <t>1</t>
        </is>
      </c>
      <c r="H283" t="inlineStr">
        <is>
          <t>No</t>
        </is>
      </c>
      <c r="I283" t="inlineStr">
        <is>
          <t>No</t>
        </is>
      </c>
      <c r="J283" t="inlineStr">
        <is>
          <t>0</t>
        </is>
      </c>
      <c r="K283" t="inlineStr">
        <is>
          <t>Booth, Gotthard.</t>
        </is>
      </c>
      <c r="L283" t="inlineStr">
        <is>
          <t>New York : Edwin Mellen Press, c1979.</t>
        </is>
      </c>
      <c r="M283" t="inlineStr">
        <is>
          <t>1979</t>
        </is>
      </c>
      <c r="O283" t="inlineStr">
        <is>
          <t>eng</t>
        </is>
      </c>
      <c r="P283" t="inlineStr">
        <is>
          <t>nyu</t>
        </is>
      </c>
      <c r="R283" t="inlineStr">
        <is>
          <t xml:space="preserve">QZ </t>
        </is>
      </c>
      <c r="S283" t="n">
        <v>1</v>
      </c>
      <c r="T283" t="n">
        <v>1</v>
      </c>
      <c r="U283" t="inlineStr">
        <is>
          <t>1994-06-07</t>
        </is>
      </c>
      <c r="V283" t="inlineStr">
        <is>
          <t>1994-06-07</t>
        </is>
      </c>
      <c r="W283" t="inlineStr">
        <is>
          <t>1988-02-19</t>
        </is>
      </c>
      <c r="X283" t="inlineStr">
        <is>
          <t>1988-02-19</t>
        </is>
      </c>
      <c r="Y283" t="n">
        <v>126</v>
      </c>
      <c r="Z283" t="n">
        <v>104</v>
      </c>
      <c r="AA283" t="n">
        <v>107</v>
      </c>
      <c r="AB283" t="n">
        <v>1</v>
      </c>
      <c r="AC283" t="n">
        <v>1</v>
      </c>
      <c r="AD283" t="n">
        <v>3</v>
      </c>
      <c r="AE283" t="n">
        <v>3</v>
      </c>
      <c r="AF283" t="n">
        <v>0</v>
      </c>
      <c r="AG283" t="n">
        <v>0</v>
      </c>
      <c r="AH283" t="n">
        <v>1</v>
      </c>
      <c r="AI283" t="n">
        <v>1</v>
      </c>
      <c r="AJ283" t="n">
        <v>2</v>
      </c>
      <c r="AK283" t="n">
        <v>2</v>
      </c>
      <c r="AL283" t="n">
        <v>0</v>
      </c>
      <c r="AM283" t="n">
        <v>0</v>
      </c>
      <c r="AN283" t="n">
        <v>0</v>
      </c>
      <c r="AO283" t="n">
        <v>0</v>
      </c>
      <c r="AP283" t="inlineStr">
        <is>
          <t>No</t>
        </is>
      </c>
      <c r="AQ283" t="inlineStr">
        <is>
          <t>Yes</t>
        </is>
      </c>
      <c r="AR283">
        <f>HYPERLINK("http://catalog.hathitrust.org/Record/006257841","HathiTrust Record")</f>
        <v/>
      </c>
      <c r="AS283">
        <f>HYPERLINK("https://creighton-primo.hosted.exlibrisgroup.com/primo-explore/search?tab=default_tab&amp;search_scope=EVERYTHING&amp;vid=01CRU&amp;lang=en_US&amp;offset=0&amp;query=any,contains,991001092119702656","Catalog Record")</f>
        <v/>
      </c>
      <c r="AT283">
        <f>HYPERLINK("http://www.worldcat.org/oclc/6813592","WorldCat Record")</f>
        <v/>
      </c>
      <c r="AU283" t="inlineStr">
        <is>
          <t>546049:eng</t>
        </is>
      </c>
      <c r="AV283" t="inlineStr">
        <is>
          <t>6813592</t>
        </is>
      </c>
      <c r="AW283" t="inlineStr">
        <is>
          <t>991001092119702656</t>
        </is>
      </c>
      <c r="AX283" t="inlineStr">
        <is>
          <t>991001092119702656</t>
        </is>
      </c>
      <c r="AY283" t="inlineStr">
        <is>
          <t>2260023210002656</t>
        </is>
      </c>
      <c r="AZ283" t="inlineStr">
        <is>
          <t>BOOK</t>
        </is>
      </c>
      <c r="BB283" t="inlineStr">
        <is>
          <t>9780889466258</t>
        </is>
      </c>
      <c r="BC283" t="inlineStr">
        <is>
          <t>30001000263337</t>
        </is>
      </c>
      <c r="BD283" t="inlineStr">
        <is>
          <t>893541007</t>
        </is>
      </c>
    </row>
    <row r="284">
      <c r="A284" t="inlineStr">
        <is>
          <t>No</t>
        </is>
      </c>
      <c r="B284" t="inlineStr">
        <is>
          <t>QZ 201 C776c 1993</t>
        </is>
      </c>
      <c r="C284" t="inlineStr">
        <is>
          <t>0                      QZ 0201000C  776c        1993</t>
        </is>
      </c>
      <c r="D284" t="inlineStr">
        <is>
          <t>The cancer book : a guide to understanding the causes, prevention, and treatment of cancer / Geoffrey M. Cooper.</t>
        </is>
      </c>
      <c r="F284" t="inlineStr">
        <is>
          <t>No</t>
        </is>
      </c>
      <c r="G284" t="inlineStr">
        <is>
          <t>1</t>
        </is>
      </c>
      <c r="H284" t="inlineStr">
        <is>
          <t>No</t>
        </is>
      </c>
      <c r="I284" t="inlineStr">
        <is>
          <t>No</t>
        </is>
      </c>
      <c r="J284" t="inlineStr">
        <is>
          <t>0</t>
        </is>
      </c>
      <c r="K284" t="inlineStr">
        <is>
          <t>Cooper, Geoffrey M.</t>
        </is>
      </c>
      <c r="L284" t="inlineStr">
        <is>
          <t>Boston : Jones and Bartlett, c1993.</t>
        </is>
      </c>
      <c r="M284" t="inlineStr">
        <is>
          <t>1993</t>
        </is>
      </c>
      <c r="O284" t="inlineStr">
        <is>
          <t>eng</t>
        </is>
      </c>
      <c r="P284" t="inlineStr">
        <is>
          <t>mau</t>
        </is>
      </c>
      <c r="R284" t="inlineStr">
        <is>
          <t xml:space="preserve">QZ </t>
        </is>
      </c>
      <c r="S284" t="n">
        <v>13</v>
      </c>
      <c r="T284" t="n">
        <v>13</v>
      </c>
      <c r="U284" t="inlineStr">
        <is>
          <t>1999-08-24</t>
        </is>
      </c>
      <c r="V284" t="inlineStr">
        <is>
          <t>1999-08-24</t>
        </is>
      </c>
      <c r="W284" t="inlineStr">
        <is>
          <t>1993-08-31</t>
        </is>
      </c>
      <c r="X284" t="inlineStr">
        <is>
          <t>1993-08-31</t>
        </is>
      </c>
      <c r="Y284" t="n">
        <v>231</v>
      </c>
      <c r="Z284" t="n">
        <v>193</v>
      </c>
      <c r="AA284" t="n">
        <v>193</v>
      </c>
      <c r="AB284" t="n">
        <v>1</v>
      </c>
      <c r="AC284" t="n">
        <v>1</v>
      </c>
      <c r="AD284" t="n">
        <v>3</v>
      </c>
      <c r="AE284" t="n">
        <v>3</v>
      </c>
      <c r="AF284" t="n">
        <v>2</v>
      </c>
      <c r="AG284" t="n">
        <v>2</v>
      </c>
      <c r="AH284" t="n">
        <v>2</v>
      </c>
      <c r="AI284" t="n">
        <v>2</v>
      </c>
      <c r="AJ284" t="n">
        <v>2</v>
      </c>
      <c r="AK284" t="n">
        <v>2</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HYPERLINK("https://creighton-primo.hosted.exlibrisgroup.com/primo-explore/search?tab=default_tab&amp;search_scope=EVERYTHING&amp;vid=01CRU&amp;lang=en_US&amp;offset=0&amp;query=any,contains,991001512729702656","Catalog Record")</f>
        <v/>
      </c>
      <c r="AT284">
        <f>HYPERLINK("http://www.worldcat.org/oclc/27430365","WorldCat Record")</f>
        <v/>
      </c>
      <c r="AU284" t="inlineStr">
        <is>
          <t>836920485:eng</t>
        </is>
      </c>
      <c r="AV284" t="inlineStr">
        <is>
          <t>27430365</t>
        </is>
      </c>
      <c r="AW284" t="inlineStr">
        <is>
          <t>991001512729702656</t>
        </is>
      </c>
      <c r="AX284" t="inlineStr">
        <is>
          <t>991001512729702656</t>
        </is>
      </c>
      <c r="AY284" t="inlineStr">
        <is>
          <t>2266131050002656</t>
        </is>
      </c>
      <c r="AZ284" t="inlineStr">
        <is>
          <t>BOOK</t>
        </is>
      </c>
      <c r="BB284" t="inlineStr">
        <is>
          <t>9780867207705</t>
        </is>
      </c>
      <c r="BC284" t="inlineStr">
        <is>
          <t>30001002601120</t>
        </is>
      </c>
      <c r="BD284" t="inlineStr">
        <is>
          <t>893736671</t>
        </is>
      </c>
    </row>
    <row r="285">
      <c r="A285" t="inlineStr">
        <is>
          <t>No</t>
        </is>
      </c>
      <c r="B285" t="inlineStr">
        <is>
          <t>QZ201 E57c 2006</t>
        </is>
      </c>
      <c r="C285" t="inlineStr">
        <is>
          <t>0                      QZ 0201000E  57c         2006</t>
        </is>
      </c>
      <c r="D285" t="inlineStr">
        <is>
          <t>Cancer made me a shallower person : a memoir in comics / Miriam Engelberg.</t>
        </is>
      </c>
      <c r="F285" t="inlineStr">
        <is>
          <t>No</t>
        </is>
      </c>
      <c r="G285" t="inlineStr">
        <is>
          <t>1</t>
        </is>
      </c>
      <c r="H285" t="inlineStr">
        <is>
          <t>No</t>
        </is>
      </c>
      <c r="I285" t="inlineStr">
        <is>
          <t>No</t>
        </is>
      </c>
      <c r="J285" t="inlineStr">
        <is>
          <t>0</t>
        </is>
      </c>
      <c r="K285" t="inlineStr">
        <is>
          <t>Engelberg, Miriam, 1958-2006.</t>
        </is>
      </c>
      <c r="L285" t="inlineStr">
        <is>
          <t>New York, NY : Harper, c2006.</t>
        </is>
      </c>
      <c r="M285" t="inlineStr">
        <is>
          <t>2006</t>
        </is>
      </c>
      <c r="N285" t="inlineStr">
        <is>
          <t>1st ed.</t>
        </is>
      </c>
      <c r="O285" t="inlineStr">
        <is>
          <t>eng</t>
        </is>
      </c>
      <c r="P285" t="inlineStr">
        <is>
          <t>nyu</t>
        </is>
      </c>
      <c r="R285" t="inlineStr">
        <is>
          <t xml:space="preserve">QZ </t>
        </is>
      </c>
      <c r="S285" t="n">
        <v>2</v>
      </c>
      <c r="T285" t="n">
        <v>2</v>
      </c>
      <c r="U285" t="inlineStr">
        <is>
          <t>2006-11-22</t>
        </is>
      </c>
      <c r="V285" t="inlineStr">
        <is>
          <t>2006-11-22</t>
        </is>
      </c>
      <c r="W285" t="inlineStr">
        <is>
          <t>2006-11-20</t>
        </is>
      </c>
      <c r="X285" t="inlineStr">
        <is>
          <t>2006-11-20</t>
        </is>
      </c>
      <c r="Y285" t="n">
        <v>390</v>
      </c>
      <c r="Z285" t="n">
        <v>348</v>
      </c>
      <c r="AA285" t="n">
        <v>348</v>
      </c>
      <c r="AB285" t="n">
        <v>3</v>
      </c>
      <c r="AC285" t="n">
        <v>3</v>
      </c>
      <c r="AD285" t="n">
        <v>10</v>
      </c>
      <c r="AE285" t="n">
        <v>10</v>
      </c>
      <c r="AF285" t="n">
        <v>6</v>
      </c>
      <c r="AG285" t="n">
        <v>6</v>
      </c>
      <c r="AH285" t="n">
        <v>1</v>
      </c>
      <c r="AI285" t="n">
        <v>1</v>
      </c>
      <c r="AJ285" t="n">
        <v>5</v>
      </c>
      <c r="AK285" t="n">
        <v>5</v>
      </c>
      <c r="AL285" t="n">
        <v>1</v>
      </c>
      <c r="AM285" t="n">
        <v>1</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HYPERLINK("https://creighton-primo.hosted.exlibrisgroup.com/primo-explore/search?tab=default_tab&amp;search_scope=EVERYTHING&amp;vid=01CRU&amp;lang=en_US&amp;offset=0&amp;query=any,contains,991000570969702656","Catalog Record")</f>
        <v/>
      </c>
      <c r="AT285">
        <f>HYPERLINK("http://www.worldcat.org/oclc/62342824","WorldCat Record")</f>
        <v/>
      </c>
      <c r="AU285" t="inlineStr">
        <is>
          <t>1126196670:eng</t>
        </is>
      </c>
      <c r="AV285" t="inlineStr">
        <is>
          <t>62342824</t>
        </is>
      </c>
      <c r="AW285" t="inlineStr">
        <is>
          <t>991000570969702656</t>
        </is>
      </c>
      <c r="AX285" t="inlineStr">
        <is>
          <t>991000570969702656</t>
        </is>
      </c>
      <c r="AY285" t="inlineStr">
        <is>
          <t>2260397250002656</t>
        </is>
      </c>
      <c r="AZ285" t="inlineStr">
        <is>
          <t>BOOK</t>
        </is>
      </c>
      <c r="BB285" t="inlineStr">
        <is>
          <t>9780060789732</t>
        </is>
      </c>
      <c r="BC285" t="inlineStr">
        <is>
          <t>30001005176757</t>
        </is>
      </c>
      <c r="BD285" t="inlineStr">
        <is>
          <t>893453903</t>
        </is>
      </c>
    </row>
    <row r="286">
      <c r="A286" t="inlineStr">
        <is>
          <t>No</t>
        </is>
      </c>
      <c r="B286" t="inlineStr">
        <is>
          <t>QZ201 K143c 2005</t>
        </is>
      </c>
      <c r="C286" t="inlineStr">
        <is>
          <t>0                      QZ 0201000K  143c        2005</t>
        </is>
      </c>
      <c r="D286" t="inlineStr">
        <is>
          <t>Cancer etiquette : what to say, what to do, when someone you know or love has cancer / Rosanne Kalick.</t>
        </is>
      </c>
      <c r="F286" t="inlineStr">
        <is>
          <t>No</t>
        </is>
      </c>
      <c r="G286" t="inlineStr">
        <is>
          <t>1</t>
        </is>
      </c>
      <c r="H286" t="inlineStr">
        <is>
          <t>No</t>
        </is>
      </c>
      <c r="I286" t="inlineStr">
        <is>
          <t>No</t>
        </is>
      </c>
      <c r="J286" t="inlineStr">
        <is>
          <t>0</t>
        </is>
      </c>
      <c r="K286" t="inlineStr">
        <is>
          <t>Kalick, Rosanne, 1935-</t>
        </is>
      </c>
      <c r="L286" t="inlineStr">
        <is>
          <t>Scarsdale, NY : Lion Books Publisher, c2005.</t>
        </is>
      </c>
      <c r="M286" t="inlineStr">
        <is>
          <t>2005</t>
        </is>
      </c>
      <c r="N286" t="inlineStr">
        <is>
          <t>1st ed.</t>
        </is>
      </c>
      <c r="O286" t="inlineStr">
        <is>
          <t>eng</t>
        </is>
      </c>
      <c r="P286" t="inlineStr">
        <is>
          <t>nyu</t>
        </is>
      </c>
      <c r="R286" t="inlineStr">
        <is>
          <t xml:space="preserve">QZ </t>
        </is>
      </c>
      <c r="S286" t="n">
        <v>1</v>
      </c>
      <c r="T286" t="n">
        <v>1</v>
      </c>
      <c r="U286" t="inlineStr">
        <is>
          <t>2008-07-24</t>
        </is>
      </c>
      <c r="V286" t="inlineStr">
        <is>
          <t>2008-07-24</t>
        </is>
      </c>
      <c r="W286" t="inlineStr">
        <is>
          <t>2006-05-02</t>
        </is>
      </c>
      <c r="X286" t="inlineStr">
        <is>
          <t>2006-05-02</t>
        </is>
      </c>
      <c r="Y286" t="n">
        <v>442</v>
      </c>
      <c r="Z286" t="n">
        <v>420</v>
      </c>
      <c r="AA286" t="n">
        <v>471</v>
      </c>
      <c r="AB286" t="n">
        <v>3</v>
      </c>
      <c r="AC286" t="n">
        <v>3</v>
      </c>
      <c r="AD286" t="n">
        <v>2</v>
      </c>
      <c r="AE286" t="n">
        <v>2</v>
      </c>
      <c r="AF286" t="n">
        <v>1</v>
      </c>
      <c r="AG286" t="n">
        <v>1</v>
      </c>
      <c r="AH286" t="n">
        <v>0</v>
      </c>
      <c r="AI286" t="n">
        <v>0</v>
      </c>
      <c r="AJ286" t="n">
        <v>2</v>
      </c>
      <c r="AK286" t="n">
        <v>2</v>
      </c>
      <c r="AL286" t="n">
        <v>0</v>
      </c>
      <c r="AM286" t="n">
        <v>0</v>
      </c>
      <c r="AN286" t="n">
        <v>0</v>
      </c>
      <c r="AO286" t="n">
        <v>0</v>
      </c>
      <c r="AP286" t="inlineStr">
        <is>
          <t>No</t>
        </is>
      </c>
      <c r="AQ286" t="inlineStr">
        <is>
          <t>Yes</t>
        </is>
      </c>
      <c r="AR286">
        <f>HYPERLINK("http://catalog.hathitrust.org/Record/007056634","HathiTrust Record")</f>
        <v/>
      </c>
      <c r="AS286">
        <f>HYPERLINK("https://creighton-primo.hosted.exlibrisgroup.com/primo-explore/search?tab=default_tab&amp;search_scope=EVERYTHING&amp;vid=01CRU&amp;lang=en_US&amp;offset=0&amp;query=any,contains,991000478339702656","Catalog Record")</f>
        <v/>
      </c>
      <c r="AT286">
        <f>HYPERLINK("http://www.worldcat.org/oclc/61161264","WorldCat Record")</f>
        <v/>
      </c>
      <c r="AU286" t="inlineStr">
        <is>
          <t>306364019:eng</t>
        </is>
      </c>
      <c r="AV286" t="inlineStr">
        <is>
          <t>61161264</t>
        </is>
      </c>
      <c r="AW286" t="inlineStr">
        <is>
          <t>991000478339702656</t>
        </is>
      </c>
      <c r="AX286" t="inlineStr">
        <is>
          <t>991000478339702656</t>
        </is>
      </c>
      <c r="AY286" t="inlineStr">
        <is>
          <t>2270797610002656</t>
        </is>
      </c>
      <c r="AZ286" t="inlineStr">
        <is>
          <t>BOOK</t>
        </is>
      </c>
      <c r="BB286" t="inlineStr">
        <is>
          <t>9780874604504</t>
        </is>
      </c>
      <c r="BC286" t="inlineStr">
        <is>
          <t>30001005126836</t>
        </is>
      </c>
      <c r="BD286" t="inlineStr">
        <is>
          <t>893723581</t>
        </is>
      </c>
    </row>
    <row r="287">
      <c r="A287" t="inlineStr">
        <is>
          <t>No</t>
        </is>
      </c>
      <c r="B287" t="inlineStr">
        <is>
          <t>QZ 201 K21s 1989</t>
        </is>
      </c>
      <c r="C287" t="inlineStr">
        <is>
          <t>0                      QZ 0201000K  21s         1989</t>
        </is>
      </c>
      <c r="D287" t="inlineStr">
        <is>
          <t>Surviving cancer : a practical guide for those fighting to win! / by Danette G. Kauffman ; illustrations by Susan Davis.</t>
        </is>
      </c>
      <c r="F287" t="inlineStr">
        <is>
          <t>No</t>
        </is>
      </c>
      <c r="G287" t="inlineStr">
        <is>
          <t>1</t>
        </is>
      </c>
      <c r="H287" t="inlineStr">
        <is>
          <t>No</t>
        </is>
      </c>
      <c r="I287" t="inlineStr">
        <is>
          <t>No</t>
        </is>
      </c>
      <c r="J287" t="inlineStr">
        <is>
          <t>0</t>
        </is>
      </c>
      <c r="K287" t="inlineStr">
        <is>
          <t>Kauffman, Danette G., 1947-</t>
        </is>
      </c>
      <c r="L287" t="inlineStr">
        <is>
          <t>Washington, D.C. : Acropolis Books, c1989.</t>
        </is>
      </c>
      <c r="M287" t="inlineStr">
        <is>
          <t>1989</t>
        </is>
      </c>
      <c r="N287" t="inlineStr">
        <is>
          <t>2nd ed.</t>
        </is>
      </c>
      <c r="O287" t="inlineStr">
        <is>
          <t>eng</t>
        </is>
      </c>
      <c r="P287" t="inlineStr">
        <is>
          <t>dcu</t>
        </is>
      </c>
      <c r="R287" t="inlineStr">
        <is>
          <t xml:space="preserve">QZ </t>
        </is>
      </c>
      <c r="S287" t="n">
        <v>8</v>
      </c>
      <c r="T287" t="n">
        <v>8</v>
      </c>
      <c r="U287" t="inlineStr">
        <is>
          <t>1997-10-06</t>
        </is>
      </c>
      <c r="V287" t="inlineStr">
        <is>
          <t>1997-10-06</t>
        </is>
      </c>
      <c r="W287" t="inlineStr">
        <is>
          <t>1989-10-23</t>
        </is>
      </c>
      <c r="X287" t="inlineStr">
        <is>
          <t>1989-10-23</t>
        </is>
      </c>
      <c r="Y287" t="n">
        <v>66</v>
      </c>
      <c r="Z287" t="n">
        <v>64</v>
      </c>
      <c r="AA287" t="n">
        <v>322</v>
      </c>
      <c r="AB287" t="n">
        <v>1</v>
      </c>
      <c r="AC287" t="n">
        <v>3</v>
      </c>
      <c r="AD287" t="n">
        <v>0</v>
      </c>
      <c r="AE287" t="n">
        <v>2</v>
      </c>
      <c r="AF287" t="n">
        <v>0</v>
      </c>
      <c r="AG287" t="n">
        <v>1</v>
      </c>
      <c r="AH287" t="n">
        <v>0</v>
      </c>
      <c r="AI287" t="n">
        <v>0</v>
      </c>
      <c r="AJ287" t="n">
        <v>0</v>
      </c>
      <c r="AK287" t="n">
        <v>2</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HYPERLINK("https://creighton-primo.hosted.exlibrisgroup.com/primo-explore/search?tab=default_tab&amp;search_scope=EVERYTHING&amp;vid=01CRU&amp;lang=en_US&amp;offset=0&amp;query=any,contains,991001315039702656","Catalog Record")</f>
        <v/>
      </c>
      <c r="AT287">
        <f>HYPERLINK("http://www.worldcat.org/oclc/20352394","WorldCat Record")</f>
        <v/>
      </c>
      <c r="AU287" t="inlineStr">
        <is>
          <t>13089232:eng</t>
        </is>
      </c>
      <c r="AV287" t="inlineStr">
        <is>
          <t>20352394</t>
        </is>
      </c>
      <c r="AW287" t="inlineStr">
        <is>
          <t>991001315039702656</t>
        </is>
      </c>
      <c r="AX287" t="inlineStr">
        <is>
          <t>991001315039702656</t>
        </is>
      </c>
      <c r="AY287" t="inlineStr">
        <is>
          <t>2268062560002656</t>
        </is>
      </c>
      <c r="AZ287" t="inlineStr">
        <is>
          <t>BOOK</t>
        </is>
      </c>
      <c r="BB287" t="inlineStr">
        <is>
          <t>9780874918625</t>
        </is>
      </c>
      <c r="BC287" t="inlineStr">
        <is>
          <t>30001001752502</t>
        </is>
      </c>
      <c r="BD287" t="inlineStr">
        <is>
          <t>893821117</t>
        </is>
      </c>
    </row>
    <row r="288">
      <c r="A288" t="inlineStr">
        <is>
          <t>No</t>
        </is>
      </c>
      <c r="B288" t="inlineStr">
        <is>
          <t>QZ201 L244L 2005</t>
        </is>
      </c>
      <c r="C288" t="inlineStr">
        <is>
          <t>0                      QZ 0201000L  244L        2005</t>
        </is>
      </c>
      <c r="D288" t="inlineStr">
        <is>
          <t>Live strong : inspirational stories from cancer survivors-- from diagnosis to treatment and beyond / the Lance Armstrong Foundation.</t>
        </is>
      </c>
      <c r="F288" t="inlineStr">
        <is>
          <t>No</t>
        </is>
      </c>
      <c r="G288" t="inlineStr">
        <is>
          <t>1</t>
        </is>
      </c>
      <c r="H288" t="inlineStr">
        <is>
          <t>No</t>
        </is>
      </c>
      <c r="I288" t="inlineStr">
        <is>
          <t>No</t>
        </is>
      </c>
      <c r="J288" t="inlineStr">
        <is>
          <t>0</t>
        </is>
      </c>
      <c r="L288" t="inlineStr">
        <is>
          <t>New York : Broadway Books, c2005.</t>
        </is>
      </c>
      <c r="M288" t="inlineStr">
        <is>
          <t>2005</t>
        </is>
      </c>
      <c r="O288" t="inlineStr">
        <is>
          <t>eng</t>
        </is>
      </c>
      <c r="P288" t="inlineStr">
        <is>
          <t>nyu</t>
        </is>
      </c>
      <c r="R288" t="inlineStr">
        <is>
          <t xml:space="preserve">QZ </t>
        </is>
      </c>
      <c r="S288" t="n">
        <v>0</v>
      </c>
      <c r="T288" t="n">
        <v>0</v>
      </c>
      <c r="U288" t="inlineStr">
        <is>
          <t>2008-07-24</t>
        </is>
      </c>
      <c r="V288" t="inlineStr">
        <is>
          <t>2008-07-24</t>
        </is>
      </c>
      <c r="W288" t="inlineStr">
        <is>
          <t>2006-05-03</t>
        </is>
      </c>
      <c r="X288" t="inlineStr">
        <is>
          <t>2006-05-03</t>
        </is>
      </c>
      <c r="Y288" t="n">
        <v>564</v>
      </c>
      <c r="Z288" t="n">
        <v>532</v>
      </c>
      <c r="AA288" t="n">
        <v>650</v>
      </c>
      <c r="AB288" t="n">
        <v>4</v>
      </c>
      <c r="AC288" t="n">
        <v>4</v>
      </c>
      <c r="AD288" t="n">
        <v>1</v>
      </c>
      <c r="AE288" t="n">
        <v>2</v>
      </c>
      <c r="AF288" t="n">
        <v>0</v>
      </c>
      <c r="AG288" t="n">
        <v>1</v>
      </c>
      <c r="AH288" t="n">
        <v>0</v>
      </c>
      <c r="AI288" t="n">
        <v>0</v>
      </c>
      <c r="AJ288" t="n">
        <v>0</v>
      </c>
      <c r="AK288" t="n">
        <v>0</v>
      </c>
      <c r="AL288" t="n">
        <v>1</v>
      </c>
      <c r="AM288" t="n">
        <v>1</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HYPERLINK("https://creighton-primo.hosted.exlibrisgroup.com/primo-explore/search?tab=default_tab&amp;search_scope=EVERYTHING&amp;vid=01CRU&amp;lang=en_US&amp;offset=0&amp;query=any,contains,991000478459702656","Catalog Record")</f>
        <v/>
      </c>
      <c r="AT288">
        <f>HYPERLINK("http://www.worldcat.org/oclc/58789364","WorldCat Record")</f>
        <v/>
      </c>
      <c r="AU288" t="inlineStr">
        <is>
          <t>1071367855:eng</t>
        </is>
      </c>
      <c r="AV288" t="inlineStr">
        <is>
          <t>58789364</t>
        </is>
      </c>
      <c r="AW288" t="inlineStr">
        <is>
          <t>991000478459702656</t>
        </is>
      </c>
      <c r="AX288" t="inlineStr">
        <is>
          <t>991000478459702656</t>
        </is>
      </c>
      <c r="AY288" t="inlineStr">
        <is>
          <t>2270147870002656</t>
        </is>
      </c>
      <c r="AZ288" t="inlineStr">
        <is>
          <t>BOOK</t>
        </is>
      </c>
      <c r="BB288" t="inlineStr">
        <is>
          <t>9780767921381</t>
        </is>
      </c>
      <c r="BC288" t="inlineStr">
        <is>
          <t>30001005126786</t>
        </is>
      </c>
      <c r="BD288" t="inlineStr">
        <is>
          <t>893811527</t>
        </is>
      </c>
    </row>
    <row r="289">
      <c r="A289" t="inlineStr">
        <is>
          <t>No</t>
        </is>
      </c>
      <c r="B289" t="inlineStr">
        <is>
          <t>QZ 201 M114c 1993</t>
        </is>
      </c>
      <c r="C289" t="inlineStr">
        <is>
          <t>0                      QZ 0201000M  114c        1993</t>
        </is>
      </c>
      <c r="D289" t="inlineStr">
        <is>
          <t>Cancer / Robert M. McAllister, Sylvia Teich Horowitz, Raymond V. Gilden.</t>
        </is>
      </c>
      <c r="F289" t="inlineStr">
        <is>
          <t>No</t>
        </is>
      </c>
      <c r="G289" t="inlineStr">
        <is>
          <t>1</t>
        </is>
      </c>
      <c r="H289" t="inlineStr">
        <is>
          <t>No</t>
        </is>
      </c>
      <c r="I289" t="inlineStr">
        <is>
          <t>No</t>
        </is>
      </c>
      <c r="J289" t="inlineStr">
        <is>
          <t>0</t>
        </is>
      </c>
      <c r="K289" t="inlineStr">
        <is>
          <t>McAllister, Robert M., 1922-</t>
        </is>
      </c>
      <c r="L289" t="inlineStr">
        <is>
          <t>New York : BasicBooks, c1993.</t>
        </is>
      </c>
      <c r="M289" t="inlineStr">
        <is>
          <t>1993</t>
        </is>
      </c>
      <c r="O289" t="inlineStr">
        <is>
          <t>eng</t>
        </is>
      </c>
      <c r="P289" t="inlineStr">
        <is>
          <t>nyu</t>
        </is>
      </c>
      <c r="R289" t="inlineStr">
        <is>
          <t xml:space="preserve">QZ </t>
        </is>
      </c>
      <c r="S289" t="n">
        <v>15</v>
      </c>
      <c r="T289" t="n">
        <v>15</v>
      </c>
      <c r="U289" t="inlineStr">
        <is>
          <t>1998-10-04</t>
        </is>
      </c>
      <c r="V289" t="inlineStr">
        <is>
          <t>1998-10-04</t>
        </is>
      </c>
      <c r="W289" t="inlineStr">
        <is>
          <t>1993-10-07</t>
        </is>
      </c>
      <c r="X289" t="inlineStr">
        <is>
          <t>1993-10-07</t>
        </is>
      </c>
      <c r="Y289" t="n">
        <v>657</v>
      </c>
      <c r="Z289" t="n">
        <v>622</v>
      </c>
      <c r="AA289" t="n">
        <v>627</v>
      </c>
      <c r="AB289" t="n">
        <v>3</v>
      </c>
      <c r="AC289" t="n">
        <v>3</v>
      </c>
      <c r="AD289" t="n">
        <v>7</v>
      </c>
      <c r="AE289" t="n">
        <v>7</v>
      </c>
      <c r="AF289" t="n">
        <v>3</v>
      </c>
      <c r="AG289" t="n">
        <v>3</v>
      </c>
      <c r="AH289" t="n">
        <v>1</v>
      </c>
      <c r="AI289" t="n">
        <v>1</v>
      </c>
      <c r="AJ289" t="n">
        <v>3</v>
      </c>
      <c r="AK289" t="n">
        <v>3</v>
      </c>
      <c r="AL289" t="n">
        <v>1</v>
      </c>
      <c r="AM289" t="n">
        <v>1</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HYPERLINK("https://creighton-primo.hosted.exlibrisgroup.com/primo-explore/search?tab=default_tab&amp;search_scope=EVERYTHING&amp;vid=01CRU&amp;lang=en_US&amp;offset=0&amp;query=any,contains,991001486839702656","Catalog Record")</f>
        <v/>
      </c>
      <c r="AT289">
        <f>HYPERLINK("http://www.worldcat.org/oclc/27108647","WorldCat Record")</f>
        <v/>
      </c>
      <c r="AU289" t="inlineStr">
        <is>
          <t>339866:eng</t>
        </is>
      </c>
      <c r="AV289" t="inlineStr">
        <is>
          <t>27108647</t>
        </is>
      </c>
      <c r="AW289" t="inlineStr">
        <is>
          <t>991001486839702656</t>
        </is>
      </c>
      <c r="AX289" t="inlineStr">
        <is>
          <t>991001486839702656</t>
        </is>
      </c>
      <c r="AY289" t="inlineStr">
        <is>
          <t>2261319200002656</t>
        </is>
      </c>
      <c r="AZ289" t="inlineStr">
        <is>
          <t>BOOK</t>
        </is>
      </c>
      <c r="BB289" t="inlineStr">
        <is>
          <t>9780465008452</t>
        </is>
      </c>
      <c r="BC289" t="inlineStr">
        <is>
          <t>30001002579367</t>
        </is>
      </c>
      <c r="BD289" t="inlineStr">
        <is>
          <t>893826792</t>
        </is>
      </c>
    </row>
    <row r="290">
      <c r="A290" t="inlineStr">
        <is>
          <t>No</t>
        </is>
      </c>
      <c r="B290" t="inlineStr">
        <is>
          <t>QZ 201 R216s 1978</t>
        </is>
      </c>
      <c r="C290" t="inlineStr">
        <is>
          <t>0                      QZ 0201000R  216s        1978</t>
        </is>
      </c>
      <c r="D290" t="inlineStr">
        <is>
          <t>Strike back at cancer : what to do and where to go for the best medical care / Stephen A. Rapaport.</t>
        </is>
      </c>
      <c r="F290" t="inlineStr">
        <is>
          <t>No</t>
        </is>
      </c>
      <c r="G290" t="inlineStr">
        <is>
          <t>1</t>
        </is>
      </c>
      <c r="H290" t="inlineStr">
        <is>
          <t>No</t>
        </is>
      </c>
      <c r="I290" t="inlineStr">
        <is>
          <t>No</t>
        </is>
      </c>
      <c r="J290" t="inlineStr">
        <is>
          <t>0</t>
        </is>
      </c>
      <c r="K290" t="inlineStr">
        <is>
          <t>Rapaport, Stephen A.</t>
        </is>
      </c>
      <c r="L290" t="inlineStr">
        <is>
          <t>Englewood Cliffs, N.J. : Prentice-Hall, c1978.</t>
        </is>
      </c>
      <c r="M290" t="inlineStr">
        <is>
          <t>1978</t>
        </is>
      </c>
      <c r="O290" t="inlineStr">
        <is>
          <t>eng</t>
        </is>
      </c>
      <c r="P290" t="inlineStr">
        <is>
          <t>nju</t>
        </is>
      </c>
      <c r="R290" t="inlineStr">
        <is>
          <t xml:space="preserve">QZ </t>
        </is>
      </c>
      <c r="S290" t="n">
        <v>1</v>
      </c>
      <c r="T290" t="n">
        <v>1</v>
      </c>
      <c r="U290" t="inlineStr">
        <is>
          <t>1995-03-27</t>
        </is>
      </c>
      <c r="V290" t="inlineStr">
        <is>
          <t>1995-03-27</t>
        </is>
      </c>
      <c r="W290" t="inlineStr">
        <is>
          <t>1989-07-19</t>
        </is>
      </c>
      <c r="X290" t="inlineStr">
        <is>
          <t>1989-07-19</t>
        </is>
      </c>
      <c r="Y290" t="n">
        <v>321</v>
      </c>
      <c r="Z290" t="n">
        <v>298</v>
      </c>
      <c r="AA290" t="n">
        <v>305</v>
      </c>
      <c r="AB290" t="n">
        <v>3</v>
      </c>
      <c r="AC290" t="n">
        <v>3</v>
      </c>
      <c r="AD290" t="n">
        <v>2</v>
      </c>
      <c r="AE290" t="n">
        <v>2</v>
      </c>
      <c r="AF290" t="n">
        <v>1</v>
      </c>
      <c r="AG290" t="n">
        <v>1</v>
      </c>
      <c r="AH290" t="n">
        <v>0</v>
      </c>
      <c r="AI290" t="n">
        <v>0</v>
      </c>
      <c r="AJ290" t="n">
        <v>0</v>
      </c>
      <c r="AK290" t="n">
        <v>0</v>
      </c>
      <c r="AL290" t="n">
        <v>1</v>
      </c>
      <c r="AM290" t="n">
        <v>1</v>
      </c>
      <c r="AN290" t="n">
        <v>0</v>
      </c>
      <c r="AO290" t="n">
        <v>0</v>
      </c>
      <c r="AP290" t="inlineStr">
        <is>
          <t>No</t>
        </is>
      </c>
      <c r="AQ290" t="inlineStr">
        <is>
          <t>Yes</t>
        </is>
      </c>
      <c r="AR290">
        <f>HYPERLINK("http://catalog.hathitrust.org/Record/000561374","HathiTrust Record")</f>
        <v/>
      </c>
      <c r="AS290">
        <f>HYPERLINK("https://creighton-primo.hosted.exlibrisgroup.com/primo-explore/search?tab=default_tab&amp;search_scope=EVERYTHING&amp;vid=01CRU&amp;lang=en_US&amp;offset=0&amp;query=any,contains,991001312139702656","Catalog Record")</f>
        <v/>
      </c>
      <c r="AT290">
        <f>HYPERLINK("http://www.worldcat.org/oclc/4194109","WorldCat Record")</f>
        <v/>
      </c>
      <c r="AU290" t="inlineStr">
        <is>
          <t>363265982:eng</t>
        </is>
      </c>
      <c r="AV290" t="inlineStr">
        <is>
          <t>4194109</t>
        </is>
      </c>
      <c r="AW290" t="inlineStr">
        <is>
          <t>991001312139702656</t>
        </is>
      </c>
      <c r="AX290" t="inlineStr">
        <is>
          <t>991001312139702656</t>
        </is>
      </c>
      <c r="AY290" t="inlineStr">
        <is>
          <t>2262383980002656</t>
        </is>
      </c>
      <c r="AZ290" t="inlineStr">
        <is>
          <t>BOOK</t>
        </is>
      </c>
      <c r="BB290" t="inlineStr">
        <is>
          <t>9780138527648</t>
        </is>
      </c>
      <c r="BC290" t="inlineStr">
        <is>
          <t>30001001751173</t>
        </is>
      </c>
      <c r="BD290" t="inlineStr">
        <is>
          <t>893268354</t>
        </is>
      </c>
    </row>
    <row r="291">
      <c r="A291" t="inlineStr">
        <is>
          <t>No</t>
        </is>
      </c>
      <c r="B291" t="inlineStr">
        <is>
          <t>QZ 201 S431L 2000</t>
        </is>
      </c>
      <c r="C291" t="inlineStr">
        <is>
          <t>0                      QZ 0201000S  431L        2000</t>
        </is>
      </c>
      <c r="D291" t="inlineStr">
        <is>
          <t>Lung cancer : a guide to diagnosis and treatment / Walter J. Scott.</t>
        </is>
      </c>
      <c r="F291" t="inlineStr">
        <is>
          <t>No</t>
        </is>
      </c>
      <c r="G291" t="inlineStr">
        <is>
          <t>1</t>
        </is>
      </c>
      <c r="H291" t="inlineStr">
        <is>
          <t>No</t>
        </is>
      </c>
      <c r="I291" t="inlineStr">
        <is>
          <t>No</t>
        </is>
      </c>
      <c r="J291" t="inlineStr">
        <is>
          <t>0</t>
        </is>
      </c>
      <c r="K291" t="inlineStr">
        <is>
          <t>Scott, Walter, 1954-</t>
        </is>
      </c>
      <c r="L291" t="inlineStr">
        <is>
          <t>Omaha Neb. : Addicus Books, c2000.</t>
        </is>
      </c>
      <c r="M291" t="inlineStr">
        <is>
          <t>2000</t>
        </is>
      </c>
      <c r="O291" t="inlineStr">
        <is>
          <t>eng</t>
        </is>
      </c>
      <c r="P291" t="inlineStr">
        <is>
          <t>nbu</t>
        </is>
      </c>
      <c r="R291" t="inlineStr">
        <is>
          <t xml:space="preserve">QZ </t>
        </is>
      </c>
      <c r="S291" t="n">
        <v>9</v>
      </c>
      <c r="T291" t="n">
        <v>9</v>
      </c>
      <c r="U291" t="inlineStr">
        <is>
          <t>2008-12-15</t>
        </is>
      </c>
      <c r="V291" t="inlineStr">
        <is>
          <t>2008-12-15</t>
        </is>
      </c>
      <c r="W291" t="inlineStr">
        <is>
          <t>2000-07-20</t>
        </is>
      </c>
      <c r="X291" t="inlineStr">
        <is>
          <t>2000-07-20</t>
        </is>
      </c>
      <c r="Y291" t="n">
        <v>481</v>
      </c>
      <c r="Z291" t="n">
        <v>448</v>
      </c>
      <c r="AA291" t="n">
        <v>819</v>
      </c>
      <c r="AB291" t="n">
        <v>2</v>
      </c>
      <c r="AC291" t="n">
        <v>6</v>
      </c>
      <c r="AD291" t="n">
        <v>4</v>
      </c>
      <c r="AE291" t="n">
        <v>7</v>
      </c>
      <c r="AF291" t="n">
        <v>1</v>
      </c>
      <c r="AG291" t="n">
        <v>4</v>
      </c>
      <c r="AH291" t="n">
        <v>0</v>
      </c>
      <c r="AI291" t="n">
        <v>1</v>
      </c>
      <c r="AJ291" t="n">
        <v>1</v>
      </c>
      <c r="AK291" t="n">
        <v>1</v>
      </c>
      <c r="AL291" t="n">
        <v>1</v>
      </c>
      <c r="AM291" t="n">
        <v>1</v>
      </c>
      <c r="AN291" t="n">
        <v>1</v>
      </c>
      <c r="AO291" t="n">
        <v>1</v>
      </c>
      <c r="AP291" t="inlineStr">
        <is>
          <t>No</t>
        </is>
      </c>
      <c r="AQ291" t="inlineStr">
        <is>
          <t>No</t>
        </is>
      </c>
      <c r="AS291">
        <f>HYPERLINK("https://creighton-primo.hosted.exlibrisgroup.com/primo-explore/search?tab=default_tab&amp;search_scope=EVERYTHING&amp;vid=01CRU&amp;lang=en_US&amp;offset=0&amp;query=any,contains,991000276669702656","Catalog Record")</f>
        <v/>
      </c>
      <c r="AT291">
        <f>HYPERLINK("http://www.worldcat.org/oclc/43322249","WorldCat Record")</f>
        <v/>
      </c>
      <c r="AU291" t="inlineStr">
        <is>
          <t>1035888555:eng</t>
        </is>
      </c>
      <c r="AV291" t="inlineStr">
        <is>
          <t>43322249</t>
        </is>
      </c>
      <c r="AW291" t="inlineStr">
        <is>
          <t>991000276669702656</t>
        </is>
      </c>
      <c r="AX291" t="inlineStr">
        <is>
          <t>991000276669702656</t>
        </is>
      </c>
      <c r="AY291" t="inlineStr">
        <is>
          <t>2271700300002656</t>
        </is>
      </c>
      <c r="AZ291" t="inlineStr">
        <is>
          <t>BOOK</t>
        </is>
      </c>
      <c r="BB291" t="inlineStr">
        <is>
          <t>9781886039438</t>
        </is>
      </c>
      <c r="BC291" t="inlineStr">
        <is>
          <t>30001003933944</t>
        </is>
      </c>
      <c r="BD291" t="inlineStr">
        <is>
          <t>893737102</t>
        </is>
      </c>
    </row>
    <row r="292">
      <c r="A292" t="inlineStr">
        <is>
          <t>No</t>
        </is>
      </c>
      <c r="B292" t="inlineStr">
        <is>
          <t>QZ 201 T258 2001</t>
        </is>
      </c>
      <c r="C292" t="inlineStr">
        <is>
          <t>0                      QZ 0201000T  258         2001</t>
        </is>
      </c>
      <c r="D292" t="inlineStr">
        <is>
          <t>The complete cancer survival guide : the most comprehensive, up-to-date guide for patients and their families : with advice from dozens of leading cancer specialists at more than 30 major cancer centers / Peter Teeley and Philip Bashe.</t>
        </is>
      </c>
      <c r="F292" t="inlineStr">
        <is>
          <t>No</t>
        </is>
      </c>
      <c r="G292" t="inlineStr">
        <is>
          <t>1</t>
        </is>
      </c>
      <c r="H292" t="inlineStr">
        <is>
          <t>No</t>
        </is>
      </c>
      <c r="I292" t="inlineStr">
        <is>
          <t>No</t>
        </is>
      </c>
      <c r="J292" t="inlineStr">
        <is>
          <t>0</t>
        </is>
      </c>
      <c r="K292" t="inlineStr">
        <is>
          <t>Teeley, Peter.</t>
        </is>
      </c>
      <c r="L292" t="inlineStr">
        <is>
          <t>New York : Doubleday, 2001.</t>
        </is>
      </c>
      <c r="M292" t="inlineStr">
        <is>
          <t>2000</t>
        </is>
      </c>
      <c r="N292" t="inlineStr">
        <is>
          <t>1st ed.</t>
        </is>
      </c>
      <c r="O292" t="inlineStr">
        <is>
          <t>eng</t>
        </is>
      </c>
      <c r="P292" t="inlineStr">
        <is>
          <t>nyu</t>
        </is>
      </c>
      <c r="R292" t="inlineStr">
        <is>
          <t xml:space="preserve">QZ </t>
        </is>
      </c>
      <c r="S292" t="n">
        <v>0</v>
      </c>
      <c r="T292" t="n">
        <v>0</v>
      </c>
      <c r="U292" t="inlineStr">
        <is>
          <t>2008-07-24</t>
        </is>
      </c>
      <c r="V292" t="inlineStr">
        <is>
          <t>2008-07-24</t>
        </is>
      </c>
      <c r="W292" t="inlineStr">
        <is>
          <t>2006-06-15</t>
        </is>
      </c>
      <c r="X292" t="inlineStr">
        <is>
          <t>2006-06-15</t>
        </is>
      </c>
      <c r="Y292" t="n">
        <v>603</v>
      </c>
      <c r="Z292" t="n">
        <v>580</v>
      </c>
      <c r="AA292" t="n">
        <v>734</v>
      </c>
      <c r="AB292" t="n">
        <v>5</v>
      </c>
      <c r="AC292" t="n">
        <v>5</v>
      </c>
      <c r="AD292" t="n">
        <v>4</v>
      </c>
      <c r="AE292" t="n">
        <v>4</v>
      </c>
      <c r="AF292" t="n">
        <v>2</v>
      </c>
      <c r="AG292" t="n">
        <v>2</v>
      </c>
      <c r="AH292" t="n">
        <v>0</v>
      </c>
      <c r="AI292" t="n">
        <v>0</v>
      </c>
      <c r="AJ292" t="n">
        <v>1</v>
      </c>
      <c r="AK292" t="n">
        <v>1</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HYPERLINK("https://creighton-primo.hosted.exlibrisgroup.com/primo-explore/search?tab=default_tab&amp;search_scope=EVERYTHING&amp;vid=01CRU&amp;lang=en_US&amp;offset=0&amp;query=any,contains,991000479879702656","Catalog Record")</f>
        <v/>
      </c>
      <c r="AT292">
        <f>HYPERLINK("http://www.worldcat.org/oclc/39298982","WorldCat Record")</f>
        <v/>
      </c>
      <c r="AU292" t="inlineStr">
        <is>
          <t>56296681:eng</t>
        </is>
      </c>
      <c r="AV292" t="inlineStr">
        <is>
          <t>39298982</t>
        </is>
      </c>
      <c r="AW292" t="inlineStr">
        <is>
          <t>991000479879702656</t>
        </is>
      </c>
      <c r="AX292" t="inlineStr">
        <is>
          <t>991000479879702656</t>
        </is>
      </c>
      <c r="AY292" t="inlineStr">
        <is>
          <t>2264832610002656</t>
        </is>
      </c>
      <c r="AZ292" t="inlineStr">
        <is>
          <t>BOOK</t>
        </is>
      </c>
      <c r="BB292" t="inlineStr">
        <is>
          <t>9780385486057</t>
        </is>
      </c>
      <c r="BC292" t="inlineStr">
        <is>
          <t>30001005127917</t>
        </is>
      </c>
      <c r="BD292" t="inlineStr">
        <is>
          <t>893542392</t>
        </is>
      </c>
    </row>
    <row r="293">
      <c r="A293" t="inlineStr">
        <is>
          <t>No</t>
        </is>
      </c>
      <c r="B293" t="inlineStr">
        <is>
          <t>QZ201 W439 2004</t>
        </is>
      </c>
      <c r="C293" t="inlineStr">
        <is>
          <t>0                      QZ 0201000W  439         2004</t>
        </is>
      </c>
      <c r="D293" t="inlineStr">
        <is>
          <t>Should I be tested for cancer? : maybe not and here's why / H. Gilbert Welch.</t>
        </is>
      </c>
      <c r="F293" t="inlineStr">
        <is>
          <t>No</t>
        </is>
      </c>
      <c r="G293" t="inlineStr">
        <is>
          <t>1</t>
        </is>
      </c>
      <c r="H293" t="inlineStr">
        <is>
          <t>No</t>
        </is>
      </c>
      <c r="I293" t="inlineStr">
        <is>
          <t>No</t>
        </is>
      </c>
      <c r="J293" t="inlineStr">
        <is>
          <t>0</t>
        </is>
      </c>
      <c r="K293" t="inlineStr">
        <is>
          <t>Welch, H. Gilbert.</t>
        </is>
      </c>
      <c r="L293" t="inlineStr">
        <is>
          <t>Berkeley : University of California Press, c2004.</t>
        </is>
      </c>
      <c r="M293" t="inlineStr">
        <is>
          <t>2004</t>
        </is>
      </c>
      <c r="O293" t="inlineStr">
        <is>
          <t>eng</t>
        </is>
      </c>
      <c r="P293" t="inlineStr">
        <is>
          <t>cau</t>
        </is>
      </c>
      <c r="R293" t="inlineStr">
        <is>
          <t xml:space="preserve">QZ </t>
        </is>
      </c>
      <c r="S293" t="n">
        <v>1</v>
      </c>
      <c r="T293" t="n">
        <v>1</v>
      </c>
      <c r="U293" t="inlineStr">
        <is>
          <t>2004-12-28</t>
        </is>
      </c>
      <c r="V293" t="inlineStr">
        <is>
          <t>2004-12-28</t>
        </is>
      </c>
      <c r="W293" t="inlineStr">
        <is>
          <t>2004-11-08</t>
        </is>
      </c>
      <c r="X293" t="inlineStr">
        <is>
          <t>2004-11-08</t>
        </is>
      </c>
      <c r="Y293" t="n">
        <v>497</v>
      </c>
      <c r="Z293" t="n">
        <v>428</v>
      </c>
      <c r="AA293" t="n">
        <v>849</v>
      </c>
      <c r="AB293" t="n">
        <v>2</v>
      </c>
      <c r="AC293" t="n">
        <v>5</v>
      </c>
      <c r="AD293" t="n">
        <v>1</v>
      </c>
      <c r="AE293" t="n">
        <v>21</v>
      </c>
      <c r="AF293" t="n">
        <v>0</v>
      </c>
      <c r="AG293" t="n">
        <v>7</v>
      </c>
      <c r="AH293" t="n">
        <v>0</v>
      </c>
      <c r="AI293" t="n">
        <v>5</v>
      </c>
      <c r="AJ293" t="n">
        <v>0</v>
      </c>
      <c r="AK293" t="n">
        <v>6</v>
      </c>
      <c r="AL293" t="n">
        <v>1</v>
      </c>
      <c r="AM293" t="n">
        <v>4</v>
      </c>
      <c r="AN293" t="n">
        <v>0</v>
      </c>
      <c r="AO293" t="n">
        <v>1</v>
      </c>
      <c r="AP293" t="inlineStr">
        <is>
          <t>No</t>
        </is>
      </c>
      <c r="AQ293" t="inlineStr">
        <is>
          <t>No</t>
        </is>
      </c>
      <c r="AS293">
        <f>HYPERLINK("https://creighton-primo.hosted.exlibrisgroup.com/primo-explore/search?tab=default_tab&amp;search_scope=EVERYTHING&amp;vid=01CRU&amp;lang=en_US&amp;offset=0&amp;query=any,contains,991000408889702656","Catalog Record")</f>
        <v/>
      </c>
      <c r="AT293">
        <f>HYPERLINK("http://www.worldcat.org/oclc/52424123","WorldCat Record")</f>
        <v/>
      </c>
      <c r="AU293" t="inlineStr">
        <is>
          <t>793926475:eng</t>
        </is>
      </c>
      <c r="AV293" t="inlineStr">
        <is>
          <t>52424123</t>
        </is>
      </c>
      <c r="AW293" t="inlineStr">
        <is>
          <t>991000408889702656</t>
        </is>
      </c>
      <c r="AX293" t="inlineStr">
        <is>
          <t>991000408889702656</t>
        </is>
      </c>
      <c r="AY293" t="inlineStr">
        <is>
          <t>2266941450002656</t>
        </is>
      </c>
      <c r="AZ293" t="inlineStr">
        <is>
          <t>BOOK</t>
        </is>
      </c>
      <c r="BB293" t="inlineStr">
        <is>
          <t>9780520239760</t>
        </is>
      </c>
      <c r="BC293" t="inlineStr">
        <is>
          <t>30001004924728</t>
        </is>
      </c>
      <c r="BD293" t="inlineStr">
        <is>
          <t>893264216</t>
        </is>
      </c>
    </row>
    <row r="294">
      <c r="A294" t="inlineStr">
        <is>
          <t>No</t>
        </is>
      </c>
      <c r="B294" t="inlineStr">
        <is>
          <t>QZ 202 A3545 1993</t>
        </is>
      </c>
      <c r="C294" t="inlineStr">
        <is>
          <t>0                      QZ 0202000A  3545        1993</t>
        </is>
      </c>
      <c r="D294" t="inlineStr">
        <is>
          <t>Alcohol, immunity, and cancer / edited Raz Yirmiya, Anna N. Taylor.</t>
        </is>
      </c>
      <c r="F294" t="inlineStr">
        <is>
          <t>No</t>
        </is>
      </c>
      <c r="G294" t="inlineStr">
        <is>
          <t>1</t>
        </is>
      </c>
      <c r="H294" t="inlineStr">
        <is>
          <t>No</t>
        </is>
      </c>
      <c r="I294" t="inlineStr">
        <is>
          <t>No</t>
        </is>
      </c>
      <c r="J294" t="inlineStr">
        <is>
          <t>0</t>
        </is>
      </c>
      <c r="L294" t="inlineStr">
        <is>
          <t>Boca Raton : CRC Press, c1993.</t>
        </is>
      </c>
      <c r="M294" t="inlineStr">
        <is>
          <t>1993</t>
        </is>
      </c>
      <c r="O294" t="inlineStr">
        <is>
          <t>eng</t>
        </is>
      </c>
      <c r="P294" t="inlineStr">
        <is>
          <t>flu</t>
        </is>
      </c>
      <c r="R294" t="inlineStr">
        <is>
          <t xml:space="preserve">QZ </t>
        </is>
      </c>
      <c r="S294" t="n">
        <v>0</v>
      </c>
      <c r="T294" t="n">
        <v>0</v>
      </c>
      <c r="U294" t="inlineStr">
        <is>
          <t>2003-02-04</t>
        </is>
      </c>
      <c r="V294" t="inlineStr">
        <is>
          <t>2003-02-04</t>
        </is>
      </c>
      <c r="W294" t="inlineStr">
        <is>
          <t>2002-07-26</t>
        </is>
      </c>
      <c r="X294" t="inlineStr">
        <is>
          <t>2002-07-26</t>
        </is>
      </c>
      <c r="Y294" t="n">
        <v>113</v>
      </c>
      <c r="Z294" t="n">
        <v>97</v>
      </c>
      <c r="AA294" t="n">
        <v>98</v>
      </c>
      <c r="AB294" t="n">
        <v>1</v>
      </c>
      <c r="AC294" t="n">
        <v>1</v>
      </c>
      <c r="AD294" t="n">
        <v>1</v>
      </c>
      <c r="AE294" t="n">
        <v>1</v>
      </c>
      <c r="AF294" t="n">
        <v>0</v>
      </c>
      <c r="AG294" t="n">
        <v>0</v>
      </c>
      <c r="AH294" t="n">
        <v>1</v>
      </c>
      <c r="AI294" t="n">
        <v>1</v>
      </c>
      <c r="AJ294" t="n">
        <v>0</v>
      </c>
      <c r="AK294" t="n">
        <v>0</v>
      </c>
      <c r="AL294" t="n">
        <v>0</v>
      </c>
      <c r="AM294" t="n">
        <v>0</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HYPERLINK("https://creighton-primo.hosted.exlibrisgroup.com/primo-explore/search?tab=default_tab&amp;search_scope=EVERYTHING&amp;vid=01CRU&amp;lang=en_US&amp;offset=0&amp;query=any,contains,991000326819702656","Catalog Record")</f>
        <v/>
      </c>
      <c r="AT294">
        <f>HYPERLINK("http://www.worldcat.org/oclc/25747313","WorldCat Record")</f>
        <v/>
      </c>
      <c r="AU294" t="inlineStr">
        <is>
          <t>55577581:eng</t>
        </is>
      </c>
      <c r="AV294" t="inlineStr">
        <is>
          <t>25747313</t>
        </is>
      </c>
      <c r="AW294" t="inlineStr">
        <is>
          <t>991000326819702656</t>
        </is>
      </c>
      <c r="AX294" t="inlineStr">
        <is>
          <t>991000326819702656</t>
        </is>
      </c>
      <c r="AY294" t="inlineStr">
        <is>
          <t>2269866580002656</t>
        </is>
      </c>
      <c r="AZ294" t="inlineStr">
        <is>
          <t>BOOK</t>
        </is>
      </c>
      <c r="BB294" t="inlineStr">
        <is>
          <t>9780849357619</t>
        </is>
      </c>
      <c r="BC294" t="inlineStr">
        <is>
          <t>30001004377612</t>
        </is>
      </c>
      <c r="BD294" t="inlineStr">
        <is>
          <t>893633775</t>
        </is>
      </c>
    </row>
    <row r="295">
      <c r="A295" t="inlineStr">
        <is>
          <t>No</t>
        </is>
      </c>
      <c r="B295" t="inlineStr">
        <is>
          <t>QZ 202 A362o 1986</t>
        </is>
      </c>
      <c r="C295" t="inlineStr">
        <is>
          <t>0                      QZ 0202000A  362o        1986</t>
        </is>
      </c>
      <c r="D295" t="inlineStr">
        <is>
          <t>Occupational cancer / Michael Alderson.</t>
        </is>
      </c>
      <c r="F295" t="inlineStr">
        <is>
          <t>No</t>
        </is>
      </c>
      <c r="G295" t="inlineStr">
        <is>
          <t>1</t>
        </is>
      </c>
      <c r="H295" t="inlineStr">
        <is>
          <t>No</t>
        </is>
      </c>
      <c r="I295" t="inlineStr">
        <is>
          <t>No</t>
        </is>
      </c>
      <c r="J295" t="inlineStr">
        <is>
          <t>0</t>
        </is>
      </c>
      <c r="K295" t="inlineStr">
        <is>
          <t>Alderson, M. R. (Michael Rowland)</t>
        </is>
      </c>
      <c r="L295" t="inlineStr">
        <is>
          <t>London ; Boston : Butterworths, c1986.</t>
        </is>
      </c>
      <c r="M295" t="inlineStr">
        <is>
          <t>1986</t>
        </is>
      </c>
      <c r="O295" t="inlineStr">
        <is>
          <t>eng</t>
        </is>
      </c>
      <c r="P295" t="inlineStr">
        <is>
          <t>enk</t>
        </is>
      </c>
      <c r="R295" t="inlineStr">
        <is>
          <t xml:space="preserve">QZ </t>
        </is>
      </c>
      <c r="S295" t="n">
        <v>3</v>
      </c>
      <c r="T295" t="n">
        <v>3</v>
      </c>
      <c r="U295" t="inlineStr">
        <is>
          <t>1991-05-22</t>
        </is>
      </c>
      <c r="V295" t="inlineStr">
        <is>
          <t>1991-05-22</t>
        </is>
      </c>
      <c r="W295" t="inlineStr">
        <is>
          <t>1988-02-19</t>
        </is>
      </c>
      <c r="X295" t="inlineStr">
        <is>
          <t>1988-02-19</t>
        </is>
      </c>
      <c r="Y295" t="n">
        <v>197</v>
      </c>
      <c r="Z295" t="n">
        <v>121</v>
      </c>
      <c r="AA295" t="n">
        <v>125</v>
      </c>
      <c r="AB295" t="n">
        <v>1</v>
      </c>
      <c r="AC295" t="n">
        <v>1</v>
      </c>
      <c r="AD295" t="n">
        <v>1</v>
      </c>
      <c r="AE295" t="n">
        <v>1</v>
      </c>
      <c r="AF295" t="n">
        <v>1</v>
      </c>
      <c r="AG295" t="n">
        <v>1</v>
      </c>
      <c r="AH295" t="n">
        <v>0</v>
      </c>
      <c r="AI295" t="n">
        <v>0</v>
      </c>
      <c r="AJ295" t="n">
        <v>0</v>
      </c>
      <c r="AK295" t="n">
        <v>0</v>
      </c>
      <c r="AL295" t="n">
        <v>0</v>
      </c>
      <c r="AM295" t="n">
        <v>0</v>
      </c>
      <c r="AN295" t="n">
        <v>0</v>
      </c>
      <c r="AO295" t="n">
        <v>0</v>
      </c>
      <c r="AP295" t="inlineStr">
        <is>
          <t>No</t>
        </is>
      </c>
      <c r="AQ295" t="inlineStr">
        <is>
          <t>Yes</t>
        </is>
      </c>
      <c r="AR295">
        <f>HYPERLINK("http://catalog.hathitrust.org/Record/000382465","HathiTrust Record")</f>
        <v/>
      </c>
      <c r="AS295">
        <f>HYPERLINK("https://creighton-primo.hosted.exlibrisgroup.com/primo-explore/search?tab=default_tab&amp;search_scope=EVERYTHING&amp;vid=01CRU&amp;lang=en_US&amp;offset=0&amp;query=any,contains,991001092689702656","Catalog Record")</f>
        <v/>
      </c>
      <c r="AT295">
        <f>HYPERLINK("http://www.worldcat.org/oclc/12421415","WorldCat Record")</f>
        <v/>
      </c>
      <c r="AU295" t="inlineStr">
        <is>
          <t>5053620:eng</t>
        </is>
      </c>
      <c r="AV295" t="inlineStr">
        <is>
          <t>12421415</t>
        </is>
      </c>
      <c r="AW295" t="inlineStr">
        <is>
          <t>991001092689702656</t>
        </is>
      </c>
      <c r="AX295" t="inlineStr">
        <is>
          <t>991001092689702656</t>
        </is>
      </c>
      <c r="AY295" t="inlineStr">
        <is>
          <t>2269153130002656</t>
        </is>
      </c>
      <c r="AZ295" t="inlineStr">
        <is>
          <t>BOOK</t>
        </is>
      </c>
      <c r="BB295" t="inlineStr">
        <is>
          <t>9780407002975</t>
        </is>
      </c>
      <c r="BC295" t="inlineStr">
        <is>
          <t>30001000263790</t>
        </is>
      </c>
      <c r="BD295" t="inlineStr">
        <is>
          <t>893820896</t>
        </is>
      </c>
    </row>
    <row r="296">
      <c r="A296" t="inlineStr">
        <is>
          <t>No</t>
        </is>
      </c>
      <c r="B296" t="inlineStr">
        <is>
          <t>QZ 202 A844d 1982</t>
        </is>
      </c>
      <c r="C296" t="inlineStr">
        <is>
          <t>0                      QZ 0202000A  844d        1982</t>
        </is>
      </c>
      <c r="D296" t="inlineStr">
        <is>
          <t>Diet, nutrition, and cancer / Committee on Diet, Nutrition, and Cancer, Assembly of Life Sciences, National Research Council.</t>
        </is>
      </c>
      <c r="F296" t="inlineStr">
        <is>
          <t>No</t>
        </is>
      </c>
      <c r="G296" t="inlineStr">
        <is>
          <t>1</t>
        </is>
      </c>
      <c r="H296" t="inlineStr">
        <is>
          <t>No</t>
        </is>
      </c>
      <c r="I296" t="inlineStr">
        <is>
          <t>No</t>
        </is>
      </c>
      <c r="J296" t="inlineStr">
        <is>
          <t>6</t>
        </is>
      </c>
      <c r="K296" t="inlineStr">
        <is>
          <t>Assembly of Life Sciences (U.S.). Committee on Diet, Nutrition, and Cancer.</t>
        </is>
      </c>
      <c r="L296" t="inlineStr">
        <is>
          <t>Washington, D.C. : National Academy Press, 1982.</t>
        </is>
      </c>
      <c r="M296" t="inlineStr">
        <is>
          <t>1982</t>
        </is>
      </c>
      <c r="O296" t="inlineStr">
        <is>
          <t>eng</t>
        </is>
      </c>
      <c r="P296" t="inlineStr">
        <is>
          <t>xxu</t>
        </is>
      </c>
      <c r="R296" t="inlineStr">
        <is>
          <t xml:space="preserve">QZ </t>
        </is>
      </c>
      <c r="S296" t="n">
        <v>6</v>
      </c>
      <c r="T296" t="n">
        <v>6</v>
      </c>
      <c r="U296" t="inlineStr">
        <is>
          <t>1992-03-21</t>
        </is>
      </c>
      <c r="V296" t="inlineStr">
        <is>
          <t>1992-03-21</t>
        </is>
      </c>
      <c r="W296" t="inlineStr">
        <is>
          <t>1988-02-19</t>
        </is>
      </c>
      <c r="X296" t="inlineStr">
        <is>
          <t>1988-02-19</t>
        </is>
      </c>
      <c r="Y296" t="n">
        <v>664</v>
      </c>
      <c r="Z296" t="n">
        <v>594</v>
      </c>
      <c r="AA296" t="n">
        <v>1613</v>
      </c>
      <c r="AB296" t="n">
        <v>5</v>
      </c>
      <c r="AC296" t="n">
        <v>15</v>
      </c>
      <c r="AD296" t="n">
        <v>22</v>
      </c>
      <c r="AE296" t="n">
        <v>51</v>
      </c>
      <c r="AF296" t="n">
        <v>8</v>
      </c>
      <c r="AG296" t="n">
        <v>15</v>
      </c>
      <c r="AH296" t="n">
        <v>3</v>
      </c>
      <c r="AI296" t="n">
        <v>10</v>
      </c>
      <c r="AJ296" t="n">
        <v>12</v>
      </c>
      <c r="AK296" t="n">
        <v>20</v>
      </c>
      <c r="AL296" t="n">
        <v>3</v>
      </c>
      <c r="AM296" t="n">
        <v>12</v>
      </c>
      <c r="AN296" t="n">
        <v>0</v>
      </c>
      <c r="AO296" t="n">
        <v>2</v>
      </c>
      <c r="AP296" t="inlineStr">
        <is>
          <t>No</t>
        </is>
      </c>
      <c r="AQ296" t="inlineStr">
        <is>
          <t>Yes</t>
        </is>
      </c>
      <c r="AR296">
        <f>HYPERLINK("http://catalog.hathitrust.org/Record/000145471","HathiTrust Record")</f>
        <v/>
      </c>
      <c r="AS296">
        <f>HYPERLINK("https://creighton-primo.hosted.exlibrisgroup.com/primo-explore/search?tab=default_tab&amp;search_scope=EVERYTHING&amp;vid=01CRU&amp;lang=en_US&amp;offset=0&amp;query=any,contains,991001092639702656","Catalog Record")</f>
        <v/>
      </c>
      <c r="AT296">
        <f>HYPERLINK("http://www.worldcat.org/oclc/8570015","WorldCat Record")</f>
        <v/>
      </c>
      <c r="AU296" t="inlineStr">
        <is>
          <t>53910334:eng</t>
        </is>
      </c>
      <c r="AV296" t="inlineStr">
        <is>
          <t>8570015</t>
        </is>
      </c>
      <c r="AW296" t="inlineStr">
        <is>
          <t>991001092639702656</t>
        </is>
      </c>
      <c r="AX296" t="inlineStr">
        <is>
          <t>991001092639702656</t>
        </is>
      </c>
      <c r="AY296" t="inlineStr">
        <is>
          <t>2267019710002656</t>
        </is>
      </c>
      <c r="AZ296" t="inlineStr">
        <is>
          <t>BOOK</t>
        </is>
      </c>
      <c r="BB296" t="inlineStr">
        <is>
          <t>9780309032803</t>
        </is>
      </c>
      <c r="BC296" t="inlineStr">
        <is>
          <t>30001000263782</t>
        </is>
      </c>
      <c r="BD296" t="inlineStr">
        <is>
          <t>893637994</t>
        </is>
      </c>
    </row>
    <row r="297">
      <c r="A297" t="inlineStr">
        <is>
          <t>No</t>
        </is>
      </c>
      <c r="B297" t="inlineStr">
        <is>
          <t>QZ 202 A845 1992</t>
        </is>
      </c>
      <c r="C297" t="inlineStr">
        <is>
          <t>0                      QZ 0202000A  845         1992</t>
        </is>
      </c>
      <c r="D297" t="inlineStr">
        <is>
          <t>Assessment of cell proliferation in clinical practice / edited by Peter A. Hall, David A. Levison, Nicholas A. Wright.</t>
        </is>
      </c>
      <c r="F297" t="inlineStr">
        <is>
          <t>No</t>
        </is>
      </c>
      <c r="G297" t="inlineStr">
        <is>
          <t>1</t>
        </is>
      </c>
      <c r="H297" t="inlineStr">
        <is>
          <t>No</t>
        </is>
      </c>
      <c r="I297" t="inlineStr">
        <is>
          <t>No</t>
        </is>
      </c>
      <c r="J297" t="inlineStr">
        <is>
          <t>0</t>
        </is>
      </c>
      <c r="L297" t="inlineStr">
        <is>
          <t>London ; New York : Springer-Verlag, c1992.</t>
        </is>
      </c>
      <c r="M297" t="inlineStr">
        <is>
          <t>1992</t>
        </is>
      </c>
      <c r="O297" t="inlineStr">
        <is>
          <t>eng</t>
        </is>
      </c>
      <c r="P297" t="inlineStr">
        <is>
          <t>enk</t>
        </is>
      </c>
      <c r="R297" t="inlineStr">
        <is>
          <t xml:space="preserve">QZ </t>
        </is>
      </c>
      <c r="S297" t="n">
        <v>1</v>
      </c>
      <c r="T297" t="n">
        <v>1</v>
      </c>
      <c r="U297" t="inlineStr">
        <is>
          <t>1992-02-21</t>
        </is>
      </c>
      <c r="V297" t="inlineStr">
        <is>
          <t>1992-02-21</t>
        </is>
      </c>
      <c r="W297" t="inlineStr">
        <is>
          <t>1992-02-20</t>
        </is>
      </c>
      <c r="X297" t="inlineStr">
        <is>
          <t>1992-02-20</t>
        </is>
      </c>
      <c r="Y297" t="n">
        <v>36</v>
      </c>
      <c r="Z297" t="n">
        <v>27</v>
      </c>
      <c r="AA297" t="n">
        <v>63</v>
      </c>
      <c r="AB297" t="n">
        <v>1</v>
      </c>
      <c r="AC297" t="n">
        <v>1</v>
      </c>
      <c r="AD297" t="n">
        <v>0</v>
      </c>
      <c r="AE297" t="n">
        <v>0</v>
      </c>
      <c r="AF297" t="n">
        <v>0</v>
      </c>
      <c r="AG297" t="n">
        <v>0</v>
      </c>
      <c r="AH297" t="n">
        <v>0</v>
      </c>
      <c r="AI297" t="n">
        <v>0</v>
      </c>
      <c r="AJ297" t="n">
        <v>0</v>
      </c>
      <c r="AK297" t="n">
        <v>0</v>
      </c>
      <c r="AL297" t="n">
        <v>0</v>
      </c>
      <c r="AM297" t="n">
        <v>0</v>
      </c>
      <c r="AN297" t="n">
        <v>0</v>
      </c>
      <c r="AO297" t="n">
        <v>0</v>
      </c>
      <c r="AP297" t="inlineStr">
        <is>
          <t>No</t>
        </is>
      </c>
      <c r="AQ297" t="inlineStr">
        <is>
          <t>Yes</t>
        </is>
      </c>
      <c r="AR297">
        <f>HYPERLINK("http://catalog.hathitrust.org/Record/002507205","HathiTrust Record")</f>
        <v/>
      </c>
      <c r="AS297">
        <f>HYPERLINK("https://creighton-primo.hosted.exlibrisgroup.com/primo-explore/search?tab=default_tab&amp;search_scope=EVERYTHING&amp;vid=01CRU&amp;lang=en_US&amp;offset=0&amp;query=any,contains,991001297329702656","Catalog Record")</f>
        <v/>
      </c>
      <c r="AT297">
        <f>HYPERLINK("http://www.worldcat.org/oclc/23941698","WorldCat Record")</f>
        <v/>
      </c>
      <c r="AU297" t="inlineStr">
        <is>
          <t>356407990:eng</t>
        </is>
      </c>
      <c r="AV297" t="inlineStr">
        <is>
          <t>23941698</t>
        </is>
      </c>
      <c r="AW297" t="inlineStr">
        <is>
          <t>991001297329702656</t>
        </is>
      </c>
      <c r="AX297" t="inlineStr">
        <is>
          <t>991001297329702656</t>
        </is>
      </c>
      <c r="AY297" t="inlineStr">
        <is>
          <t>2270407480002656</t>
        </is>
      </c>
      <c r="AZ297" t="inlineStr">
        <is>
          <t>BOOK</t>
        </is>
      </c>
      <c r="BB297" t="inlineStr">
        <is>
          <t>9780387197005</t>
        </is>
      </c>
      <c r="BC297" t="inlineStr">
        <is>
          <t>30001002410266</t>
        </is>
      </c>
      <c r="BD297" t="inlineStr">
        <is>
          <t>893821101</t>
        </is>
      </c>
    </row>
    <row r="298">
      <c r="A298" t="inlineStr">
        <is>
          <t>No</t>
        </is>
      </c>
      <c r="B298" t="inlineStr">
        <is>
          <t>QZ 202 B783z 2007a</t>
        </is>
      </c>
      <c r="C298" t="inlineStr">
        <is>
          <t>0                      QZ 0202000B  783z        2007a</t>
        </is>
      </c>
      <c r="D298" t="inlineStr">
        <is>
          <t>Concerning the origin of malignant tumours / by Theodor Boveri ; translated &amp; annotated by Henry Harris.</t>
        </is>
      </c>
      <c r="F298" t="inlineStr">
        <is>
          <t>No</t>
        </is>
      </c>
      <c r="G298" t="inlineStr">
        <is>
          <t>1</t>
        </is>
      </c>
      <c r="H298" t="inlineStr">
        <is>
          <t>No</t>
        </is>
      </c>
      <c r="I298" t="inlineStr">
        <is>
          <t>No</t>
        </is>
      </c>
      <c r="J298" t="inlineStr">
        <is>
          <t>0</t>
        </is>
      </c>
      <c r="K298" t="inlineStr">
        <is>
          <t>Boveri, Theodor, 1862-1915.</t>
        </is>
      </c>
      <c r="L298" t="inlineStr">
        <is>
          <t>[Cambridge, England] : The Company of Biologists ; Woodbury, N.Y. : Cold Spring Harbor Laboratory Press, 2008, c2007.</t>
        </is>
      </c>
      <c r="M298" t="inlineStr">
        <is>
          <t>2008</t>
        </is>
      </c>
      <c r="O298" t="inlineStr">
        <is>
          <t>eng</t>
        </is>
      </c>
      <c r="P298" t="inlineStr">
        <is>
          <t>enk</t>
        </is>
      </c>
      <c r="R298" t="inlineStr">
        <is>
          <t xml:space="preserve">QZ </t>
        </is>
      </c>
      <c r="S298" t="n">
        <v>0</v>
      </c>
      <c r="T298" t="n">
        <v>0</v>
      </c>
      <c r="U298" t="inlineStr">
        <is>
          <t>2010-09-10</t>
        </is>
      </c>
      <c r="V298" t="inlineStr">
        <is>
          <t>2010-09-10</t>
        </is>
      </c>
      <c r="W298" t="inlineStr">
        <is>
          <t>2010-09-10</t>
        </is>
      </c>
      <c r="X298" t="inlineStr">
        <is>
          <t>2010-09-10</t>
        </is>
      </c>
      <c r="Y298" t="n">
        <v>69</v>
      </c>
      <c r="Z298" t="n">
        <v>54</v>
      </c>
      <c r="AA298" t="n">
        <v>59</v>
      </c>
      <c r="AB298" t="n">
        <v>1</v>
      </c>
      <c r="AC298" t="n">
        <v>1</v>
      </c>
      <c r="AD298" t="n">
        <v>2</v>
      </c>
      <c r="AE298" t="n">
        <v>2</v>
      </c>
      <c r="AF298" t="n">
        <v>0</v>
      </c>
      <c r="AG298" t="n">
        <v>0</v>
      </c>
      <c r="AH298" t="n">
        <v>1</v>
      </c>
      <c r="AI298" t="n">
        <v>1</v>
      </c>
      <c r="AJ298" t="n">
        <v>2</v>
      </c>
      <c r="AK298" t="n">
        <v>2</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HYPERLINK("https://creighton-primo.hosted.exlibrisgroup.com/primo-explore/search?tab=default_tab&amp;search_scope=EVERYTHING&amp;vid=01CRU&amp;lang=en_US&amp;offset=0&amp;query=any,contains,991000032089702656","Catalog Record")</f>
        <v/>
      </c>
      <c r="AT298">
        <f>HYPERLINK("http://www.worldcat.org/oclc/166454355","WorldCat Record")</f>
        <v/>
      </c>
      <c r="AU298" t="inlineStr">
        <is>
          <t>796143505:eng</t>
        </is>
      </c>
      <c r="AV298" t="inlineStr">
        <is>
          <t>166454355</t>
        </is>
      </c>
      <c r="AW298" t="inlineStr">
        <is>
          <t>991000032089702656</t>
        </is>
      </c>
      <c r="AX298" t="inlineStr">
        <is>
          <t>991000032089702656</t>
        </is>
      </c>
      <c r="AY298" t="inlineStr">
        <is>
          <t>2256230140002656</t>
        </is>
      </c>
      <c r="AZ298" t="inlineStr">
        <is>
          <t>BOOK</t>
        </is>
      </c>
      <c r="BB298" t="inlineStr">
        <is>
          <t>9780879697884</t>
        </is>
      </c>
      <c r="BC298" t="inlineStr">
        <is>
          <t>30001005347986</t>
        </is>
      </c>
      <c r="BD298" t="inlineStr">
        <is>
          <t>893832694</t>
        </is>
      </c>
    </row>
    <row r="299">
      <c r="A299" t="inlineStr">
        <is>
          <t>No</t>
        </is>
      </c>
      <c r="B299" t="inlineStr">
        <is>
          <t>QZ 202 C2157 1986</t>
        </is>
      </c>
      <c r="C299" t="inlineStr">
        <is>
          <t>0                      QZ 0202000C  2157        1986</t>
        </is>
      </c>
      <c r="D299" t="inlineStr">
        <is>
          <t>Cancer, stress, and death / edited by Stacey B. Day.</t>
        </is>
      </c>
      <c r="F299" t="inlineStr">
        <is>
          <t>No</t>
        </is>
      </c>
      <c r="G299" t="inlineStr">
        <is>
          <t>1</t>
        </is>
      </c>
      <c r="H299" t="inlineStr">
        <is>
          <t>Yes</t>
        </is>
      </c>
      <c r="I299" t="inlineStr">
        <is>
          <t>No</t>
        </is>
      </c>
      <c r="J299" t="inlineStr">
        <is>
          <t>0</t>
        </is>
      </c>
      <c r="L299" t="inlineStr">
        <is>
          <t>New York : Plenum Medical Book Co., c1986.</t>
        </is>
      </c>
      <c r="M299" t="inlineStr">
        <is>
          <t>1986</t>
        </is>
      </c>
      <c r="N299" t="inlineStr">
        <is>
          <t>2nd ed.</t>
        </is>
      </c>
      <c r="O299" t="inlineStr">
        <is>
          <t>eng</t>
        </is>
      </c>
      <c r="P299" t="inlineStr">
        <is>
          <t>xxu</t>
        </is>
      </c>
      <c r="R299" t="inlineStr">
        <is>
          <t xml:space="preserve">QZ </t>
        </is>
      </c>
      <c r="S299" t="n">
        <v>3</v>
      </c>
      <c r="T299" t="n">
        <v>3</v>
      </c>
      <c r="U299" t="inlineStr">
        <is>
          <t>1988-04-21</t>
        </is>
      </c>
      <c r="V299" t="inlineStr">
        <is>
          <t>1988-04-21</t>
        </is>
      </c>
      <c r="W299" t="inlineStr">
        <is>
          <t>1988-02-19</t>
        </is>
      </c>
      <c r="X299" t="inlineStr">
        <is>
          <t>1988-02-19</t>
        </is>
      </c>
      <c r="Y299" t="n">
        <v>295</v>
      </c>
      <c r="Z299" t="n">
        <v>219</v>
      </c>
      <c r="AA299" t="n">
        <v>402</v>
      </c>
      <c r="AB299" t="n">
        <v>3</v>
      </c>
      <c r="AC299" t="n">
        <v>3</v>
      </c>
      <c r="AD299" t="n">
        <v>10</v>
      </c>
      <c r="AE299" t="n">
        <v>15</v>
      </c>
      <c r="AF299" t="n">
        <v>2</v>
      </c>
      <c r="AG299" t="n">
        <v>5</v>
      </c>
      <c r="AH299" t="n">
        <v>1</v>
      </c>
      <c r="AI299" t="n">
        <v>2</v>
      </c>
      <c r="AJ299" t="n">
        <v>7</v>
      </c>
      <c r="AK299" t="n">
        <v>10</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HYPERLINK("https://creighton-primo.hosted.exlibrisgroup.com/primo-explore/search?tab=default_tab&amp;search_scope=EVERYTHING&amp;vid=01CRU&amp;lang=en_US&amp;offset=0&amp;query=any,contains,991001092599702656","Catalog Record")</f>
        <v/>
      </c>
      <c r="AT299">
        <f>HYPERLINK("http://www.worldcat.org/oclc/13124129","WorldCat Record")</f>
        <v/>
      </c>
      <c r="AU299" t="inlineStr">
        <is>
          <t>1117977850:eng</t>
        </is>
      </c>
      <c r="AV299" t="inlineStr">
        <is>
          <t>13124129</t>
        </is>
      </c>
      <c r="AW299" t="inlineStr">
        <is>
          <t>991001092599702656</t>
        </is>
      </c>
      <c r="AX299" t="inlineStr">
        <is>
          <t>991001092599702656</t>
        </is>
      </c>
      <c r="AY299" t="inlineStr">
        <is>
          <t>2271420180002656</t>
        </is>
      </c>
      <c r="AZ299" t="inlineStr">
        <is>
          <t>BOOK</t>
        </is>
      </c>
      <c r="BB299" t="inlineStr">
        <is>
          <t>9780306421877</t>
        </is>
      </c>
      <c r="BC299" t="inlineStr">
        <is>
          <t>30001000263642</t>
        </is>
      </c>
      <c r="BD299" t="inlineStr">
        <is>
          <t>893541008</t>
        </is>
      </c>
    </row>
    <row r="300">
      <c r="A300" t="inlineStr">
        <is>
          <t>No</t>
        </is>
      </c>
      <c r="B300" t="inlineStr">
        <is>
          <t>QZ 202 C3923 1996</t>
        </is>
      </c>
      <c r="C300" t="inlineStr">
        <is>
          <t>0                      QZ 0202000C  3923        1996</t>
        </is>
      </c>
      <c r="D300" t="inlineStr">
        <is>
          <t>Cell adhesion and invasion in cancer metastasis / [edited by] Pnina Brodt.</t>
        </is>
      </c>
      <c r="F300" t="inlineStr">
        <is>
          <t>No</t>
        </is>
      </c>
      <c r="G300" t="inlineStr">
        <is>
          <t>1</t>
        </is>
      </c>
      <c r="H300" t="inlineStr">
        <is>
          <t>No</t>
        </is>
      </c>
      <c r="I300" t="inlineStr">
        <is>
          <t>No</t>
        </is>
      </c>
      <c r="J300" t="inlineStr">
        <is>
          <t>0</t>
        </is>
      </c>
      <c r="L300" t="inlineStr">
        <is>
          <t>Austin : R.G. Landes ; New York : [Distributed by] Chapman &amp; Hall, c1996.</t>
        </is>
      </c>
      <c r="M300" t="inlineStr">
        <is>
          <t>1996</t>
        </is>
      </c>
      <c r="O300" t="inlineStr">
        <is>
          <t>eng</t>
        </is>
      </c>
      <c r="P300" t="inlineStr">
        <is>
          <t>txu</t>
        </is>
      </c>
      <c r="Q300" t="inlineStr">
        <is>
          <t>Medical intelligence unit</t>
        </is>
      </c>
      <c r="R300" t="inlineStr">
        <is>
          <t xml:space="preserve">QZ </t>
        </is>
      </c>
      <c r="S300" t="n">
        <v>3</v>
      </c>
      <c r="T300" t="n">
        <v>3</v>
      </c>
      <c r="U300" t="inlineStr">
        <is>
          <t>1999-10-11</t>
        </is>
      </c>
      <c r="V300" t="inlineStr">
        <is>
          <t>1999-10-11</t>
        </is>
      </c>
      <c r="W300" t="inlineStr">
        <is>
          <t>1997-05-02</t>
        </is>
      </c>
      <c r="X300" t="inlineStr">
        <is>
          <t>1997-05-02</t>
        </is>
      </c>
      <c r="Y300" t="n">
        <v>64</v>
      </c>
      <c r="Z300" t="n">
        <v>48</v>
      </c>
      <c r="AA300" t="n">
        <v>49</v>
      </c>
      <c r="AB300" t="n">
        <v>1</v>
      </c>
      <c r="AC300" t="n">
        <v>1</v>
      </c>
      <c r="AD300" t="n">
        <v>1</v>
      </c>
      <c r="AE300" t="n">
        <v>1</v>
      </c>
      <c r="AF300" t="n">
        <v>0</v>
      </c>
      <c r="AG300" t="n">
        <v>0</v>
      </c>
      <c r="AH300" t="n">
        <v>1</v>
      </c>
      <c r="AI300" t="n">
        <v>1</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HYPERLINK("https://creighton-primo.hosted.exlibrisgroup.com/primo-explore/search?tab=default_tab&amp;search_scope=EVERYTHING&amp;vid=01CRU&amp;lang=en_US&amp;offset=0&amp;query=any,contains,991001058479702656","Catalog Record")</f>
        <v/>
      </c>
      <c r="AT300">
        <f>HYPERLINK("http://www.worldcat.org/oclc/33489226","WorldCat Record")</f>
        <v/>
      </c>
      <c r="AU300" t="inlineStr">
        <is>
          <t>38404121:eng</t>
        </is>
      </c>
      <c r="AV300" t="inlineStr">
        <is>
          <t>33489226</t>
        </is>
      </c>
      <c r="AW300" t="inlineStr">
        <is>
          <t>991001058479702656</t>
        </is>
      </c>
      <c r="AX300" t="inlineStr">
        <is>
          <t>991001058479702656</t>
        </is>
      </c>
      <c r="AY300" t="inlineStr">
        <is>
          <t>2266097080002656</t>
        </is>
      </c>
      <c r="AZ300" t="inlineStr">
        <is>
          <t>BOOK</t>
        </is>
      </c>
      <c r="BB300" t="inlineStr">
        <is>
          <t>9780412101519</t>
        </is>
      </c>
      <c r="BC300" t="inlineStr">
        <is>
          <t>30001003588763</t>
        </is>
      </c>
      <c r="BD300" t="inlineStr">
        <is>
          <t>893632687</t>
        </is>
      </c>
    </row>
    <row r="301">
      <c r="A301" t="inlineStr">
        <is>
          <t>No</t>
        </is>
      </c>
      <c r="B301" t="inlineStr">
        <is>
          <t>QZ 202 C738 1988</t>
        </is>
      </c>
      <c r="C301" t="inlineStr">
        <is>
          <t>0                      QZ 0202000C  738         1988</t>
        </is>
      </c>
      <c r="D301" t="inlineStr">
        <is>
          <t>Computer simulation of carcinogenic processes / editor, B.D. Silverman.</t>
        </is>
      </c>
      <c r="F301" t="inlineStr">
        <is>
          <t>No</t>
        </is>
      </c>
      <c r="G301" t="inlineStr">
        <is>
          <t>1</t>
        </is>
      </c>
      <c r="H301" t="inlineStr">
        <is>
          <t>No</t>
        </is>
      </c>
      <c r="I301" t="inlineStr">
        <is>
          <t>No</t>
        </is>
      </c>
      <c r="J301" t="inlineStr">
        <is>
          <t>0</t>
        </is>
      </c>
      <c r="L301" t="inlineStr">
        <is>
          <t>Boca Raton, Fla. : CRC Press, c1988.</t>
        </is>
      </c>
      <c r="M301" t="inlineStr">
        <is>
          <t>1988</t>
        </is>
      </c>
      <c r="O301" t="inlineStr">
        <is>
          <t>eng</t>
        </is>
      </c>
      <c r="P301" t="inlineStr">
        <is>
          <t>xxu</t>
        </is>
      </c>
      <c r="R301" t="inlineStr">
        <is>
          <t xml:space="preserve">QZ </t>
        </is>
      </c>
      <c r="S301" t="n">
        <v>2</v>
      </c>
      <c r="T301" t="n">
        <v>2</v>
      </c>
      <c r="U301" t="inlineStr">
        <is>
          <t>1996-06-19</t>
        </is>
      </c>
      <c r="V301" t="inlineStr">
        <is>
          <t>1996-06-19</t>
        </is>
      </c>
      <c r="W301" t="inlineStr">
        <is>
          <t>1988-06-04</t>
        </is>
      </c>
      <c r="X301" t="inlineStr">
        <is>
          <t>1988-06-04</t>
        </is>
      </c>
      <c r="Y301" t="n">
        <v>72</v>
      </c>
      <c r="Z301" t="n">
        <v>57</v>
      </c>
      <c r="AA301" t="n">
        <v>59</v>
      </c>
      <c r="AB301" t="n">
        <v>1</v>
      </c>
      <c r="AC301" t="n">
        <v>1</v>
      </c>
      <c r="AD301" t="n">
        <v>0</v>
      </c>
      <c r="AE301" t="n">
        <v>0</v>
      </c>
      <c r="AF301" t="n">
        <v>0</v>
      </c>
      <c r="AG301" t="n">
        <v>0</v>
      </c>
      <c r="AH301" t="n">
        <v>0</v>
      </c>
      <c r="AI301" t="n">
        <v>0</v>
      </c>
      <c r="AJ301" t="n">
        <v>0</v>
      </c>
      <c r="AK301" t="n">
        <v>0</v>
      </c>
      <c r="AL301" t="n">
        <v>0</v>
      </c>
      <c r="AM301" t="n">
        <v>0</v>
      </c>
      <c r="AN301" t="n">
        <v>0</v>
      </c>
      <c r="AO301" t="n">
        <v>0</v>
      </c>
      <c r="AP301" t="inlineStr">
        <is>
          <t>No</t>
        </is>
      </c>
      <c r="AQ301" t="inlineStr">
        <is>
          <t>Yes</t>
        </is>
      </c>
      <c r="AR301">
        <f>HYPERLINK("http://catalog.hathitrust.org/Record/000872379","HathiTrust Record")</f>
        <v/>
      </c>
      <c r="AS301">
        <f>HYPERLINK("https://creighton-primo.hosted.exlibrisgroup.com/primo-explore/search?tab=default_tab&amp;search_scope=EVERYTHING&amp;vid=01CRU&amp;lang=en_US&amp;offset=0&amp;query=any,contains,991001194159702656","Catalog Record")</f>
        <v/>
      </c>
      <c r="AT301">
        <f>HYPERLINK("http://www.worldcat.org/oclc/16526352","WorldCat Record")</f>
        <v/>
      </c>
      <c r="AU301" t="inlineStr">
        <is>
          <t>12487002:eng</t>
        </is>
      </c>
      <c r="AV301" t="inlineStr">
        <is>
          <t>16526352</t>
        </is>
      </c>
      <c r="AW301" t="inlineStr">
        <is>
          <t>991001194159702656</t>
        </is>
      </c>
      <c r="AX301" t="inlineStr">
        <is>
          <t>991001194159702656</t>
        </is>
      </c>
      <c r="AY301" t="inlineStr">
        <is>
          <t>2263603460002656</t>
        </is>
      </c>
      <c r="AZ301" t="inlineStr">
        <is>
          <t>BOOK</t>
        </is>
      </c>
      <c r="BB301" t="inlineStr">
        <is>
          <t>9780849365393</t>
        </is>
      </c>
      <c r="BC301" t="inlineStr">
        <is>
          <t>30001000979965</t>
        </is>
      </c>
      <c r="BD301" t="inlineStr">
        <is>
          <t>893358317</t>
        </is>
      </c>
    </row>
    <row r="302">
      <c r="A302" t="inlineStr">
        <is>
          <t>No</t>
        </is>
      </c>
      <c r="B302" t="inlineStr">
        <is>
          <t>QZ 202 C912d 1985</t>
        </is>
      </c>
      <c r="C302" t="inlineStr">
        <is>
          <t>0                      QZ 0202000C  912d        1985</t>
        </is>
      </c>
      <c r="D302" t="inlineStr">
        <is>
          <t>Diet and cancer / William A. Creasey.</t>
        </is>
      </c>
      <c r="F302" t="inlineStr">
        <is>
          <t>No</t>
        </is>
      </c>
      <c r="G302" t="inlineStr">
        <is>
          <t>1</t>
        </is>
      </c>
      <c r="H302" t="inlineStr">
        <is>
          <t>No</t>
        </is>
      </c>
      <c r="I302" t="inlineStr">
        <is>
          <t>No</t>
        </is>
      </c>
      <c r="J302" t="inlineStr">
        <is>
          <t>0</t>
        </is>
      </c>
      <c r="K302" t="inlineStr">
        <is>
          <t>Creasey, William A.</t>
        </is>
      </c>
      <c r="L302" t="inlineStr">
        <is>
          <t>Philadelphia : Lea &amp; Febiger, c1985.</t>
        </is>
      </c>
      <c r="M302" t="inlineStr">
        <is>
          <t>1985</t>
        </is>
      </c>
      <c r="O302" t="inlineStr">
        <is>
          <t>eng</t>
        </is>
      </c>
      <c r="P302" t="inlineStr">
        <is>
          <t>xxu</t>
        </is>
      </c>
      <c r="R302" t="inlineStr">
        <is>
          <t xml:space="preserve">QZ </t>
        </is>
      </c>
      <c r="S302" t="n">
        <v>6</v>
      </c>
      <c r="T302" t="n">
        <v>6</v>
      </c>
      <c r="U302" t="inlineStr">
        <is>
          <t>1997-10-06</t>
        </is>
      </c>
      <c r="V302" t="inlineStr">
        <is>
          <t>1997-10-06</t>
        </is>
      </c>
      <c r="W302" t="inlineStr">
        <is>
          <t>1988-02-19</t>
        </is>
      </c>
      <c r="X302" t="inlineStr">
        <is>
          <t>1988-02-19</t>
        </is>
      </c>
      <c r="Y302" t="n">
        <v>581</v>
      </c>
      <c r="Z302" t="n">
        <v>516</v>
      </c>
      <c r="AA302" t="n">
        <v>523</v>
      </c>
      <c r="AB302" t="n">
        <v>3</v>
      </c>
      <c r="AC302" t="n">
        <v>3</v>
      </c>
      <c r="AD302" t="n">
        <v>17</v>
      </c>
      <c r="AE302" t="n">
        <v>17</v>
      </c>
      <c r="AF302" t="n">
        <v>9</v>
      </c>
      <c r="AG302" t="n">
        <v>9</v>
      </c>
      <c r="AH302" t="n">
        <v>2</v>
      </c>
      <c r="AI302" t="n">
        <v>2</v>
      </c>
      <c r="AJ302" t="n">
        <v>7</v>
      </c>
      <c r="AK302" t="n">
        <v>7</v>
      </c>
      <c r="AL302" t="n">
        <v>2</v>
      </c>
      <c r="AM302" t="n">
        <v>2</v>
      </c>
      <c r="AN302" t="n">
        <v>0</v>
      </c>
      <c r="AO302" t="n">
        <v>0</v>
      </c>
      <c r="AP302" t="inlineStr">
        <is>
          <t>No</t>
        </is>
      </c>
      <c r="AQ302" t="inlineStr">
        <is>
          <t>Yes</t>
        </is>
      </c>
      <c r="AR302">
        <f>HYPERLINK("http://catalog.hathitrust.org/Record/000646120","HathiTrust Record")</f>
        <v/>
      </c>
      <c r="AS302">
        <f>HYPERLINK("https://creighton-primo.hosted.exlibrisgroup.com/primo-explore/search?tab=default_tab&amp;search_scope=EVERYTHING&amp;vid=01CRU&amp;lang=en_US&amp;offset=0&amp;query=any,contains,991001092549702656","Catalog Record")</f>
        <v/>
      </c>
      <c r="AT302">
        <f>HYPERLINK("http://www.worldcat.org/oclc/11260240","WorldCat Record")</f>
        <v/>
      </c>
      <c r="AU302" t="inlineStr">
        <is>
          <t>3789135:eng</t>
        </is>
      </c>
      <c r="AV302" t="inlineStr">
        <is>
          <t>11260240</t>
        </is>
      </c>
      <c r="AW302" t="inlineStr">
        <is>
          <t>991001092549702656</t>
        </is>
      </c>
      <c r="AX302" t="inlineStr">
        <is>
          <t>991001092549702656</t>
        </is>
      </c>
      <c r="AY302" t="inlineStr">
        <is>
          <t>2255382410002656</t>
        </is>
      </c>
      <c r="AZ302" t="inlineStr">
        <is>
          <t>BOOK</t>
        </is>
      </c>
      <c r="BB302" t="inlineStr">
        <is>
          <t>9780812109757</t>
        </is>
      </c>
      <c r="BC302" t="inlineStr">
        <is>
          <t>30001000263659</t>
        </is>
      </c>
      <c r="BD302" t="inlineStr">
        <is>
          <t>893632704</t>
        </is>
      </c>
    </row>
    <row r="303">
      <c r="A303" t="inlineStr">
        <is>
          <t>No</t>
        </is>
      </c>
      <c r="B303" t="inlineStr">
        <is>
          <t>QZ 202 D338p 1983</t>
        </is>
      </c>
      <c r="C303" t="inlineStr">
        <is>
          <t>0                      QZ 0202000D  338p        1983</t>
        </is>
      </c>
      <c r="D303" t="inlineStr">
        <is>
          <t>The psychobiology of cancer : automatization and boredom in health and disease / Augustin M. de la Peña.</t>
        </is>
      </c>
      <c r="F303" t="inlineStr">
        <is>
          <t>No</t>
        </is>
      </c>
      <c r="G303" t="inlineStr">
        <is>
          <t>1</t>
        </is>
      </c>
      <c r="H303" t="inlineStr">
        <is>
          <t>No</t>
        </is>
      </c>
      <c r="I303" t="inlineStr">
        <is>
          <t>No</t>
        </is>
      </c>
      <c r="J303" t="inlineStr">
        <is>
          <t>0</t>
        </is>
      </c>
      <c r="K303" t="inlineStr">
        <is>
          <t>De la Peña, Augustin M., 1942-</t>
        </is>
      </c>
      <c r="L303" t="inlineStr">
        <is>
          <t>Brooklyn, N.Y. : J.F. Bergin, c1983.</t>
        </is>
      </c>
      <c r="M303" t="inlineStr">
        <is>
          <t>1983</t>
        </is>
      </c>
      <c r="O303" t="inlineStr">
        <is>
          <t>eng</t>
        </is>
      </c>
      <c r="P303" t="inlineStr">
        <is>
          <t>nyu</t>
        </is>
      </c>
      <c r="R303" t="inlineStr">
        <is>
          <t xml:space="preserve">QZ </t>
        </is>
      </c>
      <c r="S303" t="n">
        <v>2</v>
      </c>
      <c r="T303" t="n">
        <v>2</v>
      </c>
      <c r="U303" t="inlineStr">
        <is>
          <t>2000-04-25</t>
        </is>
      </c>
      <c r="V303" t="inlineStr">
        <is>
          <t>2000-04-25</t>
        </is>
      </c>
      <c r="W303" t="inlineStr">
        <is>
          <t>1988-02-19</t>
        </is>
      </c>
      <c r="X303" t="inlineStr">
        <is>
          <t>1988-02-19</t>
        </is>
      </c>
      <c r="Y303" t="n">
        <v>286</v>
      </c>
      <c r="Z303" t="n">
        <v>241</v>
      </c>
      <c r="AA303" t="n">
        <v>248</v>
      </c>
      <c r="AB303" t="n">
        <v>1</v>
      </c>
      <c r="AC303" t="n">
        <v>1</v>
      </c>
      <c r="AD303" t="n">
        <v>6</v>
      </c>
      <c r="AE303" t="n">
        <v>6</v>
      </c>
      <c r="AF303" t="n">
        <v>2</v>
      </c>
      <c r="AG303" t="n">
        <v>2</v>
      </c>
      <c r="AH303" t="n">
        <v>1</v>
      </c>
      <c r="AI303" t="n">
        <v>1</v>
      </c>
      <c r="AJ303" t="n">
        <v>5</v>
      </c>
      <c r="AK303" t="n">
        <v>5</v>
      </c>
      <c r="AL303" t="n">
        <v>0</v>
      </c>
      <c r="AM303" t="n">
        <v>0</v>
      </c>
      <c r="AN303" t="n">
        <v>0</v>
      </c>
      <c r="AO303" t="n">
        <v>0</v>
      </c>
      <c r="AP303" t="inlineStr">
        <is>
          <t>No</t>
        </is>
      </c>
      <c r="AQ303" t="inlineStr">
        <is>
          <t>Yes</t>
        </is>
      </c>
      <c r="AR303">
        <f>HYPERLINK("http://catalog.hathitrust.org/Record/000195273","HathiTrust Record")</f>
        <v/>
      </c>
      <c r="AS303">
        <f>HYPERLINK("https://creighton-primo.hosted.exlibrisgroup.com/primo-explore/search?tab=default_tab&amp;search_scope=EVERYTHING&amp;vid=01CRU&amp;lang=en_US&amp;offset=0&amp;query=any,contains,991001092499702656","Catalog Record")</f>
        <v/>
      </c>
      <c r="AT303">
        <f>HYPERLINK("http://www.worldcat.org/oclc/7578086","WorldCat Record")</f>
        <v/>
      </c>
      <c r="AU303" t="inlineStr">
        <is>
          <t>2559354:eng</t>
        </is>
      </c>
      <c r="AV303" t="inlineStr">
        <is>
          <t>7578086</t>
        </is>
      </c>
      <c r="AW303" t="inlineStr">
        <is>
          <t>991001092499702656</t>
        </is>
      </c>
      <c r="AX303" t="inlineStr">
        <is>
          <t>991001092499702656</t>
        </is>
      </c>
      <c r="AY303" t="inlineStr">
        <is>
          <t>2264949980002656</t>
        </is>
      </c>
      <c r="AZ303" t="inlineStr">
        <is>
          <t>BOOK</t>
        </is>
      </c>
      <c r="BB303" t="inlineStr">
        <is>
          <t>9780897890045</t>
        </is>
      </c>
      <c r="BC303" t="inlineStr">
        <is>
          <t>30001000263626</t>
        </is>
      </c>
      <c r="BD303" t="inlineStr">
        <is>
          <t>893736202</t>
        </is>
      </c>
    </row>
    <row r="304">
      <c r="A304" t="inlineStr">
        <is>
          <t>No</t>
        </is>
      </c>
      <c r="B304" t="inlineStr">
        <is>
          <t>QZ 202 F1975 1999</t>
        </is>
      </c>
      <c r="C304" t="inlineStr">
        <is>
          <t>0                      QZ 0202000F  1975        1999</t>
        </is>
      </c>
      <c r="D304" t="inlineStr">
        <is>
          <t>Familial cancer and prevention : molecular epidemiology : a new strategy toward cancer control / edited by Joji Utsunomiya, John J. Mulvihill, Walter Weber.</t>
        </is>
      </c>
      <c r="F304" t="inlineStr">
        <is>
          <t>No</t>
        </is>
      </c>
      <c r="G304" t="inlineStr">
        <is>
          <t>1</t>
        </is>
      </c>
      <c r="H304" t="inlineStr">
        <is>
          <t>No</t>
        </is>
      </c>
      <c r="I304" t="inlineStr">
        <is>
          <t>No</t>
        </is>
      </c>
      <c r="J304" t="inlineStr">
        <is>
          <t>0</t>
        </is>
      </c>
      <c r="L304" t="inlineStr">
        <is>
          <t>New York : Wiley-Liss, c1999.</t>
        </is>
      </c>
      <c r="M304" t="inlineStr">
        <is>
          <t>1999</t>
        </is>
      </c>
      <c r="O304" t="inlineStr">
        <is>
          <t>eng</t>
        </is>
      </c>
      <c r="P304" t="inlineStr">
        <is>
          <t>nyu</t>
        </is>
      </c>
      <c r="R304" t="inlineStr">
        <is>
          <t xml:space="preserve">QZ </t>
        </is>
      </c>
      <c r="S304" t="n">
        <v>6</v>
      </c>
      <c r="T304" t="n">
        <v>6</v>
      </c>
      <c r="U304" t="inlineStr">
        <is>
          <t>1999-12-08</t>
        </is>
      </c>
      <c r="V304" t="inlineStr">
        <is>
          <t>1999-12-08</t>
        </is>
      </c>
      <c r="W304" t="inlineStr">
        <is>
          <t>1999-06-02</t>
        </is>
      </c>
      <c r="X304" t="inlineStr">
        <is>
          <t>1999-06-02</t>
        </is>
      </c>
      <c r="Y304" t="n">
        <v>83</v>
      </c>
      <c r="Z304" t="n">
        <v>53</v>
      </c>
      <c r="AA304" t="n">
        <v>55</v>
      </c>
      <c r="AB304" t="n">
        <v>1</v>
      </c>
      <c r="AC304" t="n">
        <v>1</v>
      </c>
      <c r="AD304" t="n">
        <v>0</v>
      </c>
      <c r="AE304" t="n">
        <v>0</v>
      </c>
      <c r="AF304" t="n">
        <v>0</v>
      </c>
      <c r="AG304" t="n">
        <v>0</v>
      </c>
      <c r="AH304" t="n">
        <v>0</v>
      </c>
      <c r="AI304" t="n">
        <v>0</v>
      </c>
      <c r="AJ304" t="n">
        <v>0</v>
      </c>
      <c r="AK304" t="n">
        <v>0</v>
      </c>
      <c r="AL304" t="n">
        <v>0</v>
      </c>
      <c r="AM304" t="n">
        <v>0</v>
      </c>
      <c r="AN304" t="n">
        <v>0</v>
      </c>
      <c r="AO304" t="n">
        <v>0</v>
      </c>
      <c r="AP304" t="inlineStr">
        <is>
          <t>No</t>
        </is>
      </c>
      <c r="AQ304" t="inlineStr">
        <is>
          <t>Yes</t>
        </is>
      </c>
      <c r="AR304">
        <f>HYPERLINK("http://catalog.hathitrust.org/Record/004034503","HathiTrust Record")</f>
        <v/>
      </c>
      <c r="AS304">
        <f>HYPERLINK("https://creighton-primo.hosted.exlibrisgroup.com/primo-explore/search?tab=default_tab&amp;search_scope=EVERYTHING&amp;vid=01CRU&amp;lang=en_US&amp;offset=0&amp;query=any,contains,991000532859702656","Catalog Record")</f>
        <v/>
      </c>
      <c r="AT304">
        <f>HYPERLINK("http://www.worldcat.org/oclc/39131244","WorldCat Record")</f>
        <v/>
      </c>
      <c r="AU304" t="inlineStr">
        <is>
          <t>836929192:eng</t>
        </is>
      </c>
      <c r="AV304" t="inlineStr">
        <is>
          <t>39131244</t>
        </is>
      </c>
      <c r="AW304" t="inlineStr">
        <is>
          <t>991000532859702656</t>
        </is>
      </c>
      <c r="AX304" t="inlineStr">
        <is>
          <t>991000532859702656</t>
        </is>
      </c>
      <c r="AY304" t="inlineStr">
        <is>
          <t>2264591240002656</t>
        </is>
      </c>
      <c r="AZ304" t="inlineStr">
        <is>
          <t>BOOK</t>
        </is>
      </c>
      <c r="BB304" t="inlineStr">
        <is>
          <t>9780471249375</t>
        </is>
      </c>
      <c r="BC304" t="inlineStr">
        <is>
          <t>30001004000297</t>
        </is>
      </c>
      <c r="BD304" t="inlineStr">
        <is>
          <t>893635570</t>
        </is>
      </c>
    </row>
    <row r="305">
      <c r="A305" t="inlineStr">
        <is>
          <t>No</t>
        </is>
      </c>
      <c r="B305" t="inlineStr">
        <is>
          <t>QZ 202 F198 1992</t>
        </is>
      </c>
      <c r="C305" t="inlineStr">
        <is>
          <t>0                      QZ 0202000F  198         1992</t>
        </is>
      </c>
      <c r="D305" t="inlineStr">
        <is>
          <t>Familial cancer control / W. Weber (ed.).</t>
        </is>
      </c>
      <c r="F305" t="inlineStr">
        <is>
          <t>No</t>
        </is>
      </c>
      <c r="G305" t="inlineStr">
        <is>
          <t>1</t>
        </is>
      </c>
      <c r="H305" t="inlineStr">
        <is>
          <t>No</t>
        </is>
      </c>
      <c r="I305" t="inlineStr">
        <is>
          <t>No</t>
        </is>
      </c>
      <c r="J305" t="inlineStr">
        <is>
          <t>0</t>
        </is>
      </c>
      <c r="L305" t="inlineStr">
        <is>
          <t>Berlin ; New York : Springer-Verlag, c1992.</t>
        </is>
      </c>
      <c r="M305" t="inlineStr">
        <is>
          <t>1992</t>
        </is>
      </c>
      <c r="O305" t="inlineStr">
        <is>
          <t>eng</t>
        </is>
      </c>
      <c r="P305" t="inlineStr">
        <is>
          <t xml:space="preserve">gw </t>
        </is>
      </c>
      <c r="Q305" t="inlineStr">
        <is>
          <t>Monographs (European School of Oncology)</t>
        </is>
      </c>
      <c r="R305" t="inlineStr">
        <is>
          <t xml:space="preserve">QZ </t>
        </is>
      </c>
      <c r="S305" t="n">
        <v>11</v>
      </c>
      <c r="T305" t="n">
        <v>11</v>
      </c>
      <c r="U305" t="inlineStr">
        <is>
          <t>1998-12-29</t>
        </is>
      </c>
      <c r="V305" t="inlineStr">
        <is>
          <t>1998-12-29</t>
        </is>
      </c>
      <c r="W305" t="inlineStr">
        <is>
          <t>1993-08-31</t>
        </is>
      </c>
      <c r="X305" t="inlineStr">
        <is>
          <t>1993-08-31</t>
        </is>
      </c>
      <c r="Y305" t="n">
        <v>49</v>
      </c>
      <c r="Z305" t="n">
        <v>33</v>
      </c>
      <c r="AA305" t="n">
        <v>56</v>
      </c>
      <c r="AB305" t="n">
        <v>1</v>
      </c>
      <c r="AC305" t="n">
        <v>1</v>
      </c>
      <c r="AD305" t="n">
        <v>0</v>
      </c>
      <c r="AE305" t="n">
        <v>0</v>
      </c>
      <c r="AF305" t="n">
        <v>0</v>
      </c>
      <c r="AG305" t="n">
        <v>0</v>
      </c>
      <c r="AH305" t="n">
        <v>0</v>
      </c>
      <c r="AI305" t="n">
        <v>0</v>
      </c>
      <c r="AJ305" t="n">
        <v>0</v>
      </c>
      <c r="AK305" t="n">
        <v>0</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HYPERLINK("https://creighton-primo.hosted.exlibrisgroup.com/primo-explore/search?tab=default_tab&amp;search_scope=EVERYTHING&amp;vid=01CRU&amp;lang=en_US&amp;offset=0&amp;query=any,contains,991001512629702656","Catalog Record")</f>
        <v/>
      </c>
      <c r="AT305">
        <f>HYPERLINK("http://www.worldcat.org/oclc/26163716","WorldCat Record")</f>
        <v/>
      </c>
      <c r="AU305" t="inlineStr">
        <is>
          <t>3857238927:eng</t>
        </is>
      </c>
      <c r="AV305" t="inlineStr">
        <is>
          <t>26163716</t>
        </is>
      </c>
      <c r="AW305" t="inlineStr">
        <is>
          <t>991001512629702656</t>
        </is>
      </c>
      <c r="AX305" t="inlineStr">
        <is>
          <t>991001512629702656</t>
        </is>
      </c>
      <c r="AY305" t="inlineStr">
        <is>
          <t>2271062380002656</t>
        </is>
      </c>
      <c r="AZ305" t="inlineStr">
        <is>
          <t>BOOK</t>
        </is>
      </c>
      <c r="BB305" t="inlineStr">
        <is>
          <t>9780387555706</t>
        </is>
      </c>
      <c r="BC305" t="inlineStr">
        <is>
          <t>30001002601104</t>
        </is>
      </c>
      <c r="BD305" t="inlineStr">
        <is>
          <t>893558055</t>
        </is>
      </c>
    </row>
    <row r="306">
      <c r="A306" t="inlineStr">
        <is>
          <t>No</t>
        </is>
      </c>
      <c r="B306" t="inlineStr">
        <is>
          <t>QZ 202 F1985 1996</t>
        </is>
      </c>
      <c r="C306" t="inlineStr">
        <is>
          <t>0                      QZ 0202000F  1985        1996</t>
        </is>
      </c>
      <c r="D306" t="inlineStr">
        <is>
          <t>Familial cancer management / edited by Walter Weber, John J. Mulvihill, Steven A. Narod.</t>
        </is>
      </c>
      <c r="F306" t="inlineStr">
        <is>
          <t>No</t>
        </is>
      </c>
      <c r="G306" t="inlineStr">
        <is>
          <t>1</t>
        </is>
      </c>
      <c r="H306" t="inlineStr">
        <is>
          <t>No</t>
        </is>
      </c>
      <c r="I306" t="inlineStr">
        <is>
          <t>No</t>
        </is>
      </c>
      <c r="J306" t="inlineStr">
        <is>
          <t>0</t>
        </is>
      </c>
      <c r="L306" t="inlineStr">
        <is>
          <t>Boca Raton : CRC Press, c1996.</t>
        </is>
      </c>
      <c r="M306" t="inlineStr">
        <is>
          <t>1996</t>
        </is>
      </c>
      <c r="O306" t="inlineStr">
        <is>
          <t>eng</t>
        </is>
      </c>
      <c r="P306" t="inlineStr">
        <is>
          <t>flu</t>
        </is>
      </c>
      <c r="R306" t="inlineStr">
        <is>
          <t xml:space="preserve">QZ </t>
        </is>
      </c>
      <c r="S306" t="n">
        <v>6</v>
      </c>
      <c r="T306" t="n">
        <v>6</v>
      </c>
      <c r="U306" t="inlineStr">
        <is>
          <t>1998-10-06</t>
        </is>
      </c>
      <c r="V306" t="inlineStr">
        <is>
          <t>1998-10-06</t>
        </is>
      </c>
      <c r="W306" t="inlineStr">
        <is>
          <t>1997-01-20</t>
        </is>
      </c>
      <c r="X306" t="inlineStr">
        <is>
          <t>1997-01-20</t>
        </is>
      </c>
      <c r="Y306" t="n">
        <v>51</v>
      </c>
      <c r="Z306" t="n">
        <v>34</v>
      </c>
      <c r="AA306" t="n">
        <v>35</v>
      </c>
      <c r="AB306" t="n">
        <v>1</v>
      </c>
      <c r="AC306" t="n">
        <v>1</v>
      </c>
      <c r="AD306" t="n">
        <v>0</v>
      </c>
      <c r="AE306" t="n">
        <v>0</v>
      </c>
      <c r="AF306" t="n">
        <v>0</v>
      </c>
      <c r="AG306" t="n">
        <v>0</v>
      </c>
      <c r="AH306" t="n">
        <v>0</v>
      </c>
      <c r="AI306" t="n">
        <v>0</v>
      </c>
      <c r="AJ306" t="n">
        <v>0</v>
      </c>
      <c r="AK306" t="n">
        <v>0</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HYPERLINK("https://creighton-primo.hosted.exlibrisgroup.com/primo-explore/search?tab=default_tab&amp;search_scope=EVERYTHING&amp;vid=01CRU&amp;lang=en_US&amp;offset=0&amp;query=any,contains,991000852229702656","Catalog Record")</f>
        <v/>
      </c>
      <c r="AT306">
        <f>HYPERLINK("http://www.worldcat.org/oclc/32922872","WorldCat Record")</f>
        <v/>
      </c>
      <c r="AU306" t="inlineStr">
        <is>
          <t>927732:eng</t>
        </is>
      </c>
      <c r="AV306" t="inlineStr">
        <is>
          <t>32922872</t>
        </is>
      </c>
      <c r="AW306" t="inlineStr">
        <is>
          <t>991000852229702656</t>
        </is>
      </c>
      <c r="AX306" t="inlineStr">
        <is>
          <t>991000852229702656</t>
        </is>
      </c>
      <c r="AY306" t="inlineStr">
        <is>
          <t>2263994070002656</t>
        </is>
      </c>
      <c r="AZ306" t="inlineStr">
        <is>
          <t>BOOK</t>
        </is>
      </c>
      <c r="BB306" t="inlineStr">
        <is>
          <t>9780849347825</t>
        </is>
      </c>
      <c r="BC306" t="inlineStr">
        <is>
          <t>30001003473990</t>
        </is>
      </c>
      <c r="BD306" t="inlineStr">
        <is>
          <t>893651775</t>
        </is>
      </c>
    </row>
    <row r="307">
      <c r="A307" t="inlineStr">
        <is>
          <t>No</t>
        </is>
      </c>
      <c r="B307" t="inlineStr">
        <is>
          <t>QZ 202 G3297 1998</t>
        </is>
      </c>
      <c r="C307" t="inlineStr">
        <is>
          <t>0                      QZ 0202000G  3297        1998</t>
        </is>
      </c>
      <c r="D307" t="inlineStr">
        <is>
          <t>The genetic basis of human cancer / editors, Bert Vogelstein, Kenneth W. Kinzler.</t>
        </is>
      </c>
      <c r="F307" t="inlineStr">
        <is>
          <t>No</t>
        </is>
      </c>
      <c r="G307" t="inlineStr">
        <is>
          <t>1</t>
        </is>
      </c>
      <c r="H307" t="inlineStr">
        <is>
          <t>No</t>
        </is>
      </c>
      <c r="I307" t="inlineStr">
        <is>
          <t>No</t>
        </is>
      </c>
      <c r="J307" t="inlineStr">
        <is>
          <t>0</t>
        </is>
      </c>
      <c r="L307" t="inlineStr">
        <is>
          <t>New York : McGraw-Hill, Health Professions Division, c1998.</t>
        </is>
      </c>
      <c r="M307" t="inlineStr">
        <is>
          <t>1998</t>
        </is>
      </c>
      <c r="O307" t="inlineStr">
        <is>
          <t>eng</t>
        </is>
      </c>
      <c r="P307" t="inlineStr">
        <is>
          <t>nyu</t>
        </is>
      </c>
      <c r="R307" t="inlineStr">
        <is>
          <t xml:space="preserve">QZ </t>
        </is>
      </c>
      <c r="S307" t="n">
        <v>10</v>
      </c>
      <c r="T307" t="n">
        <v>10</v>
      </c>
      <c r="U307" t="inlineStr">
        <is>
          <t>2002-10-09</t>
        </is>
      </c>
      <c r="V307" t="inlineStr">
        <is>
          <t>2002-10-09</t>
        </is>
      </c>
      <c r="W307" t="inlineStr">
        <is>
          <t>1998-01-19</t>
        </is>
      </c>
      <c r="X307" t="inlineStr">
        <is>
          <t>1998-01-19</t>
        </is>
      </c>
      <c r="Y307" t="n">
        <v>218</v>
      </c>
      <c r="Z307" t="n">
        <v>148</v>
      </c>
      <c r="AA307" t="n">
        <v>239</v>
      </c>
      <c r="AB307" t="n">
        <v>1</v>
      </c>
      <c r="AC307" t="n">
        <v>1</v>
      </c>
      <c r="AD307" t="n">
        <v>1</v>
      </c>
      <c r="AE307" t="n">
        <v>6</v>
      </c>
      <c r="AF307" t="n">
        <v>0</v>
      </c>
      <c r="AG307" t="n">
        <v>4</v>
      </c>
      <c r="AH307" t="n">
        <v>1</v>
      </c>
      <c r="AI307" t="n">
        <v>1</v>
      </c>
      <c r="AJ307" t="n">
        <v>0</v>
      </c>
      <c r="AK307" t="n">
        <v>2</v>
      </c>
      <c r="AL307" t="n">
        <v>0</v>
      </c>
      <c r="AM307" t="n">
        <v>0</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HYPERLINK("https://creighton-primo.hosted.exlibrisgroup.com/primo-explore/search?tab=default_tab&amp;search_scope=EVERYTHING&amp;vid=01CRU&amp;lang=en_US&amp;offset=0&amp;query=any,contains,991001293879702656","Catalog Record")</f>
        <v/>
      </c>
      <c r="AT307">
        <f>HYPERLINK("http://www.worldcat.org/oclc/37282635","WorldCat Record")</f>
        <v/>
      </c>
      <c r="AU307" t="inlineStr">
        <is>
          <t>350309945:eng</t>
        </is>
      </c>
      <c r="AV307" t="inlineStr">
        <is>
          <t>37282635</t>
        </is>
      </c>
      <c r="AW307" t="inlineStr">
        <is>
          <t>991001293879702656</t>
        </is>
      </c>
      <c r="AX307" t="inlineStr">
        <is>
          <t>991001293879702656</t>
        </is>
      </c>
      <c r="AY307" t="inlineStr">
        <is>
          <t>2257338540002656</t>
        </is>
      </c>
      <c r="AZ307" t="inlineStr">
        <is>
          <t>BOOK</t>
        </is>
      </c>
      <c r="BB307" t="inlineStr">
        <is>
          <t>9780070675964</t>
        </is>
      </c>
      <c r="BC307" t="inlineStr">
        <is>
          <t>30001003740216</t>
        </is>
      </c>
      <c r="BD307" t="inlineStr">
        <is>
          <t>893727438</t>
        </is>
      </c>
    </row>
    <row r="308">
      <c r="A308" t="inlineStr">
        <is>
          <t>No</t>
        </is>
      </c>
      <c r="B308" t="inlineStr">
        <is>
          <t>QZ 202 G739i 1988</t>
        </is>
      </c>
      <c r="C308" t="inlineStr">
        <is>
          <t>0                      QZ 0202000G  739i        1988</t>
        </is>
      </c>
      <c r="D308" t="inlineStr">
        <is>
          <t>In search of safety : chemicals and cancer risk / John D. Graham, Laura C. Green, and Marc J. Roberts.</t>
        </is>
      </c>
      <c r="F308" t="inlineStr">
        <is>
          <t>No</t>
        </is>
      </c>
      <c r="G308" t="inlineStr">
        <is>
          <t>1</t>
        </is>
      </c>
      <c r="H308" t="inlineStr">
        <is>
          <t>No</t>
        </is>
      </c>
      <c r="I308" t="inlineStr">
        <is>
          <t>No</t>
        </is>
      </c>
      <c r="J308" t="inlineStr">
        <is>
          <t>0</t>
        </is>
      </c>
      <c r="K308" t="inlineStr">
        <is>
          <t>Graham, John D.</t>
        </is>
      </c>
      <c r="L308" t="inlineStr">
        <is>
          <t>Cambridge, Mass. : Harvard University Press, c1988.</t>
        </is>
      </c>
      <c r="M308" t="inlineStr">
        <is>
          <t>1988</t>
        </is>
      </c>
      <c r="O308" t="inlineStr">
        <is>
          <t>eng</t>
        </is>
      </c>
      <c r="P308" t="inlineStr">
        <is>
          <t>mau</t>
        </is>
      </c>
      <c r="R308" t="inlineStr">
        <is>
          <t xml:space="preserve">QZ </t>
        </is>
      </c>
      <c r="S308" t="n">
        <v>4</v>
      </c>
      <c r="T308" t="n">
        <v>4</v>
      </c>
      <c r="U308" t="inlineStr">
        <is>
          <t>1992-09-29</t>
        </is>
      </c>
      <c r="V308" t="inlineStr">
        <is>
          <t>1992-09-29</t>
        </is>
      </c>
      <c r="W308" t="inlineStr">
        <is>
          <t>1991-06-19</t>
        </is>
      </c>
      <c r="X308" t="inlineStr">
        <is>
          <t>1991-06-19</t>
        </is>
      </c>
      <c r="Y308" t="n">
        <v>537</v>
      </c>
      <c r="Z308" t="n">
        <v>468</v>
      </c>
      <c r="AA308" t="n">
        <v>490</v>
      </c>
      <c r="AB308" t="n">
        <v>3</v>
      </c>
      <c r="AC308" t="n">
        <v>3</v>
      </c>
      <c r="AD308" t="n">
        <v>16</v>
      </c>
      <c r="AE308" t="n">
        <v>16</v>
      </c>
      <c r="AF308" t="n">
        <v>1</v>
      </c>
      <c r="AG308" t="n">
        <v>1</v>
      </c>
      <c r="AH308" t="n">
        <v>3</v>
      </c>
      <c r="AI308" t="n">
        <v>3</v>
      </c>
      <c r="AJ308" t="n">
        <v>10</v>
      </c>
      <c r="AK308" t="n">
        <v>10</v>
      </c>
      <c r="AL308" t="n">
        <v>2</v>
      </c>
      <c r="AM308" t="n">
        <v>2</v>
      </c>
      <c r="AN308" t="n">
        <v>2</v>
      </c>
      <c r="AO308" t="n">
        <v>2</v>
      </c>
      <c r="AP308" t="inlineStr">
        <is>
          <t>No</t>
        </is>
      </c>
      <c r="AQ308" t="inlineStr">
        <is>
          <t>Yes</t>
        </is>
      </c>
      <c r="AR308">
        <f>HYPERLINK("http://catalog.hathitrust.org/Record/000949149","HathiTrust Record")</f>
        <v/>
      </c>
      <c r="AS308">
        <f>HYPERLINK("https://creighton-primo.hosted.exlibrisgroup.com/primo-explore/search?tab=default_tab&amp;search_scope=EVERYTHING&amp;vid=01CRU&amp;lang=en_US&amp;offset=0&amp;query=any,contains,991000827669702656","Catalog Record")</f>
        <v/>
      </c>
      <c r="AT308">
        <f>HYPERLINK("http://www.worldcat.org/oclc/17803705","WorldCat Record")</f>
        <v/>
      </c>
      <c r="AU308" t="inlineStr">
        <is>
          <t>2680954:eng</t>
        </is>
      </c>
      <c r="AV308" t="inlineStr">
        <is>
          <t>17803705</t>
        </is>
      </c>
      <c r="AW308" t="inlineStr">
        <is>
          <t>991000827669702656</t>
        </is>
      </c>
      <c r="AX308" t="inlineStr">
        <is>
          <t>991000827669702656</t>
        </is>
      </c>
      <c r="AY308" t="inlineStr">
        <is>
          <t>2271967810002656</t>
        </is>
      </c>
      <c r="AZ308" t="inlineStr">
        <is>
          <t>BOOK</t>
        </is>
      </c>
      <c r="BB308" t="inlineStr">
        <is>
          <t>9780674446359</t>
        </is>
      </c>
      <c r="BC308" t="inlineStr">
        <is>
          <t>30001002089631</t>
        </is>
      </c>
      <c r="BD308" t="inlineStr">
        <is>
          <t>893831455</t>
        </is>
      </c>
    </row>
    <row r="309">
      <c r="A309" t="inlineStr">
        <is>
          <t>No</t>
        </is>
      </c>
      <c r="B309" t="inlineStr">
        <is>
          <t>QZ 202 H363m 1986</t>
        </is>
      </c>
      <c r="C309" t="inlineStr">
        <is>
          <t>0                      QZ 0202000H  363m        1986</t>
        </is>
      </c>
      <c r="D309" t="inlineStr">
        <is>
          <t>Mechanisms of chemical carcinogenesis / D.E. Hathway.</t>
        </is>
      </c>
      <c r="F309" t="inlineStr">
        <is>
          <t>No</t>
        </is>
      </c>
      <c r="G309" t="inlineStr">
        <is>
          <t>1</t>
        </is>
      </c>
      <c r="H309" t="inlineStr">
        <is>
          <t>No</t>
        </is>
      </c>
      <c r="I309" t="inlineStr">
        <is>
          <t>No</t>
        </is>
      </c>
      <c r="J309" t="inlineStr">
        <is>
          <t>0</t>
        </is>
      </c>
      <c r="K309" t="inlineStr">
        <is>
          <t>Hathway, D. E.</t>
        </is>
      </c>
      <c r="L309" t="inlineStr">
        <is>
          <t>London ; Boston : Butterworths, c1986.</t>
        </is>
      </c>
      <c r="M309" t="inlineStr">
        <is>
          <t>1986</t>
        </is>
      </c>
      <c r="O309" t="inlineStr">
        <is>
          <t>eng</t>
        </is>
      </c>
      <c r="P309" t="inlineStr">
        <is>
          <t>enk</t>
        </is>
      </c>
      <c r="R309" t="inlineStr">
        <is>
          <t xml:space="preserve">QZ </t>
        </is>
      </c>
      <c r="S309" t="n">
        <v>2</v>
      </c>
      <c r="T309" t="n">
        <v>2</v>
      </c>
      <c r="U309" t="inlineStr">
        <is>
          <t>1988-03-23</t>
        </is>
      </c>
      <c r="V309" t="inlineStr">
        <is>
          <t>1988-03-23</t>
        </is>
      </c>
      <c r="W309" t="inlineStr">
        <is>
          <t>1988-02-19</t>
        </is>
      </c>
      <c r="X309" t="inlineStr">
        <is>
          <t>1988-02-19</t>
        </is>
      </c>
      <c r="Y309" t="n">
        <v>141</v>
      </c>
      <c r="Z309" t="n">
        <v>97</v>
      </c>
      <c r="AA309" t="n">
        <v>142</v>
      </c>
      <c r="AB309" t="n">
        <v>2</v>
      </c>
      <c r="AC309" t="n">
        <v>2</v>
      </c>
      <c r="AD309" t="n">
        <v>3</v>
      </c>
      <c r="AE309" t="n">
        <v>6</v>
      </c>
      <c r="AF309" t="n">
        <v>0</v>
      </c>
      <c r="AG309" t="n">
        <v>2</v>
      </c>
      <c r="AH309" t="n">
        <v>1</v>
      </c>
      <c r="AI309" t="n">
        <v>3</v>
      </c>
      <c r="AJ309" t="n">
        <v>1</v>
      </c>
      <c r="AK309" t="n">
        <v>1</v>
      </c>
      <c r="AL309" t="n">
        <v>1</v>
      </c>
      <c r="AM309" t="n">
        <v>1</v>
      </c>
      <c r="AN309" t="n">
        <v>0</v>
      </c>
      <c r="AO309" t="n">
        <v>0</v>
      </c>
      <c r="AP309" t="inlineStr">
        <is>
          <t>No</t>
        </is>
      </c>
      <c r="AQ309" t="inlineStr">
        <is>
          <t>Yes</t>
        </is>
      </c>
      <c r="AR309">
        <f>HYPERLINK("http://catalog.hathitrust.org/Record/000427274","HathiTrust Record")</f>
        <v/>
      </c>
      <c r="AS309">
        <f>HYPERLINK("https://creighton-primo.hosted.exlibrisgroup.com/primo-explore/search?tab=default_tab&amp;search_scope=EVERYTHING&amp;vid=01CRU&amp;lang=en_US&amp;offset=0&amp;query=any,contains,991001092429702656","Catalog Record")</f>
        <v/>
      </c>
      <c r="AT309">
        <f>HYPERLINK("http://www.worldcat.org/oclc/12421212","WorldCat Record")</f>
        <v/>
      </c>
      <c r="AU309" t="inlineStr">
        <is>
          <t>5050604:eng</t>
        </is>
      </c>
      <c r="AV309" t="inlineStr">
        <is>
          <t>12421212</t>
        </is>
      </c>
      <c r="AW309" t="inlineStr">
        <is>
          <t>991001092429702656</t>
        </is>
      </c>
      <c r="AX309" t="inlineStr">
        <is>
          <t>991001092429702656</t>
        </is>
      </c>
      <c r="AY309" t="inlineStr">
        <is>
          <t>2269168220002656</t>
        </is>
      </c>
      <c r="AZ309" t="inlineStr">
        <is>
          <t>BOOK</t>
        </is>
      </c>
      <c r="BB309" t="inlineStr">
        <is>
          <t>9780408115704</t>
        </is>
      </c>
      <c r="BC309" t="inlineStr">
        <is>
          <t>30001000263576</t>
        </is>
      </c>
      <c r="BD309" t="inlineStr">
        <is>
          <t>893455473</t>
        </is>
      </c>
    </row>
    <row r="310">
      <c r="A310" t="inlineStr">
        <is>
          <t>No</t>
        </is>
      </c>
      <c r="B310" t="inlineStr">
        <is>
          <t>QZ 202 H542 1991</t>
        </is>
      </c>
      <c r="C310" t="inlineStr">
        <is>
          <t>0                      QZ 0202000H  542         1991</t>
        </is>
      </c>
      <c r="D310" t="inlineStr">
        <is>
          <t>Hereditary tumors / editors, M.L. Brandi, R. White.</t>
        </is>
      </c>
      <c r="F310" t="inlineStr">
        <is>
          <t>No</t>
        </is>
      </c>
      <c r="G310" t="inlineStr">
        <is>
          <t>1</t>
        </is>
      </c>
      <c r="H310" t="inlineStr">
        <is>
          <t>No</t>
        </is>
      </c>
      <c r="I310" t="inlineStr">
        <is>
          <t>No</t>
        </is>
      </c>
      <c r="J310" t="inlineStr">
        <is>
          <t>0</t>
        </is>
      </c>
      <c r="L310" t="inlineStr">
        <is>
          <t>New York : Raven Press, c1991.</t>
        </is>
      </c>
      <c r="M310" t="inlineStr">
        <is>
          <t>1991</t>
        </is>
      </c>
      <c r="O310" t="inlineStr">
        <is>
          <t>eng</t>
        </is>
      </c>
      <c r="P310" t="inlineStr">
        <is>
          <t>nyu</t>
        </is>
      </c>
      <c r="Q310" t="inlineStr">
        <is>
          <t>Serono symposia publications from Raven Press ; v. 83</t>
        </is>
      </c>
      <c r="R310" t="inlineStr">
        <is>
          <t xml:space="preserve">QZ </t>
        </is>
      </c>
      <c r="S310" t="n">
        <v>4</v>
      </c>
      <c r="T310" t="n">
        <v>4</v>
      </c>
      <c r="U310" t="inlineStr">
        <is>
          <t>1994-06-07</t>
        </is>
      </c>
      <c r="V310" t="inlineStr">
        <is>
          <t>1994-06-07</t>
        </is>
      </c>
      <c r="W310" t="inlineStr">
        <is>
          <t>1991-09-20</t>
        </is>
      </c>
      <c r="X310" t="inlineStr">
        <is>
          <t>1991-09-20</t>
        </is>
      </c>
      <c r="Y310" t="n">
        <v>70</v>
      </c>
      <c r="Z310" t="n">
        <v>51</v>
      </c>
      <c r="AA310" t="n">
        <v>53</v>
      </c>
      <c r="AB310" t="n">
        <v>1</v>
      </c>
      <c r="AC310" t="n">
        <v>1</v>
      </c>
      <c r="AD310" t="n">
        <v>0</v>
      </c>
      <c r="AE310" t="n">
        <v>0</v>
      </c>
      <c r="AF310" t="n">
        <v>0</v>
      </c>
      <c r="AG310" t="n">
        <v>0</v>
      </c>
      <c r="AH310" t="n">
        <v>0</v>
      </c>
      <c r="AI310" t="n">
        <v>0</v>
      </c>
      <c r="AJ310" t="n">
        <v>0</v>
      </c>
      <c r="AK310" t="n">
        <v>0</v>
      </c>
      <c r="AL310" t="n">
        <v>0</v>
      </c>
      <c r="AM310" t="n">
        <v>0</v>
      </c>
      <c r="AN310" t="n">
        <v>0</v>
      </c>
      <c r="AO310" t="n">
        <v>0</v>
      </c>
      <c r="AP310" t="inlineStr">
        <is>
          <t>No</t>
        </is>
      </c>
      <c r="AQ310" t="inlineStr">
        <is>
          <t>Yes</t>
        </is>
      </c>
      <c r="AR310">
        <f>HYPERLINK("http://catalog.hathitrust.org/Record/002495427","HathiTrust Record")</f>
        <v/>
      </c>
      <c r="AS310">
        <f>HYPERLINK("https://creighton-primo.hosted.exlibrisgroup.com/primo-explore/search?tab=default_tab&amp;search_scope=EVERYTHING&amp;vid=01CRU&amp;lang=en_US&amp;offset=0&amp;query=any,contains,991001017069702656","Catalog Record")</f>
        <v/>
      </c>
      <c r="AT310">
        <f>HYPERLINK("http://www.worldcat.org/oclc/25967220","WorldCat Record")</f>
        <v/>
      </c>
      <c r="AU310" t="inlineStr">
        <is>
          <t>350075896:eng</t>
        </is>
      </c>
      <c r="AV310" t="inlineStr">
        <is>
          <t>25967220</t>
        </is>
      </c>
      <c r="AW310" t="inlineStr">
        <is>
          <t>991001017069702656</t>
        </is>
      </c>
      <c r="AX310" t="inlineStr">
        <is>
          <t>991001017069702656</t>
        </is>
      </c>
      <c r="AY310" t="inlineStr">
        <is>
          <t>2262582070002656</t>
        </is>
      </c>
      <c r="AZ310" t="inlineStr">
        <is>
          <t>BOOK</t>
        </is>
      </c>
      <c r="BB310" t="inlineStr">
        <is>
          <t>9780881677843</t>
        </is>
      </c>
      <c r="BC310" t="inlineStr">
        <is>
          <t>30001002240903</t>
        </is>
      </c>
      <c r="BD310" t="inlineStr">
        <is>
          <t>893168002</t>
        </is>
      </c>
    </row>
    <row r="311">
      <c r="A311" t="inlineStr">
        <is>
          <t>No</t>
        </is>
      </c>
      <c r="B311" t="inlineStr">
        <is>
          <t>QZ 202 L533m 1986</t>
        </is>
      </c>
      <c r="C311" t="inlineStr">
        <is>
          <t>0                      QZ 0202000L  533m        1986</t>
        </is>
      </c>
      <c r="D311" t="inlineStr">
        <is>
          <t>Mammalian tumor cell heterogeneity / authors, John T. Leith, Daniel L. Dexter.</t>
        </is>
      </c>
      <c r="F311" t="inlineStr">
        <is>
          <t>No</t>
        </is>
      </c>
      <c r="G311" t="inlineStr">
        <is>
          <t>1</t>
        </is>
      </c>
      <c r="H311" t="inlineStr">
        <is>
          <t>No</t>
        </is>
      </c>
      <c r="I311" t="inlineStr">
        <is>
          <t>No</t>
        </is>
      </c>
      <c r="J311" t="inlineStr">
        <is>
          <t>0</t>
        </is>
      </c>
      <c r="K311" t="inlineStr">
        <is>
          <t>Leith, John T.</t>
        </is>
      </c>
      <c r="L311" t="inlineStr">
        <is>
          <t>Boca Raton, Fla. : CRC Press, c1986.</t>
        </is>
      </c>
      <c r="M311" t="inlineStr">
        <is>
          <t>1986</t>
        </is>
      </c>
      <c r="O311" t="inlineStr">
        <is>
          <t>eng</t>
        </is>
      </c>
      <c r="P311" t="inlineStr">
        <is>
          <t>xxu</t>
        </is>
      </c>
      <c r="R311" t="inlineStr">
        <is>
          <t xml:space="preserve">QZ </t>
        </is>
      </c>
      <c r="S311" t="n">
        <v>5</v>
      </c>
      <c r="T311" t="n">
        <v>5</v>
      </c>
      <c r="U311" t="inlineStr">
        <is>
          <t>2003-01-09</t>
        </is>
      </c>
      <c r="V311" t="inlineStr">
        <is>
          <t>2003-01-09</t>
        </is>
      </c>
      <c r="W311" t="inlineStr">
        <is>
          <t>1989-01-16</t>
        </is>
      </c>
      <c r="X311" t="inlineStr">
        <is>
          <t>1989-01-16</t>
        </is>
      </c>
      <c r="Y311" t="n">
        <v>95</v>
      </c>
      <c r="Z311" t="n">
        <v>70</v>
      </c>
      <c r="AA311" t="n">
        <v>72</v>
      </c>
      <c r="AB311" t="n">
        <v>2</v>
      </c>
      <c r="AC311" t="n">
        <v>2</v>
      </c>
      <c r="AD311" t="n">
        <v>1</v>
      </c>
      <c r="AE311" t="n">
        <v>1</v>
      </c>
      <c r="AF311" t="n">
        <v>0</v>
      </c>
      <c r="AG311" t="n">
        <v>0</v>
      </c>
      <c r="AH311" t="n">
        <v>0</v>
      </c>
      <c r="AI311" t="n">
        <v>0</v>
      </c>
      <c r="AJ311" t="n">
        <v>0</v>
      </c>
      <c r="AK311" t="n">
        <v>0</v>
      </c>
      <c r="AL311" t="n">
        <v>1</v>
      </c>
      <c r="AM311" t="n">
        <v>1</v>
      </c>
      <c r="AN311" t="n">
        <v>0</v>
      </c>
      <c r="AO311" t="n">
        <v>0</v>
      </c>
      <c r="AP311" t="inlineStr">
        <is>
          <t>No</t>
        </is>
      </c>
      <c r="AQ311" t="inlineStr">
        <is>
          <t>Yes</t>
        </is>
      </c>
      <c r="AR311">
        <f>HYPERLINK("http://catalog.hathitrust.org/Record/000663619","HathiTrust Record")</f>
        <v/>
      </c>
      <c r="AS311">
        <f>HYPERLINK("https://creighton-primo.hosted.exlibrisgroup.com/primo-explore/search?tab=default_tab&amp;search_scope=EVERYTHING&amp;vid=01CRU&amp;lang=en_US&amp;offset=0&amp;query=any,contains,991001092829702656","Catalog Record")</f>
        <v/>
      </c>
      <c r="AT311">
        <f>HYPERLINK("http://www.worldcat.org/oclc/11969934","WorldCat Record")</f>
        <v/>
      </c>
      <c r="AU311" t="inlineStr">
        <is>
          <t>4490791:eng</t>
        </is>
      </c>
      <c r="AV311" t="inlineStr">
        <is>
          <t>11969934</t>
        </is>
      </c>
      <c r="AW311" t="inlineStr">
        <is>
          <t>991001092829702656</t>
        </is>
      </c>
      <c r="AX311" t="inlineStr">
        <is>
          <t>991001092829702656</t>
        </is>
      </c>
      <c r="AY311" t="inlineStr">
        <is>
          <t>2266393830002656</t>
        </is>
      </c>
      <c r="AZ311" t="inlineStr">
        <is>
          <t>BOOK</t>
        </is>
      </c>
      <c r="BB311" t="inlineStr">
        <is>
          <t>9780849361623</t>
        </is>
      </c>
      <c r="BC311" t="inlineStr">
        <is>
          <t>30001000264038</t>
        </is>
      </c>
      <c r="BD311" t="inlineStr">
        <is>
          <t>893643201</t>
        </is>
      </c>
    </row>
    <row r="312">
      <c r="A312" t="inlineStr">
        <is>
          <t>No</t>
        </is>
      </c>
      <c r="B312" t="inlineStr">
        <is>
          <t>QZ 202 M6257 1999</t>
        </is>
      </c>
      <c r="C312" t="inlineStr">
        <is>
          <t>0                      QZ 0202000M  6257        1999</t>
        </is>
      </c>
      <c r="D312" t="inlineStr">
        <is>
          <t>Microbes and malignancy : infection as a cause of human cancers / edited by Julie Parsonnet.</t>
        </is>
      </c>
      <c r="F312" t="inlineStr">
        <is>
          <t>No</t>
        </is>
      </c>
      <c r="G312" t="inlineStr">
        <is>
          <t>1</t>
        </is>
      </c>
      <c r="H312" t="inlineStr">
        <is>
          <t>No</t>
        </is>
      </c>
      <c r="I312" t="inlineStr">
        <is>
          <t>No</t>
        </is>
      </c>
      <c r="J312" t="inlineStr">
        <is>
          <t>0</t>
        </is>
      </c>
      <c r="L312" t="inlineStr">
        <is>
          <t>New York : Oxford University Press, c1999.</t>
        </is>
      </c>
      <c r="M312" t="inlineStr">
        <is>
          <t>1999</t>
        </is>
      </c>
      <c r="O312" t="inlineStr">
        <is>
          <t>eng</t>
        </is>
      </c>
      <c r="P312" t="inlineStr">
        <is>
          <t>nyu</t>
        </is>
      </c>
      <c r="R312" t="inlineStr">
        <is>
          <t xml:space="preserve">QZ </t>
        </is>
      </c>
      <c r="S312" t="n">
        <v>5</v>
      </c>
      <c r="T312" t="n">
        <v>5</v>
      </c>
      <c r="U312" t="inlineStr">
        <is>
          <t>1999-11-04</t>
        </is>
      </c>
      <c r="V312" t="inlineStr">
        <is>
          <t>1999-11-04</t>
        </is>
      </c>
      <c r="W312" t="inlineStr">
        <is>
          <t>1999-09-24</t>
        </is>
      </c>
      <c r="X312" t="inlineStr">
        <is>
          <t>1999-09-24</t>
        </is>
      </c>
      <c r="Y312" t="n">
        <v>195</v>
      </c>
      <c r="Z312" t="n">
        <v>139</v>
      </c>
      <c r="AA312" t="n">
        <v>146</v>
      </c>
      <c r="AB312" t="n">
        <v>2</v>
      </c>
      <c r="AC312" t="n">
        <v>2</v>
      </c>
      <c r="AD312" t="n">
        <v>7</v>
      </c>
      <c r="AE312" t="n">
        <v>7</v>
      </c>
      <c r="AF312" t="n">
        <v>2</v>
      </c>
      <c r="AG312" t="n">
        <v>2</v>
      </c>
      <c r="AH312" t="n">
        <v>1</v>
      </c>
      <c r="AI312" t="n">
        <v>1</v>
      </c>
      <c r="AJ312" t="n">
        <v>4</v>
      </c>
      <c r="AK312" t="n">
        <v>4</v>
      </c>
      <c r="AL312" t="n">
        <v>1</v>
      </c>
      <c r="AM312" t="n">
        <v>1</v>
      </c>
      <c r="AN312" t="n">
        <v>0</v>
      </c>
      <c r="AO312" t="n">
        <v>0</v>
      </c>
      <c r="AP312" t="inlineStr">
        <is>
          <t>No</t>
        </is>
      </c>
      <c r="AQ312" t="inlineStr">
        <is>
          <t>Yes</t>
        </is>
      </c>
      <c r="AR312">
        <f>HYPERLINK("http://catalog.hathitrust.org/Record/004019764","HathiTrust Record")</f>
        <v/>
      </c>
      <c r="AS312">
        <f>HYPERLINK("https://creighton-primo.hosted.exlibrisgroup.com/primo-explore/search?tab=default_tab&amp;search_scope=EVERYTHING&amp;vid=01CRU&amp;lang=en_US&amp;offset=0&amp;query=any,contains,991001337889702656","Catalog Record")</f>
        <v/>
      </c>
      <c r="AT312">
        <f>HYPERLINK("http://www.worldcat.org/oclc/39170392","WorldCat Record")</f>
        <v/>
      </c>
      <c r="AU312" t="inlineStr">
        <is>
          <t>836933642:eng</t>
        </is>
      </c>
      <c r="AV312" t="inlineStr">
        <is>
          <t>39170392</t>
        </is>
      </c>
      <c r="AW312" t="inlineStr">
        <is>
          <t>991001337889702656</t>
        </is>
      </c>
      <c r="AX312" t="inlineStr">
        <is>
          <t>991001337889702656</t>
        </is>
      </c>
      <c r="AY312" t="inlineStr">
        <is>
          <t>2270206610002656</t>
        </is>
      </c>
      <c r="AZ312" t="inlineStr">
        <is>
          <t>BOOK</t>
        </is>
      </c>
      <c r="BB312" t="inlineStr">
        <is>
          <t>9780195104011</t>
        </is>
      </c>
      <c r="BC312" t="inlineStr">
        <is>
          <t>30001003790823</t>
        </is>
      </c>
      <c r="BD312" t="inlineStr">
        <is>
          <t>893274035</t>
        </is>
      </c>
    </row>
    <row r="313">
      <c r="A313" t="inlineStr">
        <is>
          <t>No</t>
        </is>
      </c>
      <c r="B313" t="inlineStr">
        <is>
          <t>QZ 202 N27774s 1991</t>
        </is>
      </c>
      <c r="C313" t="inlineStr">
        <is>
          <t>0                      QZ 0202000N  27774s      1991</t>
        </is>
      </c>
      <c r="D313" t="inlineStr">
        <is>
          <t>The superfamily of ras-related genes / edited by Demetrios A. Spandidos.</t>
        </is>
      </c>
      <c r="F313" t="inlineStr">
        <is>
          <t>No</t>
        </is>
      </c>
      <c r="G313" t="inlineStr">
        <is>
          <t>1</t>
        </is>
      </c>
      <c r="H313" t="inlineStr">
        <is>
          <t>No</t>
        </is>
      </c>
      <c r="I313" t="inlineStr">
        <is>
          <t>No</t>
        </is>
      </c>
      <c r="J313" t="inlineStr">
        <is>
          <t>0</t>
        </is>
      </c>
      <c r="K313" t="inlineStr">
        <is>
          <t>NATO Advanced Research Workshop on the Super-Family of Ras-Related Genes (1991 : Hagia Pelagia, Greece)</t>
        </is>
      </c>
      <c r="L313" t="inlineStr">
        <is>
          <t>New York : Plenum Press, c1991.</t>
        </is>
      </c>
      <c r="M313" t="inlineStr">
        <is>
          <t>1991</t>
        </is>
      </c>
      <c r="O313" t="inlineStr">
        <is>
          <t>eng</t>
        </is>
      </c>
      <c r="P313" t="inlineStr">
        <is>
          <t>nyu</t>
        </is>
      </c>
      <c r="Q313" t="inlineStr">
        <is>
          <t>NATO ASI series. Series A, Life sciences ; v. 220</t>
        </is>
      </c>
      <c r="R313" t="inlineStr">
        <is>
          <t xml:space="preserve">QZ </t>
        </is>
      </c>
      <c r="S313" t="n">
        <v>7</v>
      </c>
      <c r="T313" t="n">
        <v>7</v>
      </c>
      <c r="U313" t="inlineStr">
        <is>
          <t>1994-02-27</t>
        </is>
      </c>
      <c r="V313" t="inlineStr">
        <is>
          <t>1994-02-27</t>
        </is>
      </c>
      <c r="W313" t="inlineStr">
        <is>
          <t>1992-05-13</t>
        </is>
      </c>
      <c r="X313" t="inlineStr">
        <is>
          <t>1992-05-13</t>
        </is>
      </c>
      <c r="Y313" t="n">
        <v>103</v>
      </c>
      <c r="Z313" t="n">
        <v>74</v>
      </c>
      <c r="AA313" t="n">
        <v>97</v>
      </c>
      <c r="AB313" t="n">
        <v>2</v>
      </c>
      <c r="AC313" t="n">
        <v>2</v>
      </c>
      <c r="AD313" t="n">
        <v>1</v>
      </c>
      <c r="AE313" t="n">
        <v>2</v>
      </c>
      <c r="AF313" t="n">
        <v>0</v>
      </c>
      <c r="AG313" t="n">
        <v>1</v>
      </c>
      <c r="AH313" t="n">
        <v>0</v>
      </c>
      <c r="AI313" t="n">
        <v>0</v>
      </c>
      <c r="AJ313" t="n">
        <v>0</v>
      </c>
      <c r="AK313" t="n">
        <v>1</v>
      </c>
      <c r="AL313" t="n">
        <v>1</v>
      </c>
      <c r="AM313" t="n">
        <v>1</v>
      </c>
      <c r="AN313" t="n">
        <v>0</v>
      </c>
      <c r="AO313" t="n">
        <v>0</v>
      </c>
      <c r="AP313" t="inlineStr">
        <is>
          <t>No</t>
        </is>
      </c>
      <c r="AQ313" t="inlineStr">
        <is>
          <t>Yes</t>
        </is>
      </c>
      <c r="AR313">
        <f>HYPERLINK("http://catalog.hathitrust.org/Record/002560957","HathiTrust Record")</f>
        <v/>
      </c>
      <c r="AS313">
        <f>HYPERLINK("https://creighton-primo.hosted.exlibrisgroup.com/primo-explore/search?tab=default_tab&amp;search_scope=EVERYTHING&amp;vid=01CRU&amp;lang=en_US&amp;offset=0&amp;query=any,contains,991001304299702656","Catalog Record")</f>
        <v/>
      </c>
      <c r="AT313">
        <f>HYPERLINK("http://www.worldcat.org/oclc/25009280","WorldCat Record")</f>
        <v/>
      </c>
      <c r="AU313" t="inlineStr">
        <is>
          <t>26539891:eng</t>
        </is>
      </c>
      <c r="AV313" t="inlineStr">
        <is>
          <t>25009280</t>
        </is>
      </c>
      <c r="AW313" t="inlineStr">
        <is>
          <t>991001304299702656</t>
        </is>
      </c>
      <c r="AX313" t="inlineStr">
        <is>
          <t>991001304299702656</t>
        </is>
      </c>
      <c r="AY313" t="inlineStr">
        <is>
          <t>2269435560002656</t>
        </is>
      </c>
      <c r="AZ313" t="inlineStr">
        <is>
          <t>BOOK</t>
        </is>
      </c>
      <c r="BB313" t="inlineStr">
        <is>
          <t>9780306440854</t>
        </is>
      </c>
      <c r="BC313" t="inlineStr">
        <is>
          <t>30001002413054</t>
        </is>
      </c>
      <c r="BD313" t="inlineStr">
        <is>
          <t>893552344</t>
        </is>
      </c>
    </row>
    <row r="314">
      <c r="A314" t="inlineStr">
        <is>
          <t>No</t>
        </is>
      </c>
      <c r="B314" t="inlineStr">
        <is>
          <t>QZ 202 N965 1990</t>
        </is>
      </c>
      <c r="C314" t="inlineStr">
        <is>
          <t>0                      QZ 0202000N  965         1990</t>
        </is>
      </c>
      <c r="D314" t="inlineStr">
        <is>
          <t>Nuclear processes and oncogenes / edited by Phillip A. Sharp.</t>
        </is>
      </c>
      <c r="F314" t="inlineStr">
        <is>
          <t>No</t>
        </is>
      </c>
      <c r="G314" t="inlineStr">
        <is>
          <t>1</t>
        </is>
      </c>
      <c r="H314" t="inlineStr">
        <is>
          <t>No</t>
        </is>
      </c>
      <c r="I314" t="inlineStr">
        <is>
          <t>No</t>
        </is>
      </c>
      <c r="J314" t="inlineStr">
        <is>
          <t>0</t>
        </is>
      </c>
      <c r="L314" t="inlineStr">
        <is>
          <t>San Diego : Academic Press, c1992.</t>
        </is>
      </c>
      <c r="M314" t="inlineStr">
        <is>
          <t>1992</t>
        </is>
      </c>
      <c r="O314" t="inlineStr">
        <is>
          <t>eng</t>
        </is>
      </c>
      <c r="P314" t="inlineStr">
        <is>
          <t>cau</t>
        </is>
      </c>
      <c r="Q314" t="inlineStr">
        <is>
          <t>Bristol-Myers Squibb cancer symposia ; 14</t>
        </is>
      </c>
      <c r="R314" t="inlineStr">
        <is>
          <t xml:space="preserve">QZ </t>
        </is>
      </c>
      <c r="S314" t="n">
        <v>5</v>
      </c>
      <c r="T314" t="n">
        <v>5</v>
      </c>
      <c r="U314" t="inlineStr">
        <is>
          <t>1995-04-17</t>
        </is>
      </c>
      <c r="V314" t="inlineStr">
        <is>
          <t>1995-04-17</t>
        </is>
      </c>
      <c r="W314" t="inlineStr">
        <is>
          <t>1993-11-04</t>
        </is>
      </c>
      <c r="X314" t="inlineStr">
        <is>
          <t>1993-11-04</t>
        </is>
      </c>
      <c r="Y314" t="n">
        <v>94</v>
      </c>
      <c r="Z314" t="n">
        <v>63</v>
      </c>
      <c r="AA314" t="n">
        <v>97</v>
      </c>
      <c r="AB314" t="n">
        <v>1</v>
      </c>
      <c r="AC314" t="n">
        <v>1</v>
      </c>
      <c r="AD314" t="n">
        <v>1</v>
      </c>
      <c r="AE314" t="n">
        <v>3</v>
      </c>
      <c r="AF314" t="n">
        <v>0</v>
      </c>
      <c r="AG314" t="n">
        <v>1</v>
      </c>
      <c r="AH314" t="n">
        <v>1</v>
      </c>
      <c r="AI314" t="n">
        <v>2</v>
      </c>
      <c r="AJ314" t="n">
        <v>1</v>
      </c>
      <c r="AK314" t="n">
        <v>1</v>
      </c>
      <c r="AL314" t="n">
        <v>0</v>
      </c>
      <c r="AM314" t="n">
        <v>0</v>
      </c>
      <c r="AN314" t="n">
        <v>0</v>
      </c>
      <c r="AO314" t="n">
        <v>0</v>
      </c>
      <c r="AP314" t="inlineStr">
        <is>
          <t>No</t>
        </is>
      </c>
      <c r="AQ314" t="inlineStr">
        <is>
          <t>Yes</t>
        </is>
      </c>
      <c r="AR314">
        <f>HYPERLINK("http://catalog.hathitrust.org/Record/002584275","HathiTrust Record")</f>
        <v/>
      </c>
      <c r="AS314">
        <f>HYPERLINK("https://creighton-primo.hosted.exlibrisgroup.com/primo-explore/search?tab=default_tab&amp;search_scope=EVERYTHING&amp;vid=01CRU&amp;lang=en_US&amp;offset=0&amp;query=any,contains,991000545519702656","Catalog Record")</f>
        <v/>
      </c>
      <c r="AT314">
        <f>HYPERLINK("http://www.worldcat.org/oclc/24796103","WorldCat Record")</f>
        <v/>
      </c>
      <c r="AU314" t="inlineStr">
        <is>
          <t>772118424:eng</t>
        </is>
      </c>
      <c r="AV314" t="inlineStr">
        <is>
          <t>24796103</t>
        </is>
      </c>
      <c r="AW314" t="inlineStr">
        <is>
          <t>991000545519702656</t>
        </is>
      </c>
      <c r="AX314" t="inlineStr">
        <is>
          <t>991000545519702656</t>
        </is>
      </c>
      <c r="AY314" t="inlineStr">
        <is>
          <t>2260106410002656</t>
        </is>
      </c>
      <c r="AZ314" t="inlineStr">
        <is>
          <t>BOOK</t>
        </is>
      </c>
      <c r="BB314" t="inlineStr">
        <is>
          <t>9780126390254</t>
        </is>
      </c>
      <c r="BC314" t="inlineStr">
        <is>
          <t>30001002670307</t>
        </is>
      </c>
      <c r="BD314" t="inlineStr">
        <is>
          <t>893813611</t>
        </is>
      </c>
    </row>
    <row r="315">
      <c r="A315" t="inlineStr">
        <is>
          <t>No</t>
        </is>
      </c>
      <c r="B315" t="inlineStr">
        <is>
          <t>QZ 202 O21r 1944</t>
        </is>
      </c>
      <c r="C315" t="inlineStr">
        <is>
          <t>0                      QZ 0202000O  21r         1944</t>
        </is>
      </c>
      <c r="D315" t="inlineStr">
        <is>
          <t>The riddle of cancer / by Charles Overling ; translated by William H. Woglom.</t>
        </is>
      </c>
      <c r="F315" t="inlineStr">
        <is>
          <t>No</t>
        </is>
      </c>
      <c r="G315" t="inlineStr">
        <is>
          <t>1</t>
        </is>
      </c>
      <c r="H315" t="inlineStr">
        <is>
          <t>No</t>
        </is>
      </c>
      <c r="I315" t="inlineStr">
        <is>
          <t>No</t>
        </is>
      </c>
      <c r="J315" t="inlineStr">
        <is>
          <t>0</t>
        </is>
      </c>
      <c r="K315" t="inlineStr">
        <is>
          <t>Oberling, Charles, 1895-1960.</t>
        </is>
      </c>
      <c r="L315" t="inlineStr">
        <is>
          <t>-- New Haven : Yale University Press, c1944.</t>
        </is>
      </c>
      <c r="M315" t="inlineStr">
        <is>
          <t>1944</t>
        </is>
      </c>
      <c r="O315" t="inlineStr">
        <is>
          <t>eng</t>
        </is>
      </c>
      <c r="P315" t="inlineStr">
        <is>
          <t>ctu</t>
        </is>
      </c>
      <c r="R315" t="inlineStr">
        <is>
          <t xml:space="preserve">QZ </t>
        </is>
      </c>
      <c r="S315" t="n">
        <v>1</v>
      </c>
      <c r="T315" t="n">
        <v>1</v>
      </c>
      <c r="U315" t="inlineStr">
        <is>
          <t>2004-03-28</t>
        </is>
      </c>
      <c r="V315" t="inlineStr">
        <is>
          <t>2004-03-28</t>
        </is>
      </c>
      <c r="W315" t="inlineStr">
        <is>
          <t>1988-02-19</t>
        </is>
      </c>
      <c r="X315" t="inlineStr">
        <is>
          <t>1988-02-19</t>
        </is>
      </c>
      <c r="Y315" t="n">
        <v>199</v>
      </c>
      <c r="Z315" t="n">
        <v>175</v>
      </c>
      <c r="AA315" t="n">
        <v>266</v>
      </c>
      <c r="AB315" t="n">
        <v>3</v>
      </c>
      <c r="AC315" t="n">
        <v>3</v>
      </c>
      <c r="AD315" t="n">
        <v>6</v>
      </c>
      <c r="AE315" t="n">
        <v>8</v>
      </c>
      <c r="AF315" t="n">
        <v>2</v>
      </c>
      <c r="AG315" t="n">
        <v>2</v>
      </c>
      <c r="AH315" t="n">
        <v>3</v>
      </c>
      <c r="AI315" t="n">
        <v>3</v>
      </c>
      <c r="AJ315" t="n">
        <v>1</v>
      </c>
      <c r="AK315" t="n">
        <v>3</v>
      </c>
      <c r="AL315" t="n">
        <v>2</v>
      </c>
      <c r="AM315" t="n">
        <v>2</v>
      </c>
      <c r="AN315" t="n">
        <v>0</v>
      </c>
      <c r="AO315" t="n">
        <v>0</v>
      </c>
      <c r="AP315" t="inlineStr">
        <is>
          <t>No</t>
        </is>
      </c>
      <c r="AQ315" t="inlineStr">
        <is>
          <t>Yes</t>
        </is>
      </c>
      <c r="AR315">
        <f>HYPERLINK("http://catalog.hathitrust.org/Record/001585357","HathiTrust Record")</f>
        <v/>
      </c>
      <c r="AS315">
        <f>HYPERLINK("https://creighton-primo.hosted.exlibrisgroup.com/primo-explore/search?tab=default_tab&amp;search_scope=EVERYTHING&amp;vid=01CRU&amp;lang=en_US&amp;offset=0&amp;query=any,contains,991001092799702656","Catalog Record")</f>
        <v/>
      </c>
      <c r="AT315">
        <f>HYPERLINK("http://www.worldcat.org/oclc/7838625","WorldCat Record")</f>
        <v/>
      </c>
      <c r="AU315" t="inlineStr">
        <is>
          <t>2496011:eng</t>
        </is>
      </c>
      <c r="AV315" t="inlineStr">
        <is>
          <t>7838625</t>
        </is>
      </c>
      <c r="AW315" t="inlineStr">
        <is>
          <t>991001092799702656</t>
        </is>
      </c>
      <c r="AX315" t="inlineStr">
        <is>
          <t>991001092799702656</t>
        </is>
      </c>
      <c r="AY315" t="inlineStr">
        <is>
          <t>2259550350002656</t>
        </is>
      </c>
      <c r="AZ315" t="inlineStr">
        <is>
          <t>BOOK</t>
        </is>
      </c>
      <c r="BC315" t="inlineStr">
        <is>
          <t>30001000263949</t>
        </is>
      </c>
      <c r="BD315" t="inlineStr">
        <is>
          <t>893557567</t>
        </is>
      </c>
    </row>
    <row r="316">
      <c r="A316" t="inlineStr">
        <is>
          <t>No</t>
        </is>
      </c>
      <c r="B316" t="inlineStr">
        <is>
          <t>QZ 202 O546 1997</t>
        </is>
      </c>
      <c r="C316" t="inlineStr">
        <is>
          <t>0                      QZ 0202000O  546         1997</t>
        </is>
      </c>
      <c r="D316" t="inlineStr">
        <is>
          <t>Oncogenes as transcriptional regulators / M. Yaniv, J. Ghysdael, editors.</t>
        </is>
      </c>
      <c r="E316" t="inlineStr">
        <is>
          <t>V. 1</t>
        </is>
      </c>
      <c r="F316" t="inlineStr">
        <is>
          <t>Yes</t>
        </is>
      </c>
      <c r="G316" t="inlineStr">
        <is>
          <t>1</t>
        </is>
      </c>
      <c r="H316" t="inlineStr">
        <is>
          <t>No</t>
        </is>
      </c>
      <c r="I316" t="inlineStr">
        <is>
          <t>No</t>
        </is>
      </c>
      <c r="J316" t="inlineStr">
        <is>
          <t>0</t>
        </is>
      </c>
      <c r="L316" t="inlineStr">
        <is>
          <t>Basel ; Boston : Birkhäuser Verlag, c1997.</t>
        </is>
      </c>
      <c r="M316" t="inlineStr">
        <is>
          <t>1997</t>
        </is>
      </c>
      <c r="O316" t="inlineStr">
        <is>
          <t>eng</t>
        </is>
      </c>
      <c r="P316" t="inlineStr">
        <is>
          <t xml:space="preserve">sz </t>
        </is>
      </c>
      <c r="Q316" t="inlineStr">
        <is>
          <t>Progress in gene expression</t>
        </is>
      </c>
      <c r="R316" t="inlineStr">
        <is>
          <t xml:space="preserve">QZ </t>
        </is>
      </c>
      <c r="S316" t="n">
        <v>3</v>
      </c>
      <c r="T316" t="n">
        <v>6</v>
      </c>
      <c r="U316" t="inlineStr">
        <is>
          <t>1998-12-23</t>
        </is>
      </c>
      <c r="V316" t="inlineStr">
        <is>
          <t>1998-12-23</t>
        </is>
      </c>
      <c r="W316" t="inlineStr">
        <is>
          <t>1998-12-18</t>
        </is>
      </c>
      <c r="X316" t="inlineStr">
        <is>
          <t>1998-12-18</t>
        </is>
      </c>
      <c r="Y316" t="n">
        <v>74</v>
      </c>
      <c r="Z316" t="n">
        <v>46</v>
      </c>
      <c r="AA316" t="n">
        <v>46</v>
      </c>
      <c r="AB316" t="n">
        <v>1</v>
      </c>
      <c r="AC316" t="n">
        <v>1</v>
      </c>
      <c r="AD316" t="n">
        <v>0</v>
      </c>
      <c r="AE316" t="n">
        <v>0</v>
      </c>
      <c r="AF316" t="n">
        <v>0</v>
      </c>
      <c r="AG316" t="n">
        <v>0</v>
      </c>
      <c r="AH316" t="n">
        <v>0</v>
      </c>
      <c r="AI316" t="n">
        <v>0</v>
      </c>
      <c r="AJ316" t="n">
        <v>0</v>
      </c>
      <c r="AK316" t="n">
        <v>0</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HYPERLINK("https://creighton-primo.hosted.exlibrisgroup.com/primo-explore/search?tab=default_tab&amp;search_scope=EVERYTHING&amp;vid=01CRU&amp;lang=en_US&amp;offset=0&amp;query=any,contains,991001548789702656","Catalog Record")</f>
        <v/>
      </c>
      <c r="AT316">
        <f>HYPERLINK("http://www.worldcat.org/oclc/36649478","WorldCat Record")</f>
        <v/>
      </c>
      <c r="AU316" t="inlineStr">
        <is>
          <t>5612695371:eng</t>
        </is>
      </c>
      <c r="AV316" t="inlineStr">
        <is>
          <t>36649478</t>
        </is>
      </c>
      <c r="AW316" t="inlineStr">
        <is>
          <t>991001548789702656</t>
        </is>
      </c>
      <c r="AX316" t="inlineStr">
        <is>
          <t>991001548789702656</t>
        </is>
      </c>
      <c r="AY316" t="inlineStr">
        <is>
          <t>2262778670002656</t>
        </is>
      </c>
      <c r="AZ316" t="inlineStr">
        <is>
          <t>BOOK</t>
        </is>
      </c>
      <c r="BB316" t="inlineStr">
        <is>
          <t>9780817654863</t>
        </is>
      </c>
      <c r="BC316" t="inlineStr">
        <is>
          <t>30001004037596</t>
        </is>
      </c>
      <c r="BD316" t="inlineStr">
        <is>
          <t>893134708</t>
        </is>
      </c>
    </row>
    <row r="317">
      <c r="A317" t="inlineStr">
        <is>
          <t>No</t>
        </is>
      </c>
      <c r="B317" t="inlineStr">
        <is>
          <t>QZ 202 O546 1997</t>
        </is>
      </c>
      <c r="C317" t="inlineStr">
        <is>
          <t>0                      QZ 0202000O  546         1997</t>
        </is>
      </c>
      <c r="D317" t="inlineStr">
        <is>
          <t>Oncogenes as transcriptional regulators / M. Yaniv, J. Ghysdael, editors.</t>
        </is>
      </c>
      <c r="E317" t="inlineStr">
        <is>
          <t>V. 2</t>
        </is>
      </c>
      <c r="F317" t="inlineStr">
        <is>
          <t>Yes</t>
        </is>
      </c>
      <c r="G317" t="inlineStr">
        <is>
          <t>1</t>
        </is>
      </c>
      <c r="H317" t="inlineStr">
        <is>
          <t>No</t>
        </is>
      </c>
      <c r="I317" t="inlineStr">
        <is>
          <t>No</t>
        </is>
      </c>
      <c r="J317" t="inlineStr">
        <is>
          <t>0</t>
        </is>
      </c>
      <c r="L317" t="inlineStr">
        <is>
          <t>Basel ; Boston : Birkhäuser Verlag, c1997.</t>
        </is>
      </c>
      <c r="M317" t="inlineStr">
        <is>
          <t>1997</t>
        </is>
      </c>
      <c r="O317" t="inlineStr">
        <is>
          <t>eng</t>
        </is>
      </c>
      <c r="P317" t="inlineStr">
        <is>
          <t xml:space="preserve">sz </t>
        </is>
      </c>
      <c r="Q317" t="inlineStr">
        <is>
          <t>Progress in gene expression</t>
        </is>
      </c>
      <c r="R317" t="inlineStr">
        <is>
          <t xml:space="preserve">QZ </t>
        </is>
      </c>
      <c r="S317" t="n">
        <v>3</v>
      </c>
      <c r="T317" t="n">
        <v>6</v>
      </c>
      <c r="U317" t="inlineStr">
        <is>
          <t>1998-12-23</t>
        </is>
      </c>
      <c r="V317" t="inlineStr">
        <is>
          <t>1998-12-23</t>
        </is>
      </c>
      <c r="W317" t="inlineStr">
        <is>
          <t>1998-12-18</t>
        </is>
      </c>
      <c r="X317" t="inlineStr">
        <is>
          <t>1998-12-18</t>
        </is>
      </c>
      <c r="Y317" t="n">
        <v>74</v>
      </c>
      <c r="Z317" t="n">
        <v>46</v>
      </c>
      <c r="AA317" t="n">
        <v>46</v>
      </c>
      <c r="AB317" t="n">
        <v>1</v>
      </c>
      <c r="AC317" t="n">
        <v>1</v>
      </c>
      <c r="AD317" t="n">
        <v>0</v>
      </c>
      <c r="AE317" t="n">
        <v>0</v>
      </c>
      <c r="AF317" t="n">
        <v>0</v>
      </c>
      <c r="AG317" t="n">
        <v>0</v>
      </c>
      <c r="AH317" t="n">
        <v>0</v>
      </c>
      <c r="AI317" t="n">
        <v>0</v>
      </c>
      <c r="AJ317" t="n">
        <v>0</v>
      </c>
      <c r="AK317" t="n">
        <v>0</v>
      </c>
      <c r="AL317" t="n">
        <v>0</v>
      </c>
      <c r="AM317" t="n">
        <v>0</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HYPERLINK("https://creighton-primo.hosted.exlibrisgroup.com/primo-explore/search?tab=default_tab&amp;search_scope=EVERYTHING&amp;vid=01CRU&amp;lang=en_US&amp;offset=0&amp;query=any,contains,991001548789702656","Catalog Record")</f>
        <v/>
      </c>
      <c r="AT317">
        <f>HYPERLINK("http://www.worldcat.org/oclc/36649478","WorldCat Record")</f>
        <v/>
      </c>
      <c r="AU317" t="inlineStr">
        <is>
          <t>5612695371:eng</t>
        </is>
      </c>
      <c r="AV317" t="inlineStr">
        <is>
          <t>36649478</t>
        </is>
      </c>
      <c r="AW317" t="inlineStr">
        <is>
          <t>991001548789702656</t>
        </is>
      </c>
      <c r="AX317" t="inlineStr">
        <is>
          <t>991001548789702656</t>
        </is>
      </c>
      <c r="AY317" t="inlineStr">
        <is>
          <t>2262778670002656</t>
        </is>
      </c>
      <c r="AZ317" t="inlineStr">
        <is>
          <t>BOOK</t>
        </is>
      </c>
      <c r="BB317" t="inlineStr">
        <is>
          <t>9780817654863</t>
        </is>
      </c>
      <c r="BC317" t="inlineStr">
        <is>
          <t>30001004037604</t>
        </is>
      </c>
      <c r="BD317" t="inlineStr">
        <is>
          <t>893149329</t>
        </is>
      </c>
    </row>
    <row r="318">
      <c r="A318" t="inlineStr">
        <is>
          <t>No</t>
        </is>
      </c>
      <c r="B318" t="inlineStr">
        <is>
          <t>QZ 202 O578 1987</t>
        </is>
      </c>
      <c r="C318" t="inlineStr">
        <is>
          <t>0                      QZ 0202000O  578         1987</t>
        </is>
      </c>
      <c r="D318" t="inlineStr">
        <is>
          <t>Oncogenes, genes, and growth factors / edited by Gordon Guroff.</t>
        </is>
      </c>
      <c r="F318" t="inlineStr">
        <is>
          <t>No</t>
        </is>
      </c>
      <c r="G318" t="inlineStr">
        <is>
          <t>1</t>
        </is>
      </c>
      <c r="H318" t="inlineStr">
        <is>
          <t>No</t>
        </is>
      </c>
      <c r="I318" t="inlineStr">
        <is>
          <t>No</t>
        </is>
      </c>
      <c r="J318" t="inlineStr">
        <is>
          <t>0</t>
        </is>
      </c>
      <c r="L318" t="inlineStr">
        <is>
          <t>New York : Wiley, c1987.</t>
        </is>
      </c>
      <c r="M318" t="inlineStr">
        <is>
          <t>1987</t>
        </is>
      </c>
      <c r="O318" t="inlineStr">
        <is>
          <t>eng</t>
        </is>
      </c>
      <c r="P318" t="inlineStr">
        <is>
          <t>xxu</t>
        </is>
      </c>
      <c r="Q318" t="inlineStr">
        <is>
          <t>Growth and maturation factors ; v. 4</t>
        </is>
      </c>
      <c r="R318" t="inlineStr">
        <is>
          <t xml:space="preserve">QZ </t>
        </is>
      </c>
      <c r="S318" t="n">
        <v>7</v>
      </c>
      <c r="T318" t="n">
        <v>7</v>
      </c>
      <c r="U318" t="inlineStr">
        <is>
          <t>1991-02-07</t>
        </is>
      </c>
      <c r="V318" t="inlineStr">
        <is>
          <t>1991-02-07</t>
        </is>
      </c>
      <c r="W318" t="inlineStr">
        <is>
          <t>1987-12-09</t>
        </is>
      </c>
      <c r="X318" t="inlineStr">
        <is>
          <t>1987-12-09</t>
        </is>
      </c>
      <c r="Y318" t="n">
        <v>294</v>
      </c>
      <c r="Z318" t="n">
        <v>235</v>
      </c>
      <c r="AA318" t="n">
        <v>243</v>
      </c>
      <c r="AB318" t="n">
        <v>2</v>
      </c>
      <c r="AC318" t="n">
        <v>2</v>
      </c>
      <c r="AD318" t="n">
        <v>9</v>
      </c>
      <c r="AE318" t="n">
        <v>9</v>
      </c>
      <c r="AF318" t="n">
        <v>3</v>
      </c>
      <c r="AG318" t="n">
        <v>3</v>
      </c>
      <c r="AH318" t="n">
        <v>2</v>
      </c>
      <c r="AI318" t="n">
        <v>2</v>
      </c>
      <c r="AJ318" t="n">
        <v>7</v>
      </c>
      <c r="AK318" t="n">
        <v>7</v>
      </c>
      <c r="AL318" t="n">
        <v>1</v>
      </c>
      <c r="AM318" t="n">
        <v>1</v>
      </c>
      <c r="AN318" t="n">
        <v>0</v>
      </c>
      <c r="AO318" t="n">
        <v>0</v>
      </c>
      <c r="AP318" t="inlineStr">
        <is>
          <t>No</t>
        </is>
      </c>
      <c r="AQ318" t="inlineStr">
        <is>
          <t>Yes</t>
        </is>
      </c>
      <c r="AR318">
        <f>HYPERLINK("http://catalog.hathitrust.org/Record/000820394","HathiTrust Record")</f>
        <v/>
      </c>
      <c r="AS318">
        <f>HYPERLINK("https://creighton-primo.hosted.exlibrisgroup.com/primo-explore/search?tab=default_tab&amp;search_scope=EVERYTHING&amp;vid=01CRU&amp;lang=en_US&amp;offset=0&amp;query=any,contains,991001533399702656","Catalog Record")</f>
        <v/>
      </c>
      <c r="AT318">
        <f>HYPERLINK("http://www.worldcat.org/oclc/15107514","WorldCat Record")</f>
        <v/>
      </c>
      <c r="AU318" t="inlineStr">
        <is>
          <t>8339472:eng</t>
        </is>
      </c>
      <c r="AV318" t="inlineStr">
        <is>
          <t>15107514</t>
        </is>
      </c>
      <c r="AW318" t="inlineStr">
        <is>
          <t>991001533399702656</t>
        </is>
      </c>
      <c r="AX318" t="inlineStr">
        <is>
          <t>991001533399702656</t>
        </is>
      </c>
      <c r="AY318" t="inlineStr">
        <is>
          <t>2257728230002656</t>
        </is>
      </c>
      <c r="AZ318" t="inlineStr">
        <is>
          <t>BOOK</t>
        </is>
      </c>
      <c r="BB318" t="inlineStr">
        <is>
          <t>9780471825951</t>
        </is>
      </c>
      <c r="BC318" t="inlineStr">
        <is>
          <t>30001000622193</t>
        </is>
      </c>
      <c r="BD318" t="inlineStr">
        <is>
          <t>893816497</t>
        </is>
      </c>
    </row>
    <row r="319">
      <c r="A319" t="inlineStr">
        <is>
          <t>No</t>
        </is>
      </c>
      <c r="B319" t="inlineStr">
        <is>
          <t>QZ 202 P855n 1995</t>
        </is>
      </c>
      <c r="C319" t="inlineStr">
        <is>
          <t>0                      QZ 0202000P  855n        1995</t>
        </is>
      </c>
      <c r="D319" t="inlineStr">
        <is>
          <t>Neurologic complications of cancer / Jerome B. Posner.</t>
        </is>
      </c>
      <c r="F319" t="inlineStr">
        <is>
          <t>No</t>
        </is>
      </c>
      <c r="G319" t="inlineStr">
        <is>
          <t>1</t>
        </is>
      </c>
      <c r="H319" t="inlineStr">
        <is>
          <t>No</t>
        </is>
      </c>
      <c r="I319" t="inlineStr">
        <is>
          <t>No</t>
        </is>
      </c>
      <c r="J319" t="inlineStr">
        <is>
          <t>0</t>
        </is>
      </c>
      <c r="K319" t="inlineStr">
        <is>
          <t>Posner, Jerome B., 1932-</t>
        </is>
      </c>
      <c r="L319" t="inlineStr">
        <is>
          <t>Philadelphia : F.A. Davis Co., c1995.</t>
        </is>
      </c>
      <c r="M319" t="inlineStr">
        <is>
          <t>1995</t>
        </is>
      </c>
      <c r="O319" t="inlineStr">
        <is>
          <t>eng</t>
        </is>
      </c>
      <c r="P319" t="inlineStr">
        <is>
          <t>pau</t>
        </is>
      </c>
      <c r="Q319" t="inlineStr">
        <is>
          <t>Contemporary neurology series ; 45</t>
        </is>
      </c>
      <c r="R319" t="inlineStr">
        <is>
          <t xml:space="preserve">QZ </t>
        </is>
      </c>
      <c r="S319" t="n">
        <v>3</v>
      </c>
      <c r="T319" t="n">
        <v>3</v>
      </c>
      <c r="U319" t="inlineStr">
        <is>
          <t>1996-10-23</t>
        </is>
      </c>
      <c r="V319" t="inlineStr">
        <is>
          <t>1996-10-23</t>
        </is>
      </c>
      <c r="W319" t="inlineStr">
        <is>
          <t>1996-08-13</t>
        </is>
      </c>
      <c r="X319" t="inlineStr">
        <is>
          <t>1996-08-13</t>
        </is>
      </c>
      <c r="Y319" t="n">
        <v>152</v>
      </c>
      <c r="Z319" t="n">
        <v>115</v>
      </c>
      <c r="AA319" t="n">
        <v>117</v>
      </c>
      <c r="AB319" t="n">
        <v>1</v>
      </c>
      <c r="AC319" t="n">
        <v>1</v>
      </c>
      <c r="AD319" t="n">
        <v>3</v>
      </c>
      <c r="AE319" t="n">
        <v>3</v>
      </c>
      <c r="AF319" t="n">
        <v>1</v>
      </c>
      <c r="AG319" t="n">
        <v>1</v>
      </c>
      <c r="AH319" t="n">
        <v>1</v>
      </c>
      <c r="AI319" t="n">
        <v>1</v>
      </c>
      <c r="AJ319" t="n">
        <v>3</v>
      </c>
      <c r="AK319" t="n">
        <v>3</v>
      </c>
      <c r="AL319" t="n">
        <v>0</v>
      </c>
      <c r="AM319" t="n">
        <v>0</v>
      </c>
      <c r="AN319" t="n">
        <v>0</v>
      </c>
      <c r="AO319" t="n">
        <v>0</v>
      </c>
      <c r="AP319" t="inlineStr">
        <is>
          <t>No</t>
        </is>
      </c>
      <c r="AQ319" t="inlineStr">
        <is>
          <t>Yes</t>
        </is>
      </c>
      <c r="AR319">
        <f>HYPERLINK("http://catalog.hathitrust.org/Record/003000947","HathiTrust Record")</f>
        <v/>
      </c>
      <c r="AS319">
        <f>HYPERLINK("https://creighton-primo.hosted.exlibrisgroup.com/primo-explore/search?tab=default_tab&amp;search_scope=EVERYTHING&amp;vid=01CRU&amp;lang=en_US&amp;offset=0&amp;query=any,contains,991000834429702656","Catalog Record")</f>
        <v/>
      </c>
      <c r="AT319">
        <f>HYPERLINK("http://www.worldcat.org/oclc/31816270","WorldCat Record")</f>
        <v/>
      </c>
      <c r="AU319" t="inlineStr">
        <is>
          <t>5091161611:eng</t>
        </is>
      </c>
      <c r="AV319" t="inlineStr">
        <is>
          <t>31816270</t>
        </is>
      </c>
      <c r="AW319" t="inlineStr">
        <is>
          <t>991000834429702656</t>
        </is>
      </c>
      <c r="AX319" t="inlineStr">
        <is>
          <t>991000834429702656</t>
        </is>
      </c>
      <c r="AY319" t="inlineStr">
        <is>
          <t>2262095670002656</t>
        </is>
      </c>
      <c r="AZ319" t="inlineStr">
        <is>
          <t>BOOK</t>
        </is>
      </c>
      <c r="BB319" t="inlineStr">
        <is>
          <t>9780803600065</t>
        </is>
      </c>
      <c r="BC319" t="inlineStr">
        <is>
          <t>30001003441021</t>
        </is>
      </c>
      <c r="BD319" t="inlineStr">
        <is>
          <t>893834387</t>
        </is>
      </c>
    </row>
    <row r="320">
      <c r="A320" t="inlineStr">
        <is>
          <t>No</t>
        </is>
      </c>
      <c r="B320" t="inlineStr">
        <is>
          <t>QZ 202 S213c 1990</t>
        </is>
      </c>
      <c r="C320" t="inlineStr">
        <is>
          <t>0                      QZ 0202000S  213c        1990</t>
        </is>
      </c>
      <c r="D320" t="inlineStr">
        <is>
          <t>The chromosomes in human cancer and leukemia / Avery A. Sandberg.</t>
        </is>
      </c>
      <c r="F320" t="inlineStr">
        <is>
          <t>No</t>
        </is>
      </c>
      <c r="G320" t="inlineStr">
        <is>
          <t>1</t>
        </is>
      </c>
      <c r="H320" t="inlineStr">
        <is>
          <t>No</t>
        </is>
      </c>
      <c r="I320" t="inlineStr">
        <is>
          <t>No</t>
        </is>
      </c>
      <c r="J320" t="inlineStr">
        <is>
          <t>0</t>
        </is>
      </c>
      <c r="K320" t="inlineStr">
        <is>
          <t>Sandberg, Avery A.</t>
        </is>
      </c>
      <c r="L320" t="inlineStr">
        <is>
          <t>New York : Elsevier, c1990.</t>
        </is>
      </c>
      <c r="M320" t="inlineStr">
        <is>
          <t>1990</t>
        </is>
      </c>
      <c r="N320" t="inlineStr">
        <is>
          <t>2nd ed.</t>
        </is>
      </c>
      <c r="O320" t="inlineStr">
        <is>
          <t>eng</t>
        </is>
      </c>
      <c r="P320" t="inlineStr">
        <is>
          <t>xxu</t>
        </is>
      </c>
      <c r="R320" t="inlineStr">
        <is>
          <t xml:space="preserve">QZ </t>
        </is>
      </c>
      <c r="S320" t="n">
        <v>14</v>
      </c>
      <c r="T320" t="n">
        <v>14</v>
      </c>
      <c r="U320" t="inlineStr">
        <is>
          <t>1998-09-28</t>
        </is>
      </c>
      <c r="V320" t="inlineStr">
        <is>
          <t>1998-09-28</t>
        </is>
      </c>
      <c r="W320" t="inlineStr">
        <is>
          <t>1990-11-02</t>
        </is>
      </c>
      <c r="X320" t="inlineStr">
        <is>
          <t>1990-11-02</t>
        </is>
      </c>
      <c r="Y320" t="n">
        <v>152</v>
      </c>
      <c r="Z320" t="n">
        <v>102</v>
      </c>
      <c r="AA320" t="n">
        <v>190</v>
      </c>
      <c r="AB320" t="n">
        <v>1</v>
      </c>
      <c r="AC320" t="n">
        <v>2</v>
      </c>
      <c r="AD320" t="n">
        <v>1</v>
      </c>
      <c r="AE320" t="n">
        <v>4</v>
      </c>
      <c r="AF320" t="n">
        <v>0</v>
      </c>
      <c r="AG320" t="n">
        <v>1</v>
      </c>
      <c r="AH320" t="n">
        <v>0</v>
      </c>
      <c r="AI320" t="n">
        <v>0</v>
      </c>
      <c r="AJ320" t="n">
        <v>1</v>
      </c>
      <c r="AK320" t="n">
        <v>2</v>
      </c>
      <c r="AL320" t="n">
        <v>0</v>
      </c>
      <c r="AM320" t="n">
        <v>1</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HYPERLINK("https://creighton-primo.hosted.exlibrisgroup.com/primo-explore/search?tab=default_tab&amp;search_scope=EVERYTHING&amp;vid=01CRU&amp;lang=en_US&amp;offset=0&amp;query=any,contains,991000775679702656","Catalog Record")</f>
        <v/>
      </c>
      <c r="AT320">
        <f>HYPERLINK("http://www.worldcat.org/oclc/21409349","WorldCat Record")</f>
        <v/>
      </c>
      <c r="AU320" t="inlineStr">
        <is>
          <t>18439537:eng</t>
        </is>
      </c>
      <c r="AV320" t="inlineStr">
        <is>
          <t>21409349</t>
        </is>
      </c>
      <c r="AW320" t="inlineStr">
        <is>
          <t>991000775679702656</t>
        </is>
      </c>
      <c r="AX320" t="inlineStr">
        <is>
          <t>991000775679702656</t>
        </is>
      </c>
      <c r="AY320" t="inlineStr">
        <is>
          <t>2257078870002656</t>
        </is>
      </c>
      <c r="AZ320" t="inlineStr">
        <is>
          <t>BOOK</t>
        </is>
      </c>
      <c r="BB320" t="inlineStr">
        <is>
          <t>9780444014917</t>
        </is>
      </c>
      <c r="BC320" t="inlineStr">
        <is>
          <t>30001002063081</t>
        </is>
      </c>
      <c r="BD320" t="inlineStr">
        <is>
          <t>893731209</t>
        </is>
      </c>
    </row>
    <row r="321">
      <c r="A321" t="inlineStr">
        <is>
          <t>No</t>
        </is>
      </c>
      <c r="B321" t="inlineStr">
        <is>
          <t>QZ 202 S797 1987</t>
        </is>
      </c>
      <c r="C321" t="inlineStr">
        <is>
          <t>0                      QZ 0202000S  797         1987</t>
        </is>
      </c>
      <c r="D321" t="inlineStr">
        <is>
          <t>Occupational cancer and carcinogenesis / Paul W. Brandt-Rauf, guest editor.</t>
        </is>
      </c>
      <c r="F321" t="inlineStr">
        <is>
          <t>No</t>
        </is>
      </c>
      <c r="G321" t="inlineStr">
        <is>
          <t>1</t>
        </is>
      </c>
      <c r="H321" t="inlineStr">
        <is>
          <t>No</t>
        </is>
      </c>
      <c r="I321" t="inlineStr">
        <is>
          <t>No</t>
        </is>
      </c>
      <c r="J321" t="inlineStr">
        <is>
          <t>0</t>
        </is>
      </c>
      <c r="L321" t="inlineStr">
        <is>
          <t>Philadelphia : Hanley &amp; Belfus, 1987, c1986.</t>
        </is>
      </c>
      <c r="M321" t="inlineStr">
        <is>
          <t>1987</t>
        </is>
      </c>
      <c r="O321" t="inlineStr">
        <is>
          <t>eng</t>
        </is>
      </c>
      <c r="P321" t="inlineStr">
        <is>
          <t>pau</t>
        </is>
      </c>
      <c r="Q321" t="inlineStr">
        <is>
          <t>Occupational medicine (Philadelphia, Pa.), 0885-114X ; v. 2, no. 1</t>
        </is>
      </c>
      <c r="R321" t="inlineStr">
        <is>
          <t xml:space="preserve">QZ </t>
        </is>
      </c>
      <c r="S321" t="n">
        <v>4</v>
      </c>
      <c r="T321" t="n">
        <v>4</v>
      </c>
      <c r="U321" t="inlineStr">
        <is>
          <t>2000-02-12</t>
        </is>
      </c>
      <c r="V321" t="inlineStr">
        <is>
          <t>2000-02-12</t>
        </is>
      </c>
      <c r="W321" t="inlineStr">
        <is>
          <t>1988-02-19</t>
        </is>
      </c>
      <c r="X321" t="inlineStr">
        <is>
          <t>1988-02-19</t>
        </is>
      </c>
      <c r="Y321" t="n">
        <v>58</v>
      </c>
      <c r="Z321" t="n">
        <v>44</v>
      </c>
      <c r="AA321" t="n">
        <v>44</v>
      </c>
      <c r="AB321" t="n">
        <v>1</v>
      </c>
      <c r="AC321" t="n">
        <v>1</v>
      </c>
      <c r="AD321" t="n">
        <v>1</v>
      </c>
      <c r="AE321" t="n">
        <v>1</v>
      </c>
      <c r="AF321" t="n">
        <v>0</v>
      </c>
      <c r="AG321" t="n">
        <v>0</v>
      </c>
      <c r="AH321" t="n">
        <v>1</v>
      </c>
      <c r="AI321" t="n">
        <v>1</v>
      </c>
      <c r="AJ321" t="n">
        <v>0</v>
      </c>
      <c r="AK321" t="n">
        <v>0</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HYPERLINK("https://creighton-primo.hosted.exlibrisgroup.com/primo-explore/search?tab=default_tab&amp;search_scope=EVERYTHING&amp;vid=01CRU&amp;lang=en_US&amp;offset=0&amp;query=any,contains,991000762649702656","Catalog Record")</f>
        <v/>
      </c>
      <c r="AT321">
        <f>HYPERLINK("http://www.worldcat.org/oclc/15234972","WorldCat Record")</f>
        <v/>
      </c>
      <c r="AU321" t="inlineStr">
        <is>
          <t>54921932:eng</t>
        </is>
      </c>
      <c r="AV321" t="inlineStr">
        <is>
          <t>15234972</t>
        </is>
      </c>
      <c r="AW321" t="inlineStr">
        <is>
          <t>991000762649702656</t>
        </is>
      </c>
      <c r="AX321" t="inlineStr">
        <is>
          <t>991000762649702656</t>
        </is>
      </c>
      <c r="AY321" t="inlineStr">
        <is>
          <t>2266669800002656</t>
        </is>
      </c>
      <c r="AZ321" t="inlineStr">
        <is>
          <t>BOOK</t>
        </is>
      </c>
      <c r="BC321" t="inlineStr">
        <is>
          <t>30001000056475</t>
        </is>
      </c>
      <c r="BD321" t="inlineStr">
        <is>
          <t>893545860</t>
        </is>
      </c>
    </row>
    <row r="322">
      <c r="A322" t="inlineStr">
        <is>
          <t>No</t>
        </is>
      </c>
      <c r="B322" t="inlineStr">
        <is>
          <t>QZ 202 S822c 1954</t>
        </is>
      </c>
      <c r="C322" t="inlineStr">
        <is>
          <t>0                      QZ 0202000S  822c        1954</t>
        </is>
      </c>
      <c r="D322" t="inlineStr">
        <is>
          <t>Cancer : race and geography : some etiological, environmental, ethnological, epidemiological, and statistical aspects in Caucasoids, Mongoloids, Negroids, and Mexicans.</t>
        </is>
      </c>
      <c r="F322" t="inlineStr">
        <is>
          <t>No</t>
        </is>
      </c>
      <c r="G322" t="inlineStr">
        <is>
          <t>1</t>
        </is>
      </c>
      <c r="H322" t="inlineStr">
        <is>
          <t>No</t>
        </is>
      </c>
      <c r="I322" t="inlineStr">
        <is>
          <t>No</t>
        </is>
      </c>
      <c r="J322" t="inlineStr">
        <is>
          <t>0</t>
        </is>
      </c>
      <c r="K322" t="inlineStr">
        <is>
          <t>Steiner, Paul E. (Paul Eby), 1902-1978.</t>
        </is>
      </c>
      <c r="L322" t="inlineStr">
        <is>
          <t>Baltimore : Williams &amp; Wilkins Co., 1954.</t>
        </is>
      </c>
      <c r="M322" t="inlineStr">
        <is>
          <t>1954</t>
        </is>
      </c>
      <c r="O322" t="inlineStr">
        <is>
          <t>eng</t>
        </is>
      </c>
      <c r="P322" t="inlineStr">
        <is>
          <t>mdu</t>
        </is>
      </c>
      <c r="R322" t="inlineStr">
        <is>
          <t xml:space="preserve">QZ </t>
        </is>
      </c>
      <c r="S322" t="n">
        <v>1</v>
      </c>
      <c r="T322" t="n">
        <v>1</v>
      </c>
      <c r="U322" t="inlineStr">
        <is>
          <t>1997-10-07</t>
        </is>
      </c>
      <c r="V322" t="inlineStr">
        <is>
          <t>1997-10-07</t>
        </is>
      </c>
      <c r="W322" t="inlineStr">
        <is>
          <t>1988-03-21</t>
        </is>
      </c>
      <c r="X322" t="inlineStr">
        <is>
          <t>1988-03-21</t>
        </is>
      </c>
      <c r="Y322" t="n">
        <v>114</v>
      </c>
      <c r="Z322" t="n">
        <v>94</v>
      </c>
      <c r="AA322" t="n">
        <v>96</v>
      </c>
      <c r="AB322" t="n">
        <v>1</v>
      </c>
      <c r="AC322" t="n">
        <v>1</v>
      </c>
      <c r="AD322" t="n">
        <v>1</v>
      </c>
      <c r="AE322" t="n">
        <v>1</v>
      </c>
      <c r="AF322" t="n">
        <v>0</v>
      </c>
      <c r="AG322" t="n">
        <v>0</v>
      </c>
      <c r="AH322" t="n">
        <v>0</v>
      </c>
      <c r="AI322" t="n">
        <v>0</v>
      </c>
      <c r="AJ322" t="n">
        <v>1</v>
      </c>
      <c r="AK322" t="n">
        <v>1</v>
      </c>
      <c r="AL322" t="n">
        <v>0</v>
      </c>
      <c r="AM322" t="n">
        <v>0</v>
      </c>
      <c r="AN322" t="n">
        <v>0</v>
      </c>
      <c r="AO322" t="n">
        <v>0</v>
      </c>
      <c r="AP322" t="inlineStr">
        <is>
          <t>No</t>
        </is>
      </c>
      <c r="AQ322" t="inlineStr">
        <is>
          <t>Yes</t>
        </is>
      </c>
      <c r="AR322">
        <f>HYPERLINK("http://catalog.hathitrust.org/Record/001562465","HathiTrust Record")</f>
        <v/>
      </c>
      <c r="AS322">
        <f>HYPERLINK("https://creighton-primo.hosted.exlibrisgroup.com/primo-explore/search?tab=default_tab&amp;search_scope=EVERYTHING&amp;vid=01CRU&amp;lang=en_US&amp;offset=0&amp;query=any,contains,991001092759702656","Catalog Record")</f>
        <v/>
      </c>
      <c r="AT322">
        <f>HYPERLINK("http://www.worldcat.org/oclc/2534392","WorldCat Record")</f>
        <v/>
      </c>
      <c r="AU322" t="inlineStr">
        <is>
          <t>5526731:eng</t>
        </is>
      </c>
      <c r="AV322" t="inlineStr">
        <is>
          <t>2534392</t>
        </is>
      </c>
      <c r="AW322" t="inlineStr">
        <is>
          <t>991001092759702656</t>
        </is>
      </c>
      <c r="AX322" t="inlineStr">
        <is>
          <t>991001092759702656</t>
        </is>
      </c>
      <c r="AY322" t="inlineStr">
        <is>
          <t>2267348230002656</t>
        </is>
      </c>
      <c r="AZ322" t="inlineStr">
        <is>
          <t>BOOK</t>
        </is>
      </c>
      <c r="BC322" t="inlineStr">
        <is>
          <t>30001000263857</t>
        </is>
      </c>
      <c r="BD322" t="inlineStr">
        <is>
          <t>893826440</t>
        </is>
      </c>
    </row>
    <row r="323">
      <c r="A323" t="inlineStr">
        <is>
          <t>No</t>
        </is>
      </c>
      <c r="B323" t="inlineStr">
        <is>
          <t>QZ 202 T9247 1990</t>
        </is>
      </c>
      <c r="C323" t="inlineStr">
        <is>
          <t>0                      QZ 0202000T  9247        1990</t>
        </is>
      </c>
      <c r="D323" t="inlineStr">
        <is>
          <t>Tumor suppressor genes / edited by George Klein.</t>
        </is>
      </c>
      <c r="E323" t="inlineStr">
        <is>
          <t>V. 51</t>
        </is>
      </c>
      <c r="F323" t="inlineStr">
        <is>
          <t>No</t>
        </is>
      </c>
      <c r="G323" t="inlineStr">
        <is>
          <t>1</t>
        </is>
      </c>
      <c r="H323" t="inlineStr">
        <is>
          <t>No</t>
        </is>
      </c>
      <c r="I323" t="inlineStr">
        <is>
          <t>No</t>
        </is>
      </c>
      <c r="J323" t="inlineStr">
        <is>
          <t>0</t>
        </is>
      </c>
      <c r="L323" t="inlineStr">
        <is>
          <t>New York : Dekker, c1990.</t>
        </is>
      </c>
      <c r="M323" t="inlineStr">
        <is>
          <t>1990</t>
        </is>
      </c>
      <c r="O323" t="inlineStr">
        <is>
          <t>eng</t>
        </is>
      </c>
      <c r="P323" t="inlineStr">
        <is>
          <t>xxu</t>
        </is>
      </c>
      <c r="Q323" t="inlineStr">
        <is>
          <t>Immunology series ; 51</t>
        </is>
      </c>
      <c r="R323" t="inlineStr">
        <is>
          <t xml:space="preserve">QZ </t>
        </is>
      </c>
      <c r="S323" t="n">
        <v>9</v>
      </c>
      <c r="T323" t="n">
        <v>9</v>
      </c>
      <c r="U323" t="inlineStr">
        <is>
          <t>1991-04-24</t>
        </is>
      </c>
      <c r="V323" t="inlineStr">
        <is>
          <t>1991-04-24</t>
        </is>
      </c>
      <c r="W323" t="inlineStr">
        <is>
          <t>1990-11-02</t>
        </is>
      </c>
      <c r="X323" t="inlineStr">
        <is>
          <t>1990-11-02</t>
        </is>
      </c>
      <c r="Y323" t="n">
        <v>166</v>
      </c>
      <c r="Z323" t="n">
        <v>119</v>
      </c>
      <c r="AA323" t="n">
        <v>121</v>
      </c>
      <c r="AB323" t="n">
        <v>2</v>
      </c>
      <c r="AC323" t="n">
        <v>2</v>
      </c>
      <c r="AD323" t="n">
        <v>4</v>
      </c>
      <c r="AE323" t="n">
        <v>4</v>
      </c>
      <c r="AF323" t="n">
        <v>0</v>
      </c>
      <c r="AG323" t="n">
        <v>0</v>
      </c>
      <c r="AH323" t="n">
        <v>2</v>
      </c>
      <c r="AI323" t="n">
        <v>2</v>
      </c>
      <c r="AJ323" t="n">
        <v>2</v>
      </c>
      <c r="AK323" t="n">
        <v>2</v>
      </c>
      <c r="AL323" t="n">
        <v>1</v>
      </c>
      <c r="AM323" t="n">
        <v>1</v>
      </c>
      <c r="AN323" t="n">
        <v>0</v>
      </c>
      <c r="AO323" t="n">
        <v>0</v>
      </c>
      <c r="AP323" t="inlineStr">
        <is>
          <t>No</t>
        </is>
      </c>
      <c r="AQ323" t="inlineStr">
        <is>
          <t>Yes</t>
        </is>
      </c>
      <c r="AR323">
        <f>HYPERLINK("http://catalog.hathitrust.org/Record/002431035","HathiTrust Record")</f>
        <v/>
      </c>
      <c r="AS323">
        <f>HYPERLINK("https://creighton-primo.hosted.exlibrisgroup.com/primo-explore/search?tab=default_tab&amp;search_scope=EVERYTHING&amp;vid=01CRU&amp;lang=en_US&amp;offset=0&amp;query=any,contains,991000775719702656","Catalog Record")</f>
        <v/>
      </c>
      <c r="AT323">
        <f>HYPERLINK("http://www.worldcat.org/oclc/21597519","WorldCat Record")</f>
        <v/>
      </c>
      <c r="AU323" t="inlineStr">
        <is>
          <t>55336537:eng</t>
        </is>
      </c>
      <c r="AV323" t="inlineStr">
        <is>
          <t>21597519</t>
        </is>
      </c>
      <c r="AW323" t="inlineStr">
        <is>
          <t>991000775719702656</t>
        </is>
      </c>
      <c r="AX323" t="inlineStr">
        <is>
          <t>991000775719702656</t>
        </is>
      </c>
      <c r="AY323" t="inlineStr">
        <is>
          <t>2267663720002656</t>
        </is>
      </c>
      <c r="AZ323" t="inlineStr">
        <is>
          <t>BOOK</t>
        </is>
      </c>
      <c r="BB323" t="inlineStr">
        <is>
          <t>9780824782184</t>
        </is>
      </c>
      <c r="BC323" t="inlineStr">
        <is>
          <t>30001002063099</t>
        </is>
      </c>
      <c r="BD323" t="inlineStr">
        <is>
          <t>893545882</t>
        </is>
      </c>
    </row>
    <row r="324">
      <c r="A324" t="inlineStr">
        <is>
          <t>No</t>
        </is>
      </c>
      <c r="B324" t="inlineStr">
        <is>
          <t>QZ 202 U175g 1986</t>
        </is>
      </c>
      <c r="C324" t="inlineStr">
        <is>
          <t>0                      QZ 0202000U  175g        1986</t>
        </is>
      </c>
      <c r="D324" t="inlineStr">
        <is>
          <t>Growth factors, tumor promoters, and cancer genes : proceedings of a UCLA Symposium held in Steamboat Springs, Colorado, April 6-13, 1986 / editors, Nancy H. Colburn, Harold L. Moses, Eric J. Stanbridge.</t>
        </is>
      </c>
      <c r="F324" t="inlineStr">
        <is>
          <t>No</t>
        </is>
      </c>
      <c r="G324" t="inlineStr">
        <is>
          <t>1</t>
        </is>
      </c>
      <c r="H324" t="inlineStr">
        <is>
          <t>No</t>
        </is>
      </c>
      <c r="I324" t="inlineStr">
        <is>
          <t>No</t>
        </is>
      </c>
      <c r="J324" t="inlineStr">
        <is>
          <t>0</t>
        </is>
      </c>
      <c r="K324" t="inlineStr">
        <is>
          <t>Triton Biosciences-UCLA Symposium (1986 : Steamboat Springs, Colo.)</t>
        </is>
      </c>
      <c r="L324" t="inlineStr">
        <is>
          <t>New York : Liss, c1988.</t>
        </is>
      </c>
      <c r="M324" t="inlineStr">
        <is>
          <t>1988</t>
        </is>
      </c>
      <c r="O324" t="inlineStr">
        <is>
          <t>eng</t>
        </is>
      </c>
      <c r="P324" t="inlineStr">
        <is>
          <t>xxu</t>
        </is>
      </c>
      <c r="Q324" t="inlineStr">
        <is>
          <t>UCLA symposia on molecular and cellular biology ; new ser., v. 58</t>
        </is>
      </c>
      <c r="R324" t="inlineStr">
        <is>
          <t xml:space="preserve">QZ </t>
        </is>
      </c>
      <c r="S324" t="n">
        <v>3</v>
      </c>
      <c r="T324" t="n">
        <v>3</v>
      </c>
      <c r="U324" t="inlineStr">
        <is>
          <t>1991-02-07</t>
        </is>
      </c>
      <c r="V324" t="inlineStr">
        <is>
          <t>1991-02-07</t>
        </is>
      </c>
      <c r="W324" t="inlineStr">
        <is>
          <t>1988-04-16</t>
        </is>
      </c>
      <c r="X324" t="inlineStr">
        <is>
          <t>1988-04-16</t>
        </is>
      </c>
      <c r="Y324" t="n">
        <v>157</v>
      </c>
      <c r="Z324" t="n">
        <v>117</v>
      </c>
      <c r="AA324" t="n">
        <v>119</v>
      </c>
      <c r="AB324" t="n">
        <v>1</v>
      </c>
      <c r="AC324" t="n">
        <v>1</v>
      </c>
      <c r="AD324" t="n">
        <v>2</v>
      </c>
      <c r="AE324" t="n">
        <v>2</v>
      </c>
      <c r="AF324" t="n">
        <v>0</v>
      </c>
      <c r="AG324" t="n">
        <v>0</v>
      </c>
      <c r="AH324" t="n">
        <v>0</v>
      </c>
      <c r="AI324" t="n">
        <v>0</v>
      </c>
      <c r="AJ324" t="n">
        <v>2</v>
      </c>
      <c r="AK324" t="n">
        <v>2</v>
      </c>
      <c r="AL324" t="n">
        <v>0</v>
      </c>
      <c r="AM324" t="n">
        <v>0</v>
      </c>
      <c r="AN324" t="n">
        <v>0</v>
      </c>
      <c r="AO324" t="n">
        <v>0</v>
      </c>
      <c r="AP324" t="inlineStr">
        <is>
          <t>No</t>
        </is>
      </c>
      <c r="AQ324" t="inlineStr">
        <is>
          <t>Yes</t>
        </is>
      </c>
      <c r="AR324">
        <f>HYPERLINK("http://catalog.hathitrust.org/Record/000880269","HathiTrust Record")</f>
        <v/>
      </c>
      <c r="AS324">
        <f>HYPERLINK("https://creighton-primo.hosted.exlibrisgroup.com/primo-explore/search?tab=default_tab&amp;search_scope=EVERYTHING&amp;vid=01CRU&amp;lang=en_US&amp;offset=0&amp;query=any,contains,991001186109702656","Catalog Record")</f>
        <v/>
      </c>
      <c r="AT324">
        <f>HYPERLINK("http://www.worldcat.org/oclc/16353585","WorldCat Record")</f>
        <v/>
      </c>
      <c r="AU324" t="inlineStr">
        <is>
          <t>355995451:eng</t>
        </is>
      </c>
      <c r="AV324" t="inlineStr">
        <is>
          <t>16353585</t>
        </is>
      </c>
      <c r="AW324" t="inlineStr">
        <is>
          <t>991001186109702656</t>
        </is>
      </c>
      <c r="AX324" t="inlineStr">
        <is>
          <t>991001186109702656</t>
        </is>
      </c>
      <c r="AY324" t="inlineStr">
        <is>
          <t>2262004140002656</t>
        </is>
      </c>
      <c r="AZ324" t="inlineStr">
        <is>
          <t>BOOK</t>
        </is>
      </c>
      <c r="BB324" t="inlineStr">
        <is>
          <t>9780845126578</t>
        </is>
      </c>
      <c r="BC324" t="inlineStr">
        <is>
          <t>30001000977977</t>
        </is>
      </c>
      <c r="BD324" t="inlineStr">
        <is>
          <t>893651903</t>
        </is>
      </c>
    </row>
    <row r="325">
      <c r="A325" t="inlineStr">
        <is>
          <t>No</t>
        </is>
      </c>
      <c r="B325" t="inlineStr">
        <is>
          <t>QZ 202 V316c 1993</t>
        </is>
      </c>
      <c r="C325" t="inlineStr">
        <is>
          <t>0                      QZ 0202000V  316c        1993</t>
        </is>
      </c>
      <c r="D325" t="inlineStr">
        <is>
          <t>Genes and the biology of cancer / Harold Varmus, Robert A. Weinberg.</t>
        </is>
      </c>
      <c r="F325" t="inlineStr">
        <is>
          <t>No</t>
        </is>
      </c>
      <c r="G325" t="inlineStr">
        <is>
          <t>1</t>
        </is>
      </c>
      <c r="H325" t="inlineStr">
        <is>
          <t>No</t>
        </is>
      </c>
      <c r="I325" t="inlineStr">
        <is>
          <t>No</t>
        </is>
      </c>
      <c r="J325" t="inlineStr">
        <is>
          <t>0</t>
        </is>
      </c>
      <c r="K325" t="inlineStr">
        <is>
          <t>Varmus, Harold.</t>
        </is>
      </c>
      <c r="L325" t="inlineStr">
        <is>
          <t>New York : Scientific American Library : Distributed by W.H. Freeman and Co., c1993.</t>
        </is>
      </c>
      <c r="M325" t="inlineStr">
        <is>
          <t>1993</t>
        </is>
      </c>
      <c r="O325" t="inlineStr">
        <is>
          <t>eng</t>
        </is>
      </c>
      <c r="P325" t="inlineStr">
        <is>
          <t>nyu</t>
        </is>
      </c>
      <c r="Q325" t="inlineStr">
        <is>
          <t>Scientific American Library series, 1040-3213 ; no. 42</t>
        </is>
      </c>
      <c r="R325" t="inlineStr">
        <is>
          <t xml:space="preserve">QZ </t>
        </is>
      </c>
      <c r="S325" t="n">
        <v>20</v>
      </c>
      <c r="T325" t="n">
        <v>20</v>
      </c>
      <c r="U325" t="inlineStr">
        <is>
          <t>1999-10-12</t>
        </is>
      </c>
      <c r="V325" t="inlineStr">
        <is>
          <t>1999-10-12</t>
        </is>
      </c>
      <c r="W325" t="inlineStr">
        <is>
          <t>1993-01-19</t>
        </is>
      </c>
      <c r="X325" t="inlineStr">
        <is>
          <t>1993-01-19</t>
        </is>
      </c>
      <c r="Y325" t="n">
        <v>741</v>
      </c>
      <c r="Z325" t="n">
        <v>613</v>
      </c>
      <c r="AA325" t="n">
        <v>620</v>
      </c>
      <c r="AB325" t="n">
        <v>7</v>
      </c>
      <c r="AC325" t="n">
        <v>7</v>
      </c>
      <c r="AD325" t="n">
        <v>21</v>
      </c>
      <c r="AE325" t="n">
        <v>21</v>
      </c>
      <c r="AF325" t="n">
        <v>5</v>
      </c>
      <c r="AG325" t="n">
        <v>5</v>
      </c>
      <c r="AH325" t="n">
        <v>4</v>
      </c>
      <c r="AI325" t="n">
        <v>4</v>
      </c>
      <c r="AJ325" t="n">
        <v>10</v>
      </c>
      <c r="AK325" t="n">
        <v>10</v>
      </c>
      <c r="AL325" t="n">
        <v>6</v>
      </c>
      <c r="AM325" t="n">
        <v>6</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HYPERLINK("https://creighton-primo.hosted.exlibrisgroup.com/primo-explore/search?tab=default_tab&amp;search_scope=EVERYTHING&amp;vid=01CRU&amp;lang=en_US&amp;offset=0&amp;query=any,contains,991001434649702656","Catalog Record")</f>
        <v/>
      </c>
      <c r="AT325">
        <f>HYPERLINK("http://www.worldcat.org/oclc/25966126","WorldCat Record")</f>
        <v/>
      </c>
      <c r="AU325" t="inlineStr">
        <is>
          <t>8960616210:eng</t>
        </is>
      </c>
      <c r="AV325" t="inlineStr">
        <is>
          <t>25966126</t>
        </is>
      </c>
      <c r="AW325" t="inlineStr">
        <is>
          <t>991001434649702656</t>
        </is>
      </c>
      <c r="AX325" t="inlineStr">
        <is>
          <t>991001434649702656</t>
        </is>
      </c>
      <c r="AY325" t="inlineStr">
        <is>
          <t>2261583610002656</t>
        </is>
      </c>
      <c r="AZ325" t="inlineStr">
        <is>
          <t>BOOK</t>
        </is>
      </c>
      <c r="BB325" t="inlineStr">
        <is>
          <t>9780716750376</t>
        </is>
      </c>
      <c r="BC325" t="inlineStr">
        <is>
          <t>30001002530618</t>
        </is>
      </c>
      <c r="BD325" t="inlineStr">
        <is>
          <t>893161989</t>
        </is>
      </c>
    </row>
    <row r="326">
      <c r="A326" t="inlineStr">
        <is>
          <t>No</t>
        </is>
      </c>
      <c r="B326" t="inlineStr">
        <is>
          <t>QZ 202 W431p 1985</t>
        </is>
      </c>
      <c r="C326" t="inlineStr">
        <is>
          <t>0                      QZ 0202000W  431p        1985</t>
        </is>
      </c>
      <c r="D326" t="inlineStr">
        <is>
          <t>Principles of metastasis / Leonard Weiss.</t>
        </is>
      </c>
      <c r="F326" t="inlineStr">
        <is>
          <t>No</t>
        </is>
      </c>
      <c r="G326" t="inlineStr">
        <is>
          <t>1</t>
        </is>
      </c>
      <c r="H326" t="inlineStr">
        <is>
          <t>No</t>
        </is>
      </c>
      <c r="I326" t="inlineStr">
        <is>
          <t>No</t>
        </is>
      </c>
      <c r="J326" t="inlineStr">
        <is>
          <t>0</t>
        </is>
      </c>
      <c r="K326" t="inlineStr">
        <is>
          <t>Weiss, Leonard.</t>
        </is>
      </c>
      <c r="L326" t="inlineStr">
        <is>
          <t>Orlando : Academic Press, c1985.</t>
        </is>
      </c>
      <c r="M326" t="inlineStr">
        <is>
          <t>1985</t>
        </is>
      </c>
      <c r="O326" t="inlineStr">
        <is>
          <t>eng</t>
        </is>
      </c>
      <c r="P326" t="inlineStr">
        <is>
          <t>flu</t>
        </is>
      </c>
      <c r="R326" t="inlineStr">
        <is>
          <t xml:space="preserve">QZ </t>
        </is>
      </c>
      <c r="S326" t="n">
        <v>5</v>
      </c>
      <c r="T326" t="n">
        <v>5</v>
      </c>
      <c r="U326" t="inlineStr">
        <is>
          <t>1999-11-03</t>
        </is>
      </c>
      <c r="V326" t="inlineStr">
        <is>
          <t>1999-11-03</t>
        </is>
      </c>
      <c r="W326" t="inlineStr">
        <is>
          <t>1988-02-19</t>
        </is>
      </c>
      <c r="X326" t="inlineStr">
        <is>
          <t>1988-02-19</t>
        </is>
      </c>
      <c r="Y326" t="n">
        <v>169</v>
      </c>
      <c r="Z326" t="n">
        <v>127</v>
      </c>
      <c r="AA326" t="n">
        <v>129</v>
      </c>
      <c r="AB326" t="n">
        <v>2</v>
      </c>
      <c r="AC326" t="n">
        <v>2</v>
      </c>
      <c r="AD326" t="n">
        <v>5</v>
      </c>
      <c r="AE326" t="n">
        <v>5</v>
      </c>
      <c r="AF326" t="n">
        <v>1</v>
      </c>
      <c r="AG326" t="n">
        <v>1</v>
      </c>
      <c r="AH326" t="n">
        <v>2</v>
      </c>
      <c r="AI326" t="n">
        <v>2</v>
      </c>
      <c r="AJ326" t="n">
        <v>3</v>
      </c>
      <c r="AK326" t="n">
        <v>3</v>
      </c>
      <c r="AL326" t="n">
        <v>1</v>
      </c>
      <c r="AM326" t="n">
        <v>1</v>
      </c>
      <c r="AN326" t="n">
        <v>0</v>
      </c>
      <c r="AO326" t="n">
        <v>0</v>
      </c>
      <c r="AP326" t="inlineStr">
        <is>
          <t>No</t>
        </is>
      </c>
      <c r="AQ326" t="inlineStr">
        <is>
          <t>Yes</t>
        </is>
      </c>
      <c r="AR326">
        <f>HYPERLINK("http://catalog.hathitrust.org/Record/000612851","HathiTrust Record")</f>
        <v/>
      </c>
      <c r="AS326">
        <f>HYPERLINK("https://creighton-primo.hosted.exlibrisgroup.com/primo-explore/search?tab=default_tab&amp;search_scope=EVERYTHING&amp;vid=01CRU&amp;lang=en_US&amp;offset=0&amp;query=any,contains,991001093259702656","Catalog Record")</f>
        <v/>
      </c>
      <c r="AT326">
        <f>HYPERLINK("http://www.worldcat.org/oclc/11068890","WorldCat Record")</f>
        <v/>
      </c>
      <c r="AU326" t="inlineStr">
        <is>
          <t>3861086:eng</t>
        </is>
      </c>
      <c r="AV326" t="inlineStr">
        <is>
          <t>11068890</t>
        </is>
      </c>
      <c r="AW326" t="inlineStr">
        <is>
          <t>991001093259702656</t>
        </is>
      </c>
      <c r="AX326" t="inlineStr">
        <is>
          <t>991001093259702656</t>
        </is>
      </c>
      <c r="AY326" t="inlineStr">
        <is>
          <t>2261634750002656</t>
        </is>
      </c>
      <c r="AZ326" t="inlineStr">
        <is>
          <t>BOOK</t>
        </is>
      </c>
      <c r="BB326" t="inlineStr">
        <is>
          <t>9780127428208</t>
        </is>
      </c>
      <c r="BC326" t="inlineStr">
        <is>
          <t>30001000264418</t>
        </is>
      </c>
      <c r="BD326" t="inlineStr">
        <is>
          <t>893465197</t>
        </is>
      </c>
    </row>
    <row r="327">
      <c r="A327" t="inlineStr">
        <is>
          <t>No</t>
        </is>
      </c>
      <c r="B327" t="inlineStr">
        <is>
          <t>QZ 202 W595c 1990</t>
        </is>
      </c>
      <c r="C327" t="inlineStr">
        <is>
          <t>0                      QZ 0202000W  595c        1990</t>
        </is>
      </c>
      <c r="D327" t="inlineStr">
        <is>
          <t>Calcium, cell cycles, and cancer / author, James F. Whitfield.</t>
        </is>
      </c>
      <c r="F327" t="inlineStr">
        <is>
          <t>No</t>
        </is>
      </c>
      <c r="G327" t="inlineStr">
        <is>
          <t>1</t>
        </is>
      </c>
      <c r="H327" t="inlineStr">
        <is>
          <t>No</t>
        </is>
      </c>
      <c r="I327" t="inlineStr">
        <is>
          <t>No</t>
        </is>
      </c>
      <c r="J327" t="inlineStr">
        <is>
          <t>0</t>
        </is>
      </c>
      <c r="K327" t="inlineStr">
        <is>
          <t>Whitfield, James F.</t>
        </is>
      </c>
      <c r="L327" t="inlineStr">
        <is>
          <t>Boca Raton, Fla. : CRC Press, c1990.</t>
        </is>
      </c>
      <c r="M327" t="inlineStr">
        <is>
          <t>1990</t>
        </is>
      </c>
      <c r="O327" t="inlineStr">
        <is>
          <t>eng</t>
        </is>
      </c>
      <c r="P327" t="inlineStr">
        <is>
          <t>flu</t>
        </is>
      </c>
      <c r="R327" t="inlineStr">
        <is>
          <t xml:space="preserve">QZ </t>
        </is>
      </c>
      <c r="S327" t="n">
        <v>3</v>
      </c>
      <c r="T327" t="n">
        <v>3</v>
      </c>
      <c r="U327" t="inlineStr">
        <is>
          <t>1994-03-08</t>
        </is>
      </c>
      <c r="V327" t="inlineStr">
        <is>
          <t>1994-03-08</t>
        </is>
      </c>
      <c r="W327" t="inlineStr">
        <is>
          <t>1990-11-08</t>
        </is>
      </c>
      <c r="X327" t="inlineStr">
        <is>
          <t>1990-11-08</t>
        </is>
      </c>
      <c r="Y327" t="n">
        <v>121</v>
      </c>
      <c r="Z327" t="n">
        <v>90</v>
      </c>
      <c r="AA327" t="n">
        <v>136</v>
      </c>
      <c r="AB327" t="n">
        <v>1</v>
      </c>
      <c r="AC327" t="n">
        <v>1</v>
      </c>
      <c r="AD327" t="n">
        <v>2</v>
      </c>
      <c r="AE327" t="n">
        <v>2</v>
      </c>
      <c r="AF327" t="n">
        <v>0</v>
      </c>
      <c r="AG327" t="n">
        <v>0</v>
      </c>
      <c r="AH327" t="n">
        <v>1</v>
      </c>
      <c r="AI327" t="n">
        <v>1</v>
      </c>
      <c r="AJ327" t="n">
        <v>1</v>
      </c>
      <c r="AK327" t="n">
        <v>1</v>
      </c>
      <c r="AL327" t="n">
        <v>0</v>
      </c>
      <c r="AM327" t="n">
        <v>0</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HYPERLINK("https://creighton-primo.hosted.exlibrisgroup.com/primo-explore/search?tab=default_tab&amp;search_scope=EVERYTHING&amp;vid=01CRU&amp;lang=en_US&amp;offset=0&amp;query=any,contains,991000778829702656","Catalog Record")</f>
        <v/>
      </c>
      <c r="AT327">
        <f>HYPERLINK("http://www.worldcat.org/oclc/21116590","WorldCat Record")</f>
        <v/>
      </c>
      <c r="AU327" t="inlineStr">
        <is>
          <t>22289428:eng</t>
        </is>
      </c>
      <c r="AV327" t="inlineStr">
        <is>
          <t>21116590</t>
        </is>
      </c>
      <c r="AW327" t="inlineStr">
        <is>
          <t>991000778829702656</t>
        </is>
      </c>
      <c r="AX327" t="inlineStr">
        <is>
          <t>991000778829702656</t>
        </is>
      </c>
      <c r="AY327" t="inlineStr">
        <is>
          <t>2261904210002656</t>
        </is>
      </c>
      <c r="AZ327" t="inlineStr">
        <is>
          <t>BOOK</t>
        </is>
      </c>
      <c r="BB327" t="inlineStr">
        <is>
          <t>9780849362330</t>
        </is>
      </c>
      <c r="BC327" t="inlineStr">
        <is>
          <t>30001002063750</t>
        </is>
      </c>
      <c r="BD327" t="inlineStr">
        <is>
          <t>893731213</t>
        </is>
      </c>
    </row>
    <row r="328">
      <c r="A328" t="inlineStr">
        <is>
          <t>No</t>
        </is>
      </c>
      <c r="B328" t="inlineStr">
        <is>
          <t>QZ 202 Z96i 2006</t>
        </is>
      </c>
      <c r="C328" t="inlineStr">
        <is>
          <t>0                      QZ 0202000Z  96i         2006</t>
        </is>
      </c>
      <c r="D328" t="inlineStr">
        <is>
          <t>Infections causing human cancer / Harald zur Hausen ; with a contribution of James G. Fox, Timothy C. Wang and Julie Parsonnet.</t>
        </is>
      </c>
      <c r="F328" t="inlineStr">
        <is>
          <t>No</t>
        </is>
      </c>
      <c r="G328" t="inlineStr">
        <is>
          <t>1</t>
        </is>
      </c>
      <c r="H328" t="inlineStr">
        <is>
          <t>No</t>
        </is>
      </c>
      <c r="I328" t="inlineStr">
        <is>
          <t>No</t>
        </is>
      </c>
      <c r="J328" t="inlineStr">
        <is>
          <t>0</t>
        </is>
      </c>
      <c r="K328" t="inlineStr">
        <is>
          <t>Zur Hausen, Harald.</t>
        </is>
      </c>
      <c r="L328" t="inlineStr">
        <is>
          <t>Weinheim : Wiley-VCH ; Chichester : John Wiley [distributor], c2006.</t>
        </is>
      </c>
      <c r="M328" t="inlineStr">
        <is>
          <t>2006</t>
        </is>
      </c>
      <c r="O328" t="inlineStr">
        <is>
          <t>eng</t>
        </is>
      </c>
      <c r="P328" t="inlineStr">
        <is>
          <t xml:space="preserve">gw </t>
        </is>
      </c>
      <c r="R328" t="inlineStr">
        <is>
          <t xml:space="preserve">QZ </t>
        </is>
      </c>
      <c r="S328" t="n">
        <v>0</v>
      </c>
      <c r="T328" t="n">
        <v>0</v>
      </c>
      <c r="U328" t="inlineStr">
        <is>
          <t>2009-03-24</t>
        </is>
      </c>
      <c r="V328" t="inlineStr">
        <is>
          <t>2009-03-24</t>
        </is>
      </c>
      <c r="W328" t="inlineStr">
        <is>
          <t>2009-03-23</t>
        </is>
      </c>
      <c r="X328" t="inlineStr">
        <is>
          <t>2009-03-23</t>
        </is>
      </c>
      <c r="Y328" t="n">
        <v>137</v>
      </c>
      <c r="Z328" t="n">
        <v>76</v>
      </c>
      <c r="AA328" t="n">
        <v>178</v>
      </c>
      <c r="AB328" t="n">
        <v>2</v>
      </c>
      <c r="AC328" t="n">
        <v>2</v>
      </c>
      <c r="AD328" t="n">
        <v>3</v>
      </c>
      <c r="AE328" t="n">
        <v>5</v>
      </c>
      <c r="AF328" t="n">
        <v>1</v>
      </c>
      <c r="AG328" t="n">
        <v>2</v>
      </c>
      <c r="AH328" t="n">
        <v>0</v>
      </c>
      <c r="AI328" t="n">
        <v>0</v>
      </c>
      <c r="AJ328" t="n">
        <v>1</v>
      </c>
      <c r="AK328" t="n">
        <v>2</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HYPERLINK("https://creighton-primo.hosted.exlibrisgroup.com/primo-explore/search?tab=default_tab&amp;search_scope=EVERYTHING&amp;vid=01CRU&amp;lang=en_US&amp;offset=0&amp;query=any,contains,991001374649702656","Catalog Record")</f>
        <v/>
      </c>
      <c r="AT328">
        <f>HYPERLINK("http://www.worldcat.org/oclc/71540214","WorldCat Record")</f>
        <v/>
      </c>
      <c r="AU328" t="inlineStr">
        <is>
          <t>58446969:eng</t>
        </is>
      </c>
      <c r="AV328" t="inlineStr">
        <is>
          <t>71540214</t>
        </is>
      </c>
      <c r="AW328" t="inlineStr">
        <is>
          <t>991001374649702656</t>
        </is>
      </c>
      <c r="AX328" t="inlineStr">
        <is>
          <t>991001374649702656</t>
        </is>
      </c>
      <c r="AY328" t="inlineStr">
        <is>
          <t>2268357130002656</t>
        </is>
      </c>
      <c r="AZ328" t="inlineStr">
        <is>
          <t>BOOK</t>
        </is>
      </c>
      <c r="BB328" t="inlineStr">
        <is>
          <t>9783527310562</t>
        </is>
      </c>
      <c r="BC328" t="inlineStr">
        <is>
          <t>30001005391497</t>
        </is>
      </c>
      <c r="BD328" t="inlineStr">
        <is>
          <t>893821154</t>
        </is>
      </c>
    </row>
    <row r="329">
      <c r="A329" t="inlineStr">
        <is>
          <t>No</t>
        </is>
      </c>
      <c r="B329" t="inlineStr">
        <is>
          <t>QZ 206 I35 1985-86 v.1-3</t>
        </is>
      </c>
      <c r="C329" t="inlineStr">
        <is>
          <t>0                      QZ 0206000I  35          1985                                        -86 v.1-3</t>
        </is>
      </c>
      <c r="D329" t="inlineStr">
        <is>
          <t>In vitro models for cancer research / editor, Mukta M. Webber, associate editor, Lea I. Sekely.</t>
        </is>
      </c>
      <c r="E329" t="inlineStr">
        <is>
          <t>V. 1</t>
        </is>
      </c>
      <c r="F329" t="inlineStr">
        <is>
          <t>Yes</t>
        </is>
      </c>
      <c r="G329" t="inlineStr">
        <is>
          <t>1</t>
        </is>
      </c>
      <c r="H329" t="inlineStr">
        <is>
          <t>No</t>
        </is>
      </c>
      <c r="I329" t="inlineStr">
        <is>
          <t>No</t>
        </is>
      </c>
      <c r="J329" t="inlineStr">
        <is>
          <t>0</t>
        </is>
      </c>
      <c r="L329" t="inlineStr">
        <is>
          <t>Boca Raton, Fla. : CRC Press, c1985-c1986.</t>
        </is>
      </c>
      <c r="M329" t="inlineStr">
        <is>
          <t>1985</t>
        </is>
      </c>
      <c r="O329" t="inlineStr">
        <is>
          <t>eng</t>
        </is>
      </c>
      <c r="P329" t="inlineStr">
        <is>
          <t>flu</t>
        </is>
      </c>
      <c r="Q329" t="inlineStr">
        <is>
          <t>CRC series on in vitro models for cancer research</t>
        </is>
      </c>
      <c r="R329" t="inlineStr">
        <is>
          <t xml:space="preserve">QZ </t>
        </is>
      </c>
      <c r="S329" t="n">
        <v>1</v>
      </c>
      <c r="T329" t="n">
        <v>5</v>
      </c>
      <c r="V329" t="inlineStr">
        <is>
          <t>1993-10-12</t>
        </is>
      </c>
      <c r="W329" t="inlineStr">
        <is>
          <t>1988-02-19</t>
        </is>
      </c>
      <c r="X329" t="inlineStr">
        <is>
          <t>1988-02-19</t>
        </is>
      </c>
      <c r="Y329" t="n">
        <v>100</v>
      </c>
      <c r="Z329" t="n">
        <v>83</v>
      </c>
      <c r="AA329" t="n">
        <v>85</v>
      </c>
      <c r="AB329" t="n">
        <v>2</v>
      </c>
      <c r="AC329" t="n">
        <v>2</v>
      </c>
      <c r="AD329" t="n">
        <v>1</v>
      </c>
      <c r="AE329" t="n">
        <v>1</v>
      </c>
      <c r="AF329" t="n">
        <v>0</v>
      </c>
      <c r="AG329" t="n">
        <v>0</v>
      </c>
      <c r="AH329" t="n">
        <v>0</v>
      </c>
      <c r="AI329" t="n">
        <v>0</v>
      </c>
      <c r="AJ329" t="n">
        <v>0</v>
      </c>
      <c r="AK329" t="n">
        <v>0</v>
      </c>
      <c r="AL329" t="n">
        <v>1</v>
      </c>
      <c r="AM329" t="n">
        <v>1</v>
      </c>
      <c r="AN329" t="n">
        <v>0</v>
      </c>
      <c r="AO329" t="n">
        <v>0</v>
      </c>
      <c r="AP329" t="inlineStr">
        <is>
          <t>No</t>
        </is>
      </c>
      <c r="AQ329" t="inlineStr">
        <is>
          <t>Yes</t>
        </is>
      </c>
      <c r="AR329">
        <f>HYPERLINK("http://catalog.hathitrust.org/Record/000666383","HathiTrust Record")</f>
        <v/>
      </c>
      <c r="AS329">
        <f>HYPERLINK("https://creighton-primo.hosted.exlibrisgroup.com/primo-explore/search?tab=default_tab&amp;search_scope=EVERYTHING&amp;vid=01CRU&amp;lang=en_US&amp;offset=0&amp;query=any,contains,991001092869702656","Catalog Record")</f>
        <v/>
      </c>
      <c r="AT329">
        <f>HYPERLINK("http://www.worldcat.org/oclc/10403815","WorldCat Record")</f>
        <v/>
      </c>
      <c r="AU329" t="inlineStr">
        <is>
          <t>2869331984:eng</t>
        </is>
      </c>
      <c r="AV329" t="inlineStr">
        <is>
          <t>10403815</t>
        </is>
      </c>
      <c r="AW329" t="inlineStr">
        <is>
          <t>991001092869702656</t>
        </is>
      </c>
      <c r="AX329" t="inlineStr">
        <is>
          <t>991001092869702656</t>
        </is>
      </c>
      <c r="AY329" t="inlineStr">
        <is>
          <t>2267462480002656</t>
        </is>
      </c>
      <c r="AZ329" t="inlineStr">
        <is>
          <t>BOOK</t>
        </is>
      </c>
      <c r="BB329" t="inlineStr">
        <is>
          <t>9780849355813</t>
        </is>
      </c>
      <c r="BC329" t="inlineStr">
        <is>
          <t>30001000969792</t>
        </is>
      </c>
      <c r="BD329" t="inlineStr">
        <is>
          <t>893736203</t>
        </is>
      </c>
    </row>
    <row r="330">
      <c r="A330" t="inlineStr">
        <is>
          <t>No</t>
        </is>
      </c>
      <c r="B330" t="inlineStr">
        <is>
          <t>QZ 206 I35 1985-86 v.1-3</t>
        </is>
      </c>
      <c r="C330" t="inlineStr">
        <is>
          <t>0                      QZ 0206000I  35          1985                                        -86 v.1-3</t>
        </is>
      </c>
      <c r="D330" t="inlineStr">
        <is>
          <t>In vitro models for cancer research / editor, Mukta M. Webber, associate editor, Lea I. Sekely.</t>
        </is>
      </c>
      <c r="E330" t="inlineStr">
        <is>
          <t>V. 2</t>
        </is>
      </c>
      <c r="F330" t="inlineStr">
        <is>
          <t>Yes</t>
        </is>
      </c>
      <c r="G330" t="inlineStr">
        <is>
          <t>1</t>
        </is>
      </c>
      <c r="H330" t="inlineStr">
        <is>
          <t>No</t>
        </is>
      </c>
      <c r="I330" t="inlineStr">
        <is>
          <t>No</t>
        </is>
      </c>
      <c r="J330" t="inlineStr">
        <is>
          <t>0</t>
        </is>
      </c>
      <c r="L330" t="inlineStr">
        <is>
          <t>Boca Raton, Fla. : CRC Press, c1985-c1986.</t>
        </is>
      </c>
      <c r="M330" t="inlineStr">
        <is>
          <t>1985</t>
        </is>
      </c>
      <c r="O330" t="inlineStr">
        <is>
          <t>eng</t>
        </is>
      </c>
      <c r="P330" t="inlineStr">
        <is>
          <t>flu</t>
        </is>
      </c>
      <c r="Q330" t="inlineStr">
        <is>
          <t>CRC series on in vitro models for cancer research</t>
        </is>
      </c>
      <c r="R330" t="inlineStr">
        <is>
          <t xml:space="preserve">QZ </t>
        </is>
      </c>
      <c r="S330" t="n">
        <v>1</v>
      </c>
      <c r="T330" t="n">
        <v>5</v>
      </c>
      <c r="V330" t="inlineStr">
        <is>
          <t>1993-10-12</t>
        </is>
      </c>
      <c r="W330" t="inlineStr">
        <is>
          <t>1987-09-26</t>
        </is>
      </c>
      <c r="X330" t="inlineStr">
        <is>
          <t>1988-02-19</t>
        </is>
      </c>
      <c r="Y330" t="n">
        <v>100</v>
      </c>
      <c r="Z330" t="n">
        <v>83</v>
      </c>
      <c r="AA330" t="n">
        <v>85</v>
      </c>
      <c r="AB330" t="n">
        <v>2</v>
      </c>
      <c r="AC330" t="n">
        <v>2</v>
      </c>
      <c r="AD330" t="n">
        <v>1</v>
      </c>
      <c r="AE330" t="n">
        <v>1</v>
      </c>
      <c r="AF330" t="n">
        <v>0</v>
      </c>
      <c r="AG330" t="n">
        <v>0</v>
      </c>
      <c r="AH330" t="n">
        <v>0</v>
      </c>
      <c r="AI330" t="n">
        <v>0</v>
      </c>
      <c r="AJ330" t="n">
        <v>0</v>
      </c>
      <c r="AK330" t="n">
        <v>0</v>
      </c>
      <c r="AL330" t="n">
        <v>1</v>
      </c>
      <c r="AM330" t="n">
        <v>1</v>
      </c>
      <c r="AN330" t="n">
        <v>0</v>
      </c>
      <c r="AO330" t="n">
        <v>0</v>
      </c>
      <c r="AP330" t="inlineStr">
        <is>
          <t>No</t>
        </is>
      </c>
      <c r="AQ330" t="inlineStr">
        <is>
          <t>Yes</t>
        </is>
      </c>
      <c r="AR330">
        <f>HYPERLINK("http://catalog.hathitrust.org/Record/000666383","HathiTrust Record")</f>
        <v/>
      </c>
      <c r="AS330">
        <f>HYPERLINK("https://creighton-primo.hosted.exlibrisgroup.com/primo-explore/search?tab=default_tab&amp;search_scope=EVERYTHING&amp;vid=01CRU&amp;lang=en_US&amp;offset=0&amp;query=any,contains,991001092869702656","Catalog Record")</f>
        <v/>
      </c>
      <c r="AT330">
        <f>HYPERLINK("http://www.worldcat.org/oclc/10403815","WorldCat Record")</f>
        <v/>
      </c>
      <c r="AU330" t="inlineStr">
        <is>
          <t>2869331984:eng</t>
        </is>
      </c>
      <c r="AV330" t="inlineStr">
        <is>
          <t>10403815</t>
        </is>
      </c>
      <c r="AW330" t="inlineStr">
        <is>
          <t>991001092869702656</t>
        </is>
      </c>
      <c r="AX330" t="inlineStr">
        <is>
          <t>991001092869702656</t>
        </is>
      </c>
      <c r="AY330" t="inlineStr">
        <is>
          <t>2267462480002656</t>
        </is>
      </c>
      <c r="AZ330" t="inlineStr">
        <is>
          <t>BOOK</t>
        </is>
      </c>
      <c r="BB330" t="inlineStr">
        <is>
          <t>9780849355813</t>
        </is>
      </c>
      <c r="BC330" t="inlineStr">
        <is>
          <t>30001000264137</t>
        </is>
      </c>
      <c r="BD330" t="inlineStr">
        <is>
          <t>893731644</t>
        </is>
      </c>
    </row>
    <row r="331">
      <c r="A331" t="inlineStr">
        <is>
          <t>No</t>
        </is>
      </c>
      <c r="B331" t="inlineStr">
        <is>
          <t>QZ 206 I35 1985-86 v.1-3</t>
        </is>
      </c>
      <c r="C331" t="inlineStr">
        <is>
          <t>0                      QZ 0206000I  35          1985                                        -86 v.1-3</t>
        </is>
      </c>
      <c r="D331" t="inlineStr">
        <is>
          <t>In vitro models for cancer research / editor, Mukta M. Webber, associate editor, Lea I. Sekely.</t>
        </is>
      </c>
      <c r="E331" t="inlineStr">
        <is>
          <t>V. 3</t>
        </is>
      </c>
      <c r="F331" t="inlineStr">
        <is>
          <t>Yes</t>
        </is>
      </c>
      <c r="G331" t="inlineStr">
        <is>
          <t>1</t>
        </is>
      </c>
      <c r="H331" t="inlineStr">
        <is>
          <t>No</t>
        </is>
      </c>
      <c r="I331" t="inlineStr">
        <is>
          <t>No</t>
        </is>
      </c>
      <c r="J331" t="inlineStr">
        <is>
          <t>0</t>
        </is>
      </c>
      <c r="L331" t="inlineStr">
        <is>
          <t>Boca Raton, Fla. : CRC Press, c1985-c1986.</t>
        </is>
      </c>
      <c r="M331" t="inlineStr">
        <is>
          <t>1985</t>
        </is>
      </c>
      <c r="O331" t="inlineStr">
        <is>
          <t>eng</t>
        </is>
      </c>
      <c r="P331" t="inlineStr">
        <is>
          <t>flu</t>
        </is>
      </c>
      <c r="Q331" t="inlineStr">
        <is>
          <t>CRC series on in vitro models for cancer research</t>
        </is>
      </c>
      <c r="R331" t="inlineStr">
        <is>
          <t xml:space="preserve">QZ </t>
        </is>
      </c>
      <c r="S331" t="n">
        <v>3</v>
      </c>
      <c r="T331" t="n">
        <v>5</v>
      </c>
      <c r="U331" t="inlineStr">
        <is>
          <t>1993-10-12</t>
        </is>
      </c>
      <c r="V331" t="inlineStr">
        <is>
          <t>1993-10-12</t>
        </is>
      </c>
      <c r="W331" t="inlineStr">
        <is>
          <t>1987-09-26</t>
        </is>
      </c>
      <c r="X331" t="inlineStr">
        <is>
          <t>1988-02-19</t>
        </is>
      </c>
      <c r="Y331" t="n">
        <v>100</v>
      </c>
      <c r="Z331" t="n">
        <v>83</v>
      </c>
      <c r="AA331" t="n">
        <v>85</v>
      </c>
      <c r="AB331" t="n">
        <v>2</v>
      </c>
      <c r="AC331" t="n">
        <v>2</v>
      </c>
      <c r="AD331" t="n">
        <v>1</v>
      </c>
      <c r="AE331" t="n">
        <v>1</v>
      </c>
      <c r="AF331" t="n">
        <v>0</v>
      </c>
      <c r="AG331" t="n">
        <v>0</v>
      </c>
      <c r="AH331" t="n">
        <v>0</v>
      </c>
      <c r="AI331" t="n">
        <v>0</v>
      </c>
      <c r="AJ331" t="n">
        <v>0</v>
      </c>
      <c r="AK331" t="n">
        <v>0</v>
      </c>
      <c r="AL331" t="n">
        <v>1</v>
      </c>
      <c r="AM331" t="n">
        <v>1</v>
      </c>
      <c r="AN331" t="n">
        <v>0</v>
      </c>
      <c r="AO331" t="n">
        <v>0</v>
      </c>
      <c r="AP331" t="inlineStr">
        <is>
          <t>No</t>
        </is>
      </c>
      <c r="AQ331" t="inlineStr">
        <is>
          <t>Yes</t>
        </is>
      </c>
      <c r="AR331">
        <f>HYPERLINK("http://catalog.hathitrust.org/Record/000666383","HathiTrust Record")</f>
        <v/>
      </c>
      <c r="AS331">
        <f>HYPERLINK("https://creighton-primo.hosted.exlibrisgroup.com/primo-explore/search?tab=default_tab&amp;search_scope=EVERYTHING&amp;vid=01CRU&amp;lang=en_US&amp;offset=0&amp;query=any,contains,991001092869702656","Catalog Record")</f>
        <v/>
      </c>
      <c r="AT331">
        <f>HYPERLINK("http://www.worldcat.org/oclc/10403815","WorldCat Record")</f>
        <v/>
      </c>
      <c r="AU331" t="inlineStr">
        <is>
          <t>2869331984:eng</t>
        </is>
      </c>
      <c r="AV331" t="inlineStr">
        <is>
          <t>10403815</t>
        </is>
      </c>
      <c r="AW331" t="inlineStr">
        <is>
          <t>991001092869702656</t>
        </is>
      </c>
      <c r="AX331" t="inlineStr">
        <is>
          <t>991001092869702656</t>
        </is>
      </c>
      <c r="AY331" t="inlineStr">
        <is>
          <t>2267462480002656</t>
        </is>
      </c>
      <c r="AZ331" t="inlineStr">
        <is>
          <t>BOOK</t>
        </is>
      </c>
      <c r="BB331" t="inlineStr">
        <is>
          <t>9780849355813</t>
        </is>
      </c>
      <c r="BC331" t="inlineStr">
        <is>
          <t>30001000264129</t>
        </is>
      </c>
      <c r="BD331" t="inlineStr">
        <is>
          <t>893727230</t>
        </is>
      </c>
    </row>
    <row r="332">
      <c r="A332" t="inlineStr">
        <is>
          <t>No</t>
        </is>
      </c>
      <c r="B332" t="inlineStr">
        <is>
          <t>QZ 206 I35 1986 v.4</t>
        </is>
      </c>
      <c r="C332" t="inlineStr">
        <is>
          <t>0                      QZ 0206000I  35          1986                                        v.4</t>
        </is>
      </c>
      <c r="D332" t="inlineStr">
        <is>
          <t>In vitro models for cancer research, c1986.</t>
        </is>
      </c>
      <c r="E332" t="inlineStr">
        <is>
          <t>V. 4</t>
        </is>
      </c>
      <c r="F332" t="inlineStr">
        <is>
          <t>Yes</t>
        </is>
      </c>
      <c r="G332" t="inlineStr">
        <is>
          <t>1</t>
        </is>
      </c>
      <c r="H332" t="inlineStr">
        <is>
          <t>No</t>
        </is>
      </c>
      <c r="I332" t="inlineStr">
        <is>
          <t>No</t>
        </is>
      </c>
      <c r="J332" t="inlineStr">
        <is>
          <t>0</t>
        </is>
      </c>
      <c r="L332" t="inlineStr">
        <is>
          <t>Boca Raton, Fla. : CRC Press, c1986.</t>
        </is>
      </c>
      <c r="M332" t="inlineStr">
        <is>
          <t>1986</t>
        </is>
      </c>
      <c r="O332" t="inlineStr">
        <is>
          <t>eng</t>
        </is>
      </c>
      <c r="P332" t="inlineStr">
        <is>
          <t>xxu</t>
        </is>
      </c>
      <c r="R332" t="inlineStr">
        <is>
          <t xml:space="preserve">QZ </t>
        </is>
      </c>
      <c r="S332" t="n">
        <v>2</v>
      </c>
      <c r="T332" t="n">
        <v>2</v>
      </c>
      <c r="U332" t="inlineStr">
        <is>
          <t>1990-05-31</t>
        </is>
      </c>
      <c r="V332" t="inlineStr">
        <is>
          <t>1990-05-31</t>
        </is>
      </c>
      <c r="W332" t="inlineStr">
        <is>
          <t>1988-02-19</t>
        </is>
      </c>
      <c r="X332" t="inlineStr">
        <is>
          <t>1988-02-19</t>
        </is>
      </c>
      <c r="Y332" t="n">
        <v>100</v>
      </c>
      <c r="Z332" t="n">
        <v>83</v>
      </c>
      <c r="AA332" t="n">
        <v>85</v>
      </c>
      <c r="AB332" t="n">
        <v>2</v>
      </c>
      <c r="AC332" t="n">
        <v>2</v>
      </c>
      <c r="AD332" t="n">
        <v>1</v>
      </c>
      <c r="AE332" t="n">
        <v>1</v>
      </c>
      <c r="AF332" t="n">
        <v>0</v>
      </c>
      <c r="AG332" t="n">
        <v>0</v>
      </c>
      <c r="AH332" t="n">
        <v>0</v>
      </c>
      <c r="AI332" t="n">
        <v>0</v>
      </c>
      <c r="AJ332" t="n">
        <v>0</v>
      </c>
      <c r="AK332" t="n">
        <v>0</v>
      </c>
      <c r="AL332" t="n">
        <v>1</v>
      </c>
      <c r="AM332" t="n">
        <v>1</v>
      </c>
      <c r="AN332" t="n">
        <v>0</v>
      </c>
      <c r="AO332" t="n">
        <v>0</v>
      </c>
      <c r="AP332" t="inlineStr">
        <is>
          <t>No</t>
        </is>
      </c>
      <c r="AQ332" t="inlineStr">
        <is>
          <t>Yes</t>
        </is>
      </c>
      <c r="AR332">
        <f>HYPERLINK("http://catalog.hathitrust.org/Record/000666383","HathiTrust Record")</f>
        <v/>
      </c>
      <c r="AS332">
        <f>HYPERLINK("https://creighton-primo.hosted.exlibrisgroup.com/primo-explore/search?tab=default_tab&amp;search_scope=EVERYTHING&amp;vid=01CRU&amp;lang=en_US&amp;offset=0&amp;query=any,contains,991001236859702656","Catalog Record")</f>
        <v/>
      </c>
      <c r="AT332">
        <f>HYPERLINK("http://www.worldcat.org/oclc/10403815","WorldCat Record")</f>
        <v/>
      </c>
      <c r="AU332" t="inlineStr">
        <is>
          <t>2869331984:eng</t>
        </is>
      </c>
      <c r="AV332" t="inlineStr">
        <is>
          <t>10403815</t>
        </is>
      </c>
      <c r="AW332" t="inlineStr">
        <is>
          <t>991001236859702656</t>
        </is>
      </c>
      <c r="AX332" t="inlineStr">
        <is>
          <t>991001236859702656</t>
        </is>
      </c>
      <c r="AY332" t="inlineStr">
        <is>
          <t>2258112260002656</t>
        </is>
      </c>
      <c r="AZ332" t="inlineStr">
        <is>
          <t>BOOK</t>
        </is>
      </c>
      <c r="BB332" t="inlineStr">
        <is>
          <t>9780849355844</t>
        </is>
      </c>
      <c r="BC332" t="inlineStr">
        <is>
          <t>30001000338329</t>
        </is>
      </c>
      <c r="BD332" t="inlineStr">
        <is>
          <t>893450969</t>
        </is>
      </c>
    </row>
    <row r="333">
      <c r="A333" t="inlineStr">
        <is>
          <t>No</t>
        </is>
      </c>
      <c r="B333" t="inlineStr">
        <is>
          <t>QZ 206 IM615 1989</t>
        </is>
      </c>
      <c r="C333" t="inlineStr">
        <is>
          <t>0                      QZ 0206000IM 615         1989</t>
        </is>
      </c>
      <c r="D333" t="inlineStr">
        <is>
          <t>Important advances in oncology 1989 / edited by Vincent T. DeVita, Jr., Samuel Hellman, Steven A. Rosenberg.</t>
        </is>
      </c>
      <c r="F333" t="inlineStr">
        <is>
          <t>No</t>
        </is>
      </c>
      <c r="G333" t="inlineStr">
        <is>
          <t>1</t>
        </is>
      </c>
      <c r="H333" t="inlineStr">
        <is>
          <t>No</t>
        </is>
      </c>
      <c r="I333" t="inlineStr">
        <is>
          <t>No</t>
        </is>
      </c>
      <c r="J333" t="inlineStr">
        <is>
          <t>0</t>
        </is>
      </c>
      <c r="L333" t="inlineStr">
        <is>
          <t>Philadelphia : Lippincott, c1989</t>
        </is>
      </c>
      <c r="M333" t="inlineStr">
        <is>
          <t>1989</t>
        </is>
      </c>
      <c r="O333" t="inlineStr">
        <is>
          <t>eng</t>
        </is>
      </c>
      <c r="P333" t="inlineStr">
        <is>
          <t>pau</t>
        </is>
      </c>
      <c r="R333" t="inlineStr">
        <is>
          <t xml:space="preserve">QZ </t>
        </is>
      </c>
      <c r="S333" t="n">
        <v>13</v>
      </c>
      <c r="T333" t="n">
        <v>13</v>
      </c>
      <c r="U333" t="inlineStr">
        <is>
          <t>1993-03-16</t>
        </is>
      </c>
      <c r="V333" t="inlineStr">
        <is>
          <t>1993-03-16</t>
        </is>
      </c>
      <c r="W333" t="inlineStr">
        <is>
          <t>1989-12-07</t>
        </is>
      </c>
      <c r="X333" t="inlineStr">
        <is>
          <t>1989-12-07</t>
        </is>
      </c>
      <c r="Y333" t="n">
        <v>23</v>
      </c>
      <c r="Z333" t="n">
        <v>16</v>
      </c>
      <c r="AA333" t="n">
        <v>58</v>
      </c>
      <c r="AB333" t="n">
        <v>1</v>
      </c>
      <c r="AC333" t="n">
        <v>1</v>
      </c>
      <c r="AD333" t="n">
        <v>0</v>
      </c>
      <c r="AE333" t="n">
        <v>1</v>
      </c>
      <c r="AF333" t="n">
        <v>0</v>
      </c>
      <c r="AG333" t="n">
        <v>0</v>
      </c>
      <c r="AH333" t="n">
        <v>0</v>
      </c>
      <c r="AI333" t="n">
        <v>0</v>
      </c>
      <c r="AJ333" t="n">
        <v>0</v>
      </c>
      <c r="AK333" t="n">
        <v>1</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HYPERLINK("https://creighton-primo.hosted.exlibrisgroup.com/primo-explore/search?tab=default_tab&amp;search_scope=EVERYTHING&amp;vid=01CRU&amp;lang=en_US&amp;offset=0&amp;query=any,contains,991001378749702656","Catalog Record")</f>
        <v/>
      </c>
      <c r="AT333">
        <f>HYPERLINK("http://www.worldcat.org/oclc/20118910","WorldCat Record")</f>
        <v/>
      </c>
      <c r="AU333" t="inlineStr">
        <is>
          <t>2863953062:eng</t>
        </is>
      </c>
      <c r="AV333" t="inlineStr">
        <is>
          <t>20118910</t>
        </is>
      </c>
      <c r="AW333" t="inlineStr">
        <is>
          <t>991001378749702656</t>
        </is>
      </c>
      <c r="AX333" t="inlineStr">
        <is>
          <t>991001378749702656</t>
        </is>
      </c>
      <c r="AY333" t="inlineStr">
        <is>
          <t>2262975900002656</t>
        </is>
      </c>
      <c r="AZ333" t="inlineStr">
        <is>
          <t>BOOK</t>
        </is>
      </c>
      <c r="BB333" t="inlineStr">
        <is>
          <t>9780397510047</t>
        </is>
      </c>
      <c r="BC333" t="inlineStr">
        <is>
          <t>30001001798513</t>
        </is>
      </c>
      <c r="BD333" t="inlineStr">
        <is>
          <t>893274060</t>
        </is>
      </c>
    </row>
    <row r="334">
      <c r="A334" t="inlineStr">
        <is>
          <t>No</t>
        </is>
      </c>
      <c r="B334" t="inlineStr">
        <is>
          <t>QZ 206 PR667M 1988 v.34</t>
        </is>
      </c>
      <c r="C334" t="inlineStr">
        <is>
          <t>0                      QZ 0206000PR 667M        1988                                        v.34</t>
        </is>
      </c>
      <c r="D334" t="inlineStr">
        <is>
          <t>Tumor promoters : biological approaches for mechanistic studies and assay systems / editors, Robert Langenbach, Eugene Elmore, J. Carl Barrett.</t>
        </is>
      </c>
      <c r="E334" t="inlineStr">
        <is>
          <t>V. 34</t>
        </is>
      </c>
      <c r="F334" t="inlineStr">
        <is>
          <t>No</t>
        </is>
      </c>
      <c r="G334" t="inlineStr">
        <is>
          <t>1</t>
        </is>
      </c>
      <c r="H334" t="inlineStr">
        <is>
          <t>No</t>
        </is>
      </c>
      <c r="I334" t="inlineStr">
        <is>
          <t>No</t>
        </is>
      </c>
      <c r="J334" t="inlineStr">
        <is>
          <t>0</t>
        </is>
      </c>
      <c r="L334" t="inlineStr">
        <is>
          <t>New York : Raven Press, c1988.</t>
        </is>
      </c>
      <c r="M334" t="inlineStr">
        <is>
          <t>1988</t>
        </is>
      </c>
      <c r="O334" t="inlineStr">
        <is>
          <t>eng</t>
        </is>
      </c>
      <c r="P334" t="inlineStr">
        <is>
          <t>xxu</t>
        </is>
      </c>
      <c r="Q334" t="inlineStr">
        <is>
          <t>Progress in cancer research and therapy ; v. 34</t>
        </is>
      </c>
      <c r="R334" t="inlineStr">
        <is>
          <t xml:space="preserve">QZ </t>
        </is>
      </c>
      <c r="S334" t="n">
        <v>2</v>
      </c>
      <c r="T334" t="n">
        <v>2</v>
      </c>
      <c r="U334" t="inlineStr">
        <is>
          <t>1989-07-10</t>
        </is>
      </c>
      <c r="V334" t="inlineStr">
        <is>
          <t>1989-07-10</t>
        </is>
      </c>
      <c r="W334" t="inlineStr">
        <is>
          <t>1989-02-17</t>
        </is>
      </c>
      <c r="X334" t="inlineStr">
        <is>
          <t>1989-02-17</t>
        </is>
      </c>
      <c r="Y334" t="n">
        <v>147</v>
      </c>
      <c r="Z334" t="n">
        <v>111</v>
      </c>
      <c r="AA334" t="n">
        <v>111</v>
      </c>
      <c r="AB334" t="n">
        <v>1</v>
      </c>
      <c r="AC334" t="n">
        <v>1</v>
      </c>
      <c r="AD334" t="n">
        <v>2</v>
      </c>
      <c r="AE334" t="n">
        <v>2</v>
      </c>
      <c r="AF334" t="n">
        <v>0</v>
      </c>
      <c r="AG334" t="n">
        <v>0</v>
      </c>
      <c r="AH334" t="n">
        <v>1</v>
      </c>
      <c r="AI334" t="n">
        <v>1</v>
      </c>
      <c r="AJ334" t="n">
        <v>2</v>
      </c>
      <c r="AK334" t="n">
        <v>2</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HYPERLINK("https://creighton-primo.hosted.exlibrisgroup.com/primo-explore/search?tab=default_tab&amp;search_scope=EVERYTHING&amp;vid=01CRU&amp;lang=en_US&amp;offset=0&amp;query=any,contains,991001123809702656","Catalog Record")</f>
        <v/>
      </c>
      <c r="AT334">
        <f>HYPERLINK("http://www.worldcat.org/oclc/18053308","WorldCat Record")</f>
        <v/>
      </c>
      <c r="AU334" t="inlineStr">
        <is>
          <t>795489889:eng</t>
        </is>
      </c>
      <c r="AV334" t="inlineStr">
        <is>
          <t>18053308</t>
        </is>
      </c>
      <c r="AW334" t="inlineStr">
        <is>
          <t>991001123809702656</t>
        </is>
      </c>
      <c r="AX334" t="inlineStr">
        <is>
          <t>991001123809702656</t>
        </is>
      </c>
      <c r="AY334" t="inlineStr">
        <is>
          <t>2263067730002656</t>
        </is>
      </c>
      <c r="AZ334" t="inlineStr">
        <is>
          <t>BOOK</t>
        </is>
      </c>
      <c r="BB334" t="inlineStr">
        <is>
          <t>9780881674514</t>
        </is>
      </c>
      <c r="BC334" t="inlineStr">
        <is>
          <t>30001001614959</t>
        </is>
      </c>
      <c r="BD334" t="inlineStr">
        <is>
          <t>893284425</t>
        </is>
      </c>
    </row>
    <row r="335">
      <c r="A335" t="inlineStr">
        <is>
          <t>No</t>
        </is>
      </c>
      <c r="B335" t="inlineStr">
        <is>
          <t>QZ206 S678 1997</t>
        </is>
      </c>
      <c r="C335" t="inlineStr">
        <is>
          <t>0                      QZ 0206000S  678         1997</t>
        </is>
      </c>
      <c r="D335" t="inlineStr">
        <is>
          <t>Social inequalities and cancer / edited by M. Kogevinas ... [et al.].</t>
        </is>
      </c>
      <c r="F335" t="inlineStr">
        <is>
          <t>No</t>
        </is>
      </c>
      <c r="G335" t="inlineStr">
        <is>
          <t>1</t>
        </is>
      </c>
      <c r="H335" t="inlineStr">
        <is>
          <t>No</t>
        </is>
      </c>
      <c r="I335" t="inlineStr">
        <is>
          <t>No</t>
        </is>
      </c>
      <c r="J335" t="inlineStr">
        <is>
          <t>0</t>
        </is>
      </c>
      <c r="L335" t="inlineStr">
        <is>
          <t>Lyon, France : International Agency for Research on Cancer, 1997.</t>
        </is>
      </c>
      <c r="M335" t="inlineStr">
        <is>
          <t>1997</t>
        </is>
      </c>
      <c r="O335" t="inlineStr">
        <is>
          <t>eng</t>
        </is>
      </c>
      <c r="P335" t="inlineStr">
        <is>
          <t xml:space="preserve">fr </t>
        </is>
      </c>
      <c r="Q335" t="inlineStr">
        <is>
          <t>IARC scientific publications, 0300-5085 ; no. 138</t>
        </is>
      </c>
      <c r="R335" t="inlineStr">
        <is>
          <t xml:space="preserve">QZ </t>
        </is>
      </c>
      <c r="S335" t="n">
        <v>1</v>
      </c>
      <c r="T335" t="n">
        <v>1</v>
      </c>
      <c r="U335" t="inlineStr">
        <is>
          <t>2002-08-14</t>
        </is>
      </c>
      <c r="V335" t="inlineStr">
        <is>
          <t>2002-08-14</t>
        </is>
      </c>
      <c r="W335" t="inlineStr">
        <is>
          <t>2002-07-08</t>
        </is>
      </c>
      <c r="X335" t="inlineStr">
        <is>
          <t>2002-07-08</t>
        </is>
      </c>
      <c r="Y335" t="n">
        <v>190</v>
      </c>
      <c r="Z335" t="n">
        <v>130</v>
      </c>
      <c r="AA335" t="n">
        <v>145</v>
      </c>
      <c r="AB335" t="n">
        <v>1</v>
      </c>
      <c r="AC335" t="n">
        <v>1</v>
      </c>
      <c r="AD335" t="n">
        <v>4</v>
      </c>
      <c r="AE335" t="n">
        <v>5</v>
      </c>
      <c r="AF335" t="n">
        <v>0</v>
      </c>
      <c r="AG335" t="n">
        <v>1</v>
      </c>
      <c r="AH335" t="n">
        <v>1</v>
      </c>
      <c r="AI335" t="n">
        <v>2</v>
      </c>
      <c r="AJ335" t="n">
        <v>3</v>
      </c>
      <c r="AK335" t="n">
        <v>3</v>
      </c>
      <c r="AL335" t="n">
        <v>0</v>
      </c>
      <c r="AM335" t="n">
        <v>0</v>
      </c>
      <c r="AN335" t="n">
        <v>0</v>
      </c>
      <c r="AO335" t="n">
        <v>0</v>
      </c>
      <c r="AP335" t="inlineStr">
        <is>
          <t>No</t>
        </is>
      </c>
      <c r="AQ335" t="inlineStr">
        <is>
          <t>Yes</t>
        </is>
      </c>
      <c r="AR335">
        <f>HYPERLINK("http://catalog.hathitrust.org/Record/004584424","HathiTrust Record")</f>
        <v/>
      </c>
      <c r="AS335">
        <f>HYPERLINK("https://creighton-primo.hosted.exlibrisgroup.com/primo-explore/search?tab=default_tab&amp;search_scope=EVERYTHING&amp;vid=01CRU&amp;lang=en_US&amp;offset=0&amp;query=any,contains,991000323599702656","Catalog Record")</f>
        <v/>
      </c>
      <c r="AT335">
        <f>HYPERLINK("http://www.worldcat.org/oclc/38133520","WorldCat Record")</f>
        <v/>
      </c>
      <c r="AU335" t="inlineStr">
        <is>
          <t>349958573:eng</t>
        </is>
      </c>
      <c r="AV335" t="inlineStr">
        <is>
          <t>38133520</t>
        </is>
      </c>
      <c r="AW335" t="inlineStr">
        <is>
          <t>991000323599702656</t>
        </is>
      </c>
      <c r="AX335" t="inlineStr">
        <is>
          <t>991000323599702656</t>
        </is>
      </c>
      <c r="AY335" t="inlineStr">
        <is>
          <t>2264967490002656</t>
        </is>
      </c>
      <c r="AZ335" t="inlineStr">
        <is>
          <t>BOOK</t>
        </is>
      </c>
      <c r="BB335" t="inlineStr">
        <is>
          <t>9789283221388</t>
        </is>
      </c>
      <c r="BC335" t="inlineStr">
        <is>
          <t>30001004238236</t>
        </is>
      </c>
      <c r="BD335" t="inlineStr">
        <is>
          <t>893452019</t>
        </is>
      </c>
    </row>
    <row r="336">
      <c r="A336" t="inlineStr">
        <is>
          <t>No</t>
        </is>
      </c>
      <c r="B336" t="inlineStr">
        <is>
          <t>QZ 206 S797d 1987 v.2</t>
        </is>
      </c>
      <c r="C336" t="inlineStr">
        <is>
          <t>0                      QZ 0206000S  797d        1987                                        v.2</t>
        </is>
      </c>
      <c r="D336" t="inlineStr">
        <is>
          <t>The design and analysis of cohort studies / by N.E. Breslow &amp; N.E. Day ; technical editor for IARC, E. Heseltine.</t>
        </is>
      </c>
      <c r="E336" t="inlineStr">
        <is>
          <t>V. 2</t>
        </is>
      </c>
      <c r="F336" t="inlineStr">
        <is>
          <t>No</t>
        </is>
      </c>
      <c r="G336" t="inlineStr">
        <is>
          <t>1</t>
        </is>
      </c>
      <c r="H336" t="inlineStr">
        <is>
          <t>No</t>
        </is>
      </c>
      <c r="I336" t="inlineStr">
        <is>
          <t>No</t>
        </is>
      </c>
      <c r="J336" t="inlineStr">
        <is>
          <t>0</t>
        </is>
      </c>
      <c r="K336" t="inlineStr">
        <is>
          <t>Breslow, Norman E.</t>
        </is>
      </c>
      <c r="L336" t="inlineStr">
        <is>
          <t>Lyon : International Agency for Research on Cancer, c1987.</t>
        </is>
      </c>
      <c r="M336" t="inlineStr">
        <is>
          <t>1987</t>
        </is>
      </c>
      <c r="O336" t="inlineStr">
        <is>
          <t>eng</t>
        </is>
      </c>
      <c r="P336" t="inlineStr">
        <is>
          <t xml:space="preserve">fr </t>
        </is>
      </c>
      <c r="Q336" t="inlineStr">
        <is>
          <t>IARC scientific publications ; no. 82</t>
        </is>
      </c>
      <c r="R336" t="inlineStr">
        <is>
          <t xml:space="preserve">QZ </t>
        </is>
      </c>
      <c r="S336" t="n">
        <v>17</v>
      </c>
      <c r="T336" t="n">
        <v>17</v>
      </c>
      <c r="U336" t="inlineStr">
        <is>
          <t>1998-10-21</t>
        </is>
      </c>
      <c r="V336" t="inlineStr">
        <is>
          <t>1998-10-21</t>
        </is>
      </c>
      <c r="W336" t="inlineStr">
        <is>
          <t>1988-10-06</t>
        </is>
      </c>
      <c r="X336" t="inlineStr">
        <is>
          <t>1988-10-06</t>
        </is>
      </c>
      <c r="Y336" t="n">
        <v>73</v>
      </c>
      <c r="Z336" t="n">
        <v>63</v>
      </c>
      <c r="AA336" t="n">
        <v>64</v>
      </c>
      <c r="AB336" t="n">
        <v>1</v>
      </c>
      <c r="AC336" t="n">
        <v>1</v>
      </c>
      <c r="AD336" t="n">
        <v>3</v>
      </c>
      <c r="AE336" t="n">
        <v>3</v>
      </c>
      <c r="AF336" t="n">
        <v>0</v>
      </c>
      <c r="AG336" t="n">
        <v>0</v>
      </c>
      <c r="AH336" t="n">
        <v>1</v>
      </c>
      <c r="AI336" t="n">
        <v>1</v>
      </c>
      <c r="AJ336" t="n">
        <v>2</v>
      </c>
      <c r="AK336" t="n">
        <v>2</v>
      </c>
      <c r="AL336" t="n">
        <v>0</v>
      </c>
      <c r="AM336" t="n">
        <v>0</v>
      </c>
      <c r="AN336" t="n">
        <v>0</v>
      </c>
      <c r="AO336" t="n">
        <v>0</v>
      </c>
      <c r="AP336" t="inlineStr">
        <is>
          <t>No</t>
        </is>
      </c>
      <c r="AQ336" t="inlineStr">
        <is>
          <t>Yes</t>
        </is>
      </c>
      <c r="AR336">
        <f>HYPERLINK("http://catalog.hathitrust.org/Record/007068046","HathiTrust Record")</f>
        <v/>
      </c>
      <c r="AS336">
        <f>HYPERLINK("https://creighton-primo.hosted.exlibrisgroup.com/primo-explore/search?tab=default_tab&amp;search_scope=EVERYTHING&amp;vid=01CRU&amp;lang=en_US&amp;offset=0&amp;query=any,contains,991001424789702656","Catalog Record")</f>
        <v/>
      </c>
      <c r="AT336">
        <f>HYPERLINK("http://www.worldcat.org/oclc/17994414","WorldCat Record")</f>
        <v/>
      </c>
      <c r="AU336" t="inlineStr">
        <is>
          <t>17064206:eng</t>
        </is>
      </c>
      <c r="AV336" t="inlineStr">
        <is>
          <t>17994414</t>
        </is>
      </c>
      <c r="AW336" t="inlineStr">
        <is>
          <t>991001424789702656</t>
        </is>
      </c>
      <c r="AX336" t="inlineStr">
        <is>
          <t>991001424789702656</t>
        </is>
      </c>
      <c r="AY336" t="inlineStr">
        <is>
          <t>2259258640002656</t>
        </is>
      </c>
      <c r="AZ336" t="inlineStr">
        <is>
          <t>BOOK</t>
        </is>
      </c>
      <c r="BB336" t="inlineStr">
        <is>
          <t>9789283211822</t>
        </is>
      </c>
      <c r="BC336" t="inlineStr">
        <is>
          <t>30001001183856</t>
        </is>
      </c>
      <c r="BD336" t="inlineStr">
        <is>
          <t>893287412</t>
        </is>
      </c>
    </row>
    <row r="337">
      <c r="A337" t="inlineStr">
        <is>
          <t>No</t>
        </is>
      </c>
      <c r="B337" t="inlineStr">
        <is>
          <t>QZ206 U519 1999</t>
        </is>
      </c>
      <c r="C337" t="inlineStr">
        <is>
          <t>0                      QZ 0206000U  519         1999</t>
        </is>
      </c>
      <c r="D337" t="inlineStr">
        <is>
          <t>The unequal burden of cancer : an assessment of NIH research and programs for ethnic minorities and the medically underserved / M. Alfred Haynes and Brian D. Smedley, editors ; Committee on Cancer Research among Minorities and the Medically Underserved, Health Sciences Policy Program, Health Sciences Section, Institute of Medicine.</t>
        </is>
      </c>
      <c r="F337" t="inlineStr">
        <is>
          <t>No</t>
        </is>
      </c>
      <c r="G337" t="inlineStr">
        <is>
          <t>1</t>
        </is>
      </c>
      <c r="H337" t="inlineStr">
        <is>
          <t>No</t>
        </is>
      </c>
      <c r="I337" t="inlineStr">
        <is>
          <t>No</t>
        </is>
      </c>
      <c r="J337" t="inlineStr">
        <is>
          <t>4</t>
        </is>
      </c>
      <c r="L337" t="inlineStr">
        <is>
          <t>Washington, D.C. : National Academy Press, 1999.</t>
        </is>
      </c>
      <c r="M337" t="inlineStr">
        <is>
          <t>1999</t>
        </is>
      </c>
      <c r="O337" t="inlineStr">
        <is>
          <t>eng</t>
        </is>
      </c>
      <c r="P337" t="inlineStr">
        <is>
          <t>dcu</t>
        </is>
      </c>
      <c r="R337" t="inlineStr">
        <is>
          <t xml:space="preserve">QZ </t>
        </is>
      </c>
      <c r="S337" t="n">
        <v>0</v>
      </c>
      <c r="T337" t="n">
        <v>0</v>
      </c>
      <c r="U337" t="inlineStr">
        <is>
          <t>2002-11-03</t>
        </is>
      </c>
      <c r="V337" t="inlineStr">
        <is>
          <t>2002-11-03</t>
        </is>
      </c>
      <c r="W337" t="inlineStr">
        <is>
          <t>2002-05-10</t>
        </is>
      </c>
      <c r="X337" t="inlineStr">
        <is>
          <t>2002-05-10</t>
        </is>
      </c>
      <c r="Y337" t="n">
        <v>482</v>
      </c>
      <c r="Z337" t="n">
        <v>436</v>
      </c>
      <c r="AA337" t="n">
        <v>1838</v>
      </c>
      <c r="AB337" t="n">
        <v>5</v>
      </c>
      <c r="AC337" t="n">
        <v>32</v>
      </c>
      <c r="AD337" t="n">
        <v>14</v>
      </c>
      <c r="AE337" t="n">
        <v>56</v>
      </c>
      <c r="AF337" t="n">
        <v>5</v>
      </c>
      <c r="AG337" t="n">
        <v>18</v>
      </c>
      <c r="AH337" t="n">
        <v>3</v>
      </c>
      <c r="AI337" t="n">
        <v>10</v>
      </c>
      <c r="AJ337" t="n">
        <v>5</v>
      </c>
      <c r="AK337" t="n">
        <v>18</v>
      </c>
      <c r="AL337" t="n">
        <v>3</v>
      </c>
      <c r="AM337" t="n">
        <v>17</v>
      </c>
      <c r="AN337" t="n">
        <v>0</v>
      </c>
      <c r="AO337" t="n">
        <v>2</v>
      </c>
      <c r="AP337" t="inlineStr">
        <is>
          <t>No</t>
        </is>
      </c>
      <c r="AQ337" t="inlineStr">
        <is>
          <t>Yes</t>
        </is>
      </c>
      <c r="AR337">
        <f>HYPERLINK("http://catalog.hathitrust.org/Record/004043947","HathiTrust Record")</f>
        <v/>
      </c>
      <c r="AS337">
        <f>HYPERLINK("https://creighton-primo.hosted.exlibrisgroup.com/primo-explore/search?tab=default_tab&amp;search_scope=EVERYTHING&amp;vid=01CRU&amp;lang=en_US&amp;offset=0&amp;query=any,contains,991000310109702656","Catalog Record")</f>
        <v/>
      </c>
      <c r="AT337">
        <f>HYPERLINK("http://www.worldcat.org/oclc/40861897","WorldCat Record")</f>
        <v/>
      </c>
      <c r="AU337" t="inlineStr">
        <is>
          <t>1060370945:eng</t>
        </is>
      </c>
      <c r="AV337" t="inlineStr">
        <is>
          <t>40861897</t>
        </is>
      </c>
      <c r="AW337" t="inlineStr">
        <is>
          <t>991000310109702656</t>
        </is>
      </c>
      <c r="AX337" t="inlineStr">
        <is>
          <t>991000310109702656</t>
        </is>
      </c>
      <c r="AY337" t="inlineStr">
        <is>
          <t>2266380350002656</t>
        </is>
      </c>
      <c r="AZ337" t="inlineStr">
        <is>
          <t>BOOK</t>
        </is>
      </c>
      <c r="BB337" t="inlineStr">
        <is>
          <t>9780309071543</t>
        </is>
      </c>
      <c r="BC337" t="inlineStr">
        <is>
          <t>30001004237691</t>
        </is>
      </c>
      <c r="BD337" t="inlineStr">
        <is>
          <t>893537009</t>
        </is>
      </c>
    </row>
    <row r="338">
      <c r="A338" t="inlineStr">
        <is>
          <t>No</t>
        </is>
      </c>
      <c r="B338" t="inlineStr">
        <is>
          <t>QZ 241 A312 1997</t>
        </is>
      </c>
      <c r="C338" t="inlineStr">
        <is>
          <t>0                      QZ 0241000A  312         1997</t>
        </is>
      </c>
      <c r="D338" t="inlineStr">
        <is>
          <t>AJCC cancer staging manual / American Joint Committee on Cancer.</t>
        </is>
      </c>
      <c r="F338" t="inlineStr">
        <is>
          <t>No</t>
        </is>
      </c>
      <c r="G338" t="inlineStr">
        <is>
          <t>1</t>
        </is>
      </c>
      <c r="H338" t="inlineStr">
        <is>
          <t>No</t>
        </is>
      </c>
      <c r="I338" t="inlineStr">
        <is>
          <t>Yes</t>
        </is>
      </c>
      <c r="J338" t="inlineStr">
        <is>
          <t>0</t>
        </is>
      </c>
      <c r="L338" t="inlineStr">
        <is>
          <t>Philadelphia : Lippincott-Raven, c1997.</t>
        </is>
      </c>
      <c r="M338" t="inlineStr">
        <is>
          <t>1997</t>
        </is>
      </c>
      <c r="N338" t="inlineStr">
        <is>
          <t>5th ed / editors, Irvin D. Fleming ... [et al.].</t>
        </is>
      </c>
      <c r="O338" t="inlineStr">
        <is>
          <t>eng</t>
        </is>
      </c>
      <c r="P338" t="inlineStr">
        <is>
          <t>pau</t>
        </is>
      </c>
      <c r="R338" t="inlineStr">
        <is>
          <t xml:space="preserve">QZ </t>
        </is>
      </c>
      <c r="S338" t="n">
        <v>7</v>
      </c>
      <c r="T338" t="n">
        <v>7</v>
      </c>
      <c r="U338" t="inlineStr">
        <is>
          <t>1999-12-16</t>
        </is>
      </c>
      <c r="V338" t="inlineStr">
        <is>
          <t>1999-12-16</t>
        </is>
      </c>
      <c r="W338" t="inlineStr">
        <is>
          <t>1998-01-29</t>
        </is>
      </c>
      <c r="X338" t="inlineStr">
        <is>
          <t>1998-01-29</t>
        </is>
      </c>
      <c r="Y338" t="n">
        <v>215</v>
      </c>
      <c r="Z338" t="n">
        <v>175</v>
      </c>
      <c r="AA338" t="n">
        <v>418</v>
      </c>
      <c r="AB338" t="n">
        <v>1</v>
      </c>
      <c r="AC338" t="n">
        <v>2</v>
      </c>
      <c r="AD338" t="n">
        <v>1</v>
      </c>
      <c r="AE338" t="n">
        <v>7</v>
      </c>
      <c r="AF338" t="n">
        <v>0</v>
      </c>
      <c r="AG338" t="n">
        <v>2</v>
      </c>
      <c r="AH338" t="n">
        <v>0</v>
      </c>
      <c r="AI338" t="n">
        <v>3</v>
      </c>
      <c r="AJ338" t="n">
        <v>1</v>
      </c>
      <c r="AK338" t="n">
        <v>2</v>
      </c>
      <c r="AL338" t="n">
        <v>0</v>
      </c>
      <c r="AM338" t="n">
        <v>1</v>
      </c>
      <c r="AN338" t="n">
        <v>0</v>
      </c>
      <c r="AO338" t="n">
        <v>0</v>
      </c>
      <c r="AP338" t="inlineStr">
        <is>
          <t>No</t>
        </is>
      </c>
      <c r="AQ338" t="inlineStr">
        <is>
          <t>Yes</t>
        </is>
      </c>
      <c r="AR338">
        <f>HYPERLINK("http://catalog.hathitrust.org/Record/003180615","HathiTrust Record")</f>
        <v/>
      </c>
      <c r="AS338">
        <f>HYPERLINK("https://creighton-primo.hosted.exlibrisgroup.com/primo-explore/search?tab=default_tab&amp;search_scope=EVERYTHING&amp;vid=01CRU&amp;lang=en_US&amp;offset=0&amp;query=any,contains,991001269529702656","Catalog Record")</f>
        <v/>
      </c>
      <c r="AT338">
        <f>HYPERLINK("http://www.worldcat.org/oclc/36557222","WorldCat Record")</f>
        <v/>
      </c>
      <c r="AU338" t="inlineStr">
        <is>
          <t>1152013410:eng</t>
        </is>
      </c>
      <c r="AV338" t="inlineStr">
        <is>
          <t>36557222</t>
        </is>
      </c>
      <c r="AW338" t="inlineStr">
        <is>
          <t>991001269529702656</t>
        </is>
      </c>
      <c r="AX338" t="inlineStr">
        <is>
          <t>991001269529702656</t>
        </is>
      </c>
      <c r="AY338" t="inlineStr">
        <is>
          <t>2269019950002656</t>
        </is>
      </c>
      <c r="AZ338" t="inlineStr">
        <is>
          <t>BOOK</t>
        </is>
      </c>
      <c r="BB338" t="inlineStr">
        <is>
          <t>9780397584147</t>
        </is>
      </c>
      <c r="BC338" t="inlineStr">
        <is>
          <t>30001003694462</t>
        </is>
      </c>
      <c r="BD338" t="inlineStr">
        <is>
          <t>893557747</t>
        </is>
      </c>
    </row>
    <row r="339">
      <c r="A339" t="inlineStr">
        <is>
          <t>No</t>
        </is>
      </c>
      <c r="B339" t="inlineStr">
        <is>
          <t>QZ 241 A995u 1991</t>
        </is>
      </c>
      <c r="C339" t="inlineStr">
        <is>
          <t>0                      QZ 0241000A  995u        1991</t>
        </is>
      </c>
      <c r="D339" t="inlineStr">
        <is>
          <t>Use and interpretation of tests in oncology / Douglas C. Aziz, Harry J. Rittenhouse, Raymond Rankin</t>
        </is>
      </c>
      <c r="F339" t="inlineStr">
        <is>
          <t>No</t>
        </is>
      </c>
      <c r="G339" t="inlineStr">
        <is>
          <t>1</t>
        </is>
      </c>
      <c r="H339" t="inlineStr">
        <is>
          <t>No</t>
        </is>
      </c>
      <c r="I339" t="inlineStr">
        <is>
          <t>No</t>
        </is>
      </c>
      <c r="J339" t="inlineStr">
        <is>
          <t>0</t>
        </is>
      </c>
      <c r="K339" t="inlineStr">
        <is>
          <t>Aziz, Douglas C.</t>
        </is>
      </c>
      <c r="L339" t="inlineStr">
        <is>
          <t>Santa Monica, CA : Specialty Laboratories, c1991.</t>
        </is>
      </c>
      <c r="M339" t="inlineStr">
        <is>
          <t>1991</t>
        </is>
      </c>
      <c r="N339" t="inlineStr">
        <is>
          <t>1st ed.</t>
        </is>
      </c>
      <c r="O339" t="inlineStr">
        <is>
          <t>eng</t>
        </is>
      </c>
      <c r="P339" t="inlineStr">
        <is>
          <t>cau</t>
        </is>
      </c>
      <c r="R339" t="inlineStr">
        <is>
          <t xml:space="preserve">QZ </t>
        </is>
      </c>
      <c r="S339" t="n">
        <v>2</v>
      </c>
      <c r="T339" t="n">
        <v>2</v>
      </c>
      <c r="U339" t="inlineStr">
        <is>
          <t>1992-09-11</t>
        </is>
      </c>
      <c r="V339" t="inlineStr">
        <is>
          <t>1992-09-11</t>
        </is>
      </c>
      <c r="W339" t="inlineStr">
        <is>
          <t>1992-09-11</t>
        </is>
      </c>
      <c r="X339" t="inlineStr">
        <is>
          <t>1992-09-11</t>
        </is>
      </c>
      <c r="Y339" t="n">
        <v>15</v>
      </c>
      <c r="Z339" t="n">
        <v>15</v>
      </c>
      <c r="AA339" t="n">
        <v>18</v>
      </c>
      <c r="AB339" t="n">
        <v>1</v>
      </c>
      <c r="AC339" t="n">
        <v>1</v>
      </c>
      <c r="AD339" t="n">
        <v>0</v>
      </c>
      <c r="AE339" t="n">
        <v>0</v>
      </c>
      <c r="AF339" t="n">
        <v>0</v>
      </c>
      <c r="AG339" t="n">
        <v>0</v>
      </c>
      <c r="AH339" t="n">
        <v>0</v>
      </c>
      <c r="AI339" t="n">
        <v>0</v>
      </c>
      <c r="AJ339" t="n">
        <v>0</v>
      </c>
      <c r="AK339" t="n">
        <v>0</v>
      </c>
      <c r="AL339" t="n">
        <v>0</v>
      </c>
      <c r="AM339" t="n">
        <v>0</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HYPERLINK("https://creighton-primo.hosted.exlibrisgroup.com/primo-explore/search?tab=default_tab&amp;search_scope=EVERYTHING&amp;vid=01CRU&amp;lang=en_US&amp;offset=0&amp;query=any,contains,991001344379702656","Catalog Record")</f>
        <v/>
      </c>
      <c r="AT339">
        <f>HYPERLINK("http://www.worldcat.org/oclc/26707467","WorldCat Record")</f>
        <v/>
      </c>
      <c r="AU339" t="inlineStr">
        <is>
          <t>29243944:eng</t>
        </is>
      </c>
      <c r="AV339" t="inlineStr">
        <is>
          <t>26707467</t>
        </is>
      </c>
      <c r="AW339" t="inlineStr">
        <is>
          <t>991001344379702656</t>
        </is>
      </c>
      <c r="AX339" t="inlineStr">
        <is>
          <t>991001344379702656</t>
        </is>
      </c>
      <c r="AY339" t="inlineStr">
        <is>
          <t>2260090230002656</t>
        </is>
      </c>
      <c r="AZ339" t="inlineStr">
        <is>
          <t>BOOK</t>
        </is>
      </c>
      <c r="BC339" t="inlineStr">
        <is>
          <t>30001002456673</t>
        </is>
      </c>
      <c r="BD339" t="inlineStr">
        <is>
          <t>893541271</t>
        </is>
      </c>
    </row>
    <row r="340">
      <c r="A340" t="inlineStr">
        <is>
          <t>No</t>
        </is>
      </c>
      <c r="B340" t="inlineStr">
        <is>
          <t>QZ 241 E12 1994</t>
        </is>
      </c>
      <c r="C340" t="inlineStr">
        <is>
          <t>0                      QZ 0241000E  12          1994</t>
        </is>
      </c>
      <c r="D340" t="inlineStr">
        <is>
          <t>Early detection of cancer : molecular markers / edited by Sudhir Srivastava ... [et al.].</t>
        </is>
      </c>
      <c r="F340" t="inlineStr">
        <is>
          <t>No</t>
        </is>
      </c>
      <c r="G340" t="inlineStr">
        <is>
          <t>1</t>
        </is>
      </c>
      <c r="H340" t="inlineStr">
        <is>
          <t>No</t>
        </is>
      </c>
      <c r="I340" t="inlineStr">
        <is>
          <t>No</t>
        </is>
      </c>
      <c r="J340" t="inlineStr">
        <is>
          <t>0</t>
        </is>
      </c>
      <c r="L340" t="inlineStr">
        <is>
          <t>Armonk, N.Y. : Futura Pub. Co., c1994.</t>
        </is>
      </c>
      <c r="M340" t="inlineStr">
        <is>
          <t>1994</t>
        </is>
      </c>
      <c r="O340" t="inlineStr">
        <is>
          <t>eng</t>
        </is>
      </c>
      <c r="P340" t="inlineStr">
        <is>
          <t>nyu</t>
        </is>
      </c>
      <c r="R340" t="inlineStr">
        <is>
          <t xml:space="preserve">QZ </t>
        </is>
      </c>
      <c r="S340" t="n">
        <v>13</v>
      </c>
      <c r="T340" t="n">
        <v>13</v>
      </c>
      <c r="U340" t="inlineStr">
        <is>
          <t>1999-12-07</t>
        </is>
      </c>
      <c r="V340" t="inlineStr">
        <is>
          <t>1999-12-07</t>
        </is>
      </c>
      <c r="W340" t="inlineStr">
        <is>
          <t>1994-09-13</t>
        </is>
      </c>
      <c r="X340" t="inlineStr">
        <is>
          <t>1994-09-13</t>
        </is>
      </c>
      <c r="Y340" t="n">
        <v>86</v>
      </c>
      <c r="Z340" t="n">
        <v>68</v>
      </c>
      <c r="AA340" t="n">
        <v>68</v>
      </c>
      <c r="AB340" t="n">
        <v>1</v>
      </c>
      <c r="AC340" t="n">
        <v>1</v>
      </c>
      <c r="AD340" t="n">
        <v>1</v>
      </c>
      <c r="AE340" t="n">
        <v>1</v>
      </c>
      <c r="AF340" t="n">
        <v>0</v>
      </c>
      <c r="AG340" t="n">
        <v>0</v>
      </c>
      <c r="AH340" t="n">
        <v>1</v>
      </c>
      <c r="AI340" t="n">
        <v>1</v>
      </c>
      <c r="AJ340" t="n">
        <v>1</v>
      </c>
      <c r="AK340" t="n">
        <v>1</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HYPERLINK("https://creighton-primo.hosted.exlibrisgroup.com/primo-explore/search?tab=default_tab&amp;search_scope=EVERYTHING&amp;vid=01CRU&amp;lang=en_US&amp;offset=0&amp;query=any,contains,991000679719702656","Catalog Record")</f>
        <v/>
      </c>
      <c r="AT340">
        <f>HYPERLINK("http://www.worldcat.org/oclc/29430234","WorldCat Record")</f>
        <v/>
      </c>
      <c r="AU340" t="inlineStr">
        <is>
          <t>31592314:eng</t>
        </is>
      </c>
      <c r="AV340" t="inlineStr">
        <is>
          <t>29430234</t>
        </is>
      </c>
      <c r="AW340" t="inlineStr">
        <is>
          <t>991000679719702656</t>
        </is>
      </c>
      <c r="AX340" t="inlineStr">
        <is>
          <t>991000679719702656</t>
        </is>
      </c>
      <c r="AY340" t="inlineStr">
        <is>
          <t>2259922770002656</t>
        </is>
      </c>
      <c r="AZ340" t="inlineStr">
        <is>
          <t>BOOK</t>
        </is>
      </c>
      <c r="BB340" t="inlineStr">
        <is>
          <t>9780879935795</t>
        </is>
      </c>
      <c r="BC340" t="inlineStr">
        <is>
          <t>30001002697144</t>
        </is>
      </c>
      <c r="BD340" t="inlineStr">
        <is>
          <t>893272825</t>
        </is>
      </c>
    </row>
    <row r="341">
      <c r="A341" t="inlineStr">
        <is>
          <t>No</t>
        </is>
      </c>
      <c r="B341" t="inlineStr">
        <is>
          <t>QZ 241 M293 1992</t>
        </is>
      </c>
      <c r="C341" t="inlineStr">
        <is>
          <t>0                      QZ 0241000M  293         1992</t>
        </is>
      </c>
      <c r="D341" t="inlineStr">
        <is>
          <t>Manual for staging of cancer / American Joint Committee on Cancer ; sponsoring organizations, American Cancer Society ... [et al.] ; edited by Oliver H. Beahrs ... [et al.].</t>
        </is>
      </c>
      <c r="F341" t="inlineStr">
        <is>
          <t>No</t>
        </is>
      </c>
      <c r="G341" t="inlineStr">
        <is>
          <t>1</t>
        </is>
      </c>
      <c r="H341" t="inlineStr">
        <is>
          <t>No</t>
        </is>
      </c>
      <c r="I341" t="inlineStr">
        <is>
          <t>No</t>
        </is>
      </c>
      <c r="J341" t="inlineStr">
        <is>
          <t>0</t>
        </is>
      </c>
      <c r="L341" t="inlineStr">
        <is>
          <t>Philadelphia : Lippincott, c1992.</t>
        </is>
      </c>
      <c r="M341" t="inlineStr">
        <is>
          <t>1992</t>
        </is>
      </c>
      <c r="N341" t="inlineStr">
        <is>
          <t>4th ed.</t>
        </is>
      </c>
      <c r="O341" t="inlineStr">
        <is>
          <t>eng</t>
        </is>
      </c>
      <c r="P341" t="inlineStr">
        <is>
          <t>pau</t>
        </is>
      </c>
      <c r="R341" t="inlineStr">
        <is>
          <t xml:space="preserve">QZ </t>
        </is>
      </c>
      <c r="S341" t="n">
        <v>17</v>
      </c>
      <c r="T341" t="n">
        <v>17</v>
      </c>
      <c r="U341" t="inlineStr">
        <is>
          <t>1995-08-04</t>
        </is>
      </c>
      <c r="V341" t="inlineStr">
        <is>
          <t>1995-08-04</t>
        </is>
      </c>
      <c r="W341" t="inlineStr">
        <is>
          <t>1993-09-15</t>
        </is>
      </c>
      <c r="X341" t="inlineStr">
        <is>
          <t>1993-09-15</t>
        </is>
      </c>
      <c r="Y341" t="n">
        <v>268</v>
      </c>
      <c r="Z341" t="n">
        <v>224</v>
      </c>
      <c r="AA341" t="n">
        <v>364</v>
      </c>
      <c r="AB341" t="n">
        <v>1</v>
      </c>
      <c r="AC341" t="n">
        <v>1</v>
      </c>
      <c r="AD341" t="n">
        <v>3</v>
      </c>
      <c r="AE341" t="n">
        <v>4</v>
      </c>
      <c r="AF341" t="n">
        <v>0</v>
      </c>
      <c r="AG341" t="n">
        <v>0</v>
      </c>
      <c r="AH341" t="n">
        <v>2</v>
      </c>
      <c r="AI341" t="n">
        <v>2</v>
      </c>
      <c r="AJ341" t="n">
        <v>2</v>
      </c>
      <c r="AK341" t="n">
        <v>3</v>
      </c>
      <c r="AL341" t="n">
        <v>0</v>
      </c>
      <c r="AM341" t="n">
        <v>0</v>
      </c>
      <c r="AN341" t="n">
        <v>0</v>
      </c>
      <c r="AO341" t="n">
        <v>0</v>
      </c>
      <c r="AP341" t="inlineStr">
        <is>
          <t>No</t>
        </is>
      </c>
      <c r="AQ341" t="inlineStr">
        <is>
          <t>Yes</t>
        </is>
      </c>
      <c r="AR341">
        <f>HYPERLINK("http://catalog.hathitrust.org/Record/002557650","HathiTrust Record")</f>
        <v/>
      </c>
      <c r="AS341">
        <f>HYPERLINK("https://creighton-primo.hosted.exlibrisgroup.com/primo-explore/search?tab=default_tab&amp;search_scope=EVERYTHING&amp;vid=01CRU&amp;lang=en_US&amp;offset=0&amp;query=any,contains,991001485339702656","Catalog Record")</f>
        <v/>
      </c>
      <c r="AT341">
        <f>HYPERLINK("http://www.worldcat.org/oclc/25201933","WorldCat Record")</f>
        <v/>
      </c>
      <c r="AU341" t="inlineStr">
        <is>
          <t>923490853:eng</t>
        </is>
      </c>
      <c r="AV341" t="inlineStr">
        <is>
          <t>25201933</t>
        </is>
      </c>
      <c r="AW341" t="inlineStr">
        <is>
          <t>991001485339702656</t>
        </is>
      </c>
      <c r="AX341" t="inlineStr">
        <is>
          <t>991001485339702656</t>
        </is>
      </c>
      <c r="AY341" t="inlineStr">
        <is>
          <t>2264484470002656</t>
        </is>
      </c>
      <c r="AZ341" t="inlineStr">
        <is>
          <t>BOOK</t>
        </is>
      </c>
      <c r="BB341" t="inlineStr">
        <is>
          <t>9780397512645</t>
        </is>
      </c>
      <c r="BC341" t="inlineStr">
        <is>
          <t>30001002579086</t>
        </is>
      </c>
      <c r="BD341" t="inlineStr">
        <is>
          <t>893643627</t>
        </is>
      </c>
    </row>
    <row r="342">
      <c r="A342" t="inlineStr">
        <is>
          <t>No</t>
        </is>
      </c>
      <c r="B342" t="inlineStr">
        <is>
          <t>QZ 241 O58 1990</t>
        </is>
      </c>
      <c r="C342" t="inlineStr">
        <is>
          <t>0                      QZ 0241000O  58          1990</t>
        </is>
      </c>
      <c r="D342" t="inlineStr">
        <is>
          <t>Oncogenes in cancer diagnosis / volume editors, C.R. Bartram, K. Munk, M. Schwab.</t>
        </is>
      </c>
      <c r="F342" t="inlineStr">
        <is>
          <t>No</t>
        </is>
      </c>
      <c r="G342" t="inlineStr">
        <is>
          <t>1</t>
        </is>
      </c>
      <c r="H342" t="inlineStr">
        <is>
          <t>No</t>
        </is>
      </c>
      <c r="I342" t="inlineStr">
        <is>
          <t>No</t>
        </is>
      </c>
      <c r="J342" t="inlineStr">
        <is>
          <t>0</t>
        </is>
      </c>
      <c r="L342" t="inlineStr">
        <is>
          <t>Basel ; New York : Karger, c1990.</t>
        </is>
      </c>
      <c r="M342" t="inlineStr">
        <is>
          <t>1990</t>
        </is>
      </c>
      <c r="O342" t="inlineStr">
        <is>
          <t>eng</t>
        </is>
      </c>
      <c r="P342" t="inlineStr">
        <is>
          <t xml:space="preserve">sz </t>
        </is>
      </c>
      <c r="Q342" t="inlineStr">
        <is>
          <t>Contributions to oncology = Beiträge zur Onkologie ; v. 39</t>
        </is>
      </c>
      <c r="R342" t="inlineStr">
        <is>
          <t xml:space="preserve">QZ </t>
        </is>
      </c>
      <c r="S342" t="n">
        <v>6</v>
      </c>
      <c r="T342" t="n">
        <v>6</v>
      </c>
      <c r="U342" t="inlineStr">
        <is>
          <t>1998-10-10</t>
        </is>
      </c>
      <c r="V342" t="inlineStr">
        <is>
          <t>1998-10-10</t>
        </is>
      </c>
      <c r="W342" t="inlineStr">
        <is>
          <t>1991-03-16</t>
        </is>
      </c>
      <c r="X342" t="inlineStr">
        <is>
          <t>1991-03-16</t>
        </is>
      </c>
      <c r="Y342" t="n">
        <v>63</v>
      </c>
      <c r="Z342" t="n">
        <v>33</v>
      </c>
      <c r="AA342" t="n">
        <v>46</v>
      </c>
      <c r="AB342" t="n">
        <v>1</v>
      </c>
      <c r="AC342" t="n">
        <v>1</v>
      </c>
      <c r="AD342" t="n">
        <v>1</v>
      </c>
      <c r="AE342" t="n">
        <v>1</v>
      </c>
      <c r="AF342" t="n">
        <v>0</v>
      </c>
      <c r="AG342" t="n">
        <v>0</v>
      </c>
      <c r="AH342" t="n">
        <v>1</v>
      </c>
      <c r="AI342" t="n">
        <v>1</v>
      </c>
      <c r="AJ342" t="n">
        <v>0</v>
      </c>
      <c r="AK342" t="n">
        <v>0</v>
      </c>
      <c r="AL342" t="n">
        <v>0</v>
      </c>
      <c r="AM342" t="n">
        <v>0</v>
      </c>
      <c r="AN342" t="n">
        <v>0</v>
      </c>
      <c r="AO342" t="n">
        <v>0</v>
      </c>
      <c r="AP342" t="inlineStr">
        <is>
          <t>No</t>
        </is>
      </c>
      <c r="AQ342" t="inlineStr">
        <is>
          <t>Yes</t>
        </is>
      </c>
      <c r="AR342">
        <f>HYPERLINK("http://catalog.hathitrust.org/Record/002448283","HathiTrust Record")</f>
        <v/>
      </c>
      <c r="AS342">
        <f>HYPERLINK("https://creighton-primo.hosted.exlibrisgroup.com/primo-explore/search?tab=default_tab&amp;search_scope=EVERYTHING&amp;vid=01CRU&amp;lang=en_US&amp;offset=0&amp;query=any,contains,991000826409702656","Catalog Record")</f>
        <v/>
      </c>
      <c r="AT342">
        <f>HYPERLINK("http://www.worldcat.org/oclc/22891997","WorldCat Record")</f>
        <v/>
      </c>
      <c r="AU342" t="inlineStr">
        <is>
          <t>346670792:eng</t>
        </is>
      </c>
      <c r="AV342" t="inlineStr">
        <is>
          <t>22891997</t>
        </is>
      </c>
      <c r="AW342" t="inlineStr">
        <is>
          <t>991000826409702656</t>
        </is>
      </c>
      <c r="AX342" t="inlineStr">
        <is>
          <t>991000826409702656</t>
        </is>
      </c>
      <c r="AY342" t="inlineStr">
        <is>
          <t>2256066630002656</t>
        </is>
      </c>
      <c r="AZ342" t="inlineStr">
        <is>
          <t>BOOK</t>
        </is>
      </c>
      <c r="BB342" t="inlineStr">
        <is>
          <t>9783805552318</t>
        </is>
      </c>
      <c r="BC342" t="inlineStr">
        <is>
          <t>30001002088906</t>
        </is>
      </c>
      <c r="BD342" t="inlineStr">
        <is>
          <t>893148393</t>
        </is>
      </c>
    </row>
    <row r="343">
      <c r="A343" t="inlineStr">
        <is>
          <t>No</t>
        </is>
      </c>
      <c r="B343" t="inlineStr">
        <is>
          <t>QZ 241 O586 1998</t>
        </is>
      </c>
      <c r="C343" t="inlineStr">
        <is>
          <t>0                      QZ 0241000O  586         1998</t>
        </is>
      </c>
      <c r="D343" t="inlineStr">
        <is>
          <t>Oncologic imaging : a clinical perspective / editors, Claudia G. Berman, Norman J. Brodsky, Robert A. Clark.</t>
        </is>
      </c>
      <c r="F343" t="inlineStr">
        <is>
          <t>No</t>
        </is>
      </c>
      <c r="G343" t="inlineStr">
        <is>
          <t>1</t>
        </is>
      </c>
      <c r="H343" t="inlineStr">
        <is>
          <t>No</t>
        </is>
      </c>
      <c r="I343" t="inlineStr">
        <is>
          <t>No</t>
        </is>
      </c>
      <c r="J343" t="inlineStr">
        <is>
          <t>0</t>
        </is>
      </c>
      <c r="L343" t="inlineStr">
        <is>
          <t>New York : McGraw-Hill, Health Professions Division, c1998.</t>
        </is>
      </c>
      <c r="M343" t="inlineStr">
        <is>
          <t>1998</t>
        </is>
      </c>
      <c r="O343" t="inlineStr">
        <is>
          <t>eng</t>
        </is>
      </c>
      <c r="P343" t="inlineStr">
        <is>
          <t>nyu</t>
        </is>
      </c>
      <c r="R343" t="inlineStr">
        <is>
          <t xml:space="preserve">QZ </t>
        </is>
      </c>
      <c r="S343" t="n">
        <v>2</v>
      </c>
      <c r="T343" t="n">
        <v>2</v>
      </c>
      <c r="U343" t="inlineStr">
        <is>
          <t>2009-05-07</t>
        </is>
      </c>
      <c r="V343" t="inlineStr">
        <is>
          <t>2009-05-07</t>
        </is>
      </c>
      <c r="W343" t="inlineStr">
        <is>
          <t>1997-11-19</t>
        </is>
      </c>
      <c r="X343" t="inlineStr">
        <is>
          <t>1997-11-19</t>
        </is>
      </c>
      <c r="Y343" t="n">
        <v>138</v>
      </c>
      <c r="Z343" t="n">
        <v>103</v>
      </c>
      <c r="AA343" t="n">
        <v>110</v>
      </c>
      <c r="AB343" t="n">
        <v>1</v>
      </c>
      <c r="AC343" t="n">
        <v>1</v>
      </c>
      <c r="AD343" t="n">
        <v>1</v>
      </c>
      <c r="AE343" t="n">
        <v>1</v>
      </c>
      <c r="AF343" t="n">
        <v>0</v>
      </c>
      <c r="AG343" t="n">
        <v>0</v>
      </c>
      <c r="AH343" t="n">
        <v>1</v>
      </c>
      <c r="AI343" t="n">
        <v>1</v>
      </c>
      <c r="AJ343" t="n">
        <v>0</v>
      </c>
      <c r="AK343" t="n">
        <v>0</v>
      </c>
      <c r="AL343" t="n">
        <v>0</v>
      </c>
      <c r="AM343" t="n">
        <v>0</v>
      </c>
      <c r="AN343" t="n">
        <v>0</v>
      </c>
      <c r="AO343" t="n">
        <v>0</v>
      </c>
      <c r="AP343" t="inlineStr">
        <is>
          <t>No</t>
        </is>
      </c>
      <c r="AQ343" t="inlineStr">
        <is>
          <t>Yes</t>
        </is>
      </c>
      <c r="AR343">
        <f>HYPERLINK("http://catalog.hathitrust.org/Record/003186214","HathiTrust Record")</f>
        <v/>
      </c>
      <c r="AS343">
        <f>HYPERLINK("https://creighton-primo.hosted.exlibrisgroup.com/primo-explore/search?tab=default_tab&amp;search_scope=EVERYTHING&amp;vid=01CRU&amp;lang=en_US&amp;offset=0&amp;query=any,contains,991001202809702656","Catalog Record")</f>
        <v/>
      </c>
      <c r="AT343">
        <f>HYPERLINK("http://www.worldcat.org/oclc/35110313","WorldCat Record")</f>
        <v/>
      </c>
      <c r="AU343" t="inlineStr">
        <is>
          <t>836992071:eng</t>
        </is>
      </c>
      <c r="AV343" t="inlineStr">
        <is>
          <t>35110313</t>
        </is>
      </c>
      <c r="AW343" t="inlineStr">
        <is>
          <t>991001202809702656</t>
        </is>
      </c>
      <c r="AX343" t="inlineStr">
        <is>
          <t>991001202809702656</t>
        </is>
      </c>
      <c r="AY343" t="inlineStr">
        <is>
          <t>2269975240002656</t>
        </is>
      </c>
      <c r="AZ343" t="inlineStr">
        <is>
          <t>BOOK</t>
        </is>
      </c>
      <c r="BB343" t="inlineStr">
        <is>
          <t>9780070051140</t>
        </is>
      </c>
      <c r="BC343" t="inlineStr">
        <is>
          <t>30001003657808</t>
        </is>
      </c>
      <c r="BD343" t="inlineStr">
        <is>
          <t>893374341</t>
        </is>
      </c>
    </row>
    <row r="344">
      <c r="A344" t="inlineStr">
        <is>
          <t>No</t>
        </is>
      </c>
      <c r="B344" t="inlineStr">
        <is>
          <t>QZ 241 P4766 2005</t>
        </is>
      </c>
      <c r="C344" t="inlineStr">
        <is>
          <t>0                      QZ 0241000P  4766        2005</t>
        </is>
      </c>
      <c r="D344" t="inlineStr">
        <is>
          <t>PET-CT : a case based approach / Peter S. Conti, Daniel K. Cham, editors ; with a foreword by Henry N. Wagner.</t>
        </is>
      </c>
      <c r="F344" t="inlineStr">
        <is>
          <t>No</t>
        </is>
      </c>
      <c r="G344" t="inlineStr">
        <is>
          <t>1</t>
        </is>
      </c>
      <c r="H344" t="inlineStr">
        <is>
          <t>No</t>
        </is>
      </c>
      <c r="I344" t="inlineStr">
        <is>
          <t>No</t>
        </is>
      </c>
      <c r="J344" t="inlineStr">
        <is>
          <t>2</t>
        </is>
      </c>
      <c r="L344" t="inlineStr">
        <is>
          <t>New York, NY : Springer, c2005.</t>
        </is>
      </c>
      <c r="M344" t="inlineStr">
        <is>
          <t>2005</t>
        </is>
      </c>
      <c r="O344" t="inlineStr">
        <is>
          <t>eng</t>
        </is>
      </c>
      <c r="P344" t="inlineStr">
        <is>
          <t>nyu</t>
        </is>
      </c>
      <c r="R344" t="inlineStr">
        <is>
          <t xml:space="preserve">QZ </t>
        </is>
      </c>
      <c r="S344" t="n">
        <v>0</v>
      </c>
      <c r="T344" t="n">
        <v>0</v>
      </c>
      <c r="U344" t="inlineStr">
        <is>
          <t>2007-02-09</t>
        </is>
      </c>
      <c r="V344" t="inlineStr">
        <is>
          <t>2007-02-09</t>
        </is>
      </c>
      <c r="W344" t="inlineStr">
        <is>
          <t>2007-02-06</t>
        </is>
      </c>
      <c r="X344" t="inlineStr">
        <is>
          <t>2007-02-06</t>
        </is>
      </c>
      <c r="Y344" t="n">
        <v>90</v>
      </c>
      <c r="Z344" t="n">
        <v>52</v>
      </c>
      <c r="AA344" t="n">
        <v>334</v>
      </c>
      <c r="AB344" t="n">
        <v>1</v>
      </c>
      <c r="AC344" t="n">
        <v>3</v>
      </c>
      <c r="AD344" t="n">
        <v>1</v>
      </c>
      <c r="AE344" t="n">
        <v>11</v>
      </c>
      <c r="AF344" t="n">
        <v>1</v>
      </c>
      <c r="AG344" t="n">
        <v>8</v>
      </c>
      <c r="AH344" t="n">
        <v>0</v>
      </c>
      <c r="AI344" t="n">
        <v>1</v>
      </c>
      <c r="AJ344" t="n">
        <v>0</v>
      </c>
      <c r="AK344" t="n">
        <v>5</v>
      </c>
      <c r="AL344" t="n">
        <v>0</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HYPERLINK("https://creighton-primo.hosted.exlibrisgroup.com/primo-explore/search?tab=default_tab&amp;search_scope=EVERYTHING&amp;vid=01CRU&amp;lang=en_US&amp;offset=0&amp;query=any,contains,991000593229702656","Catalog Record")</f>
        <v/>
      </c>
      <c r="AT344">
        <f>HYPERLINK("http://www.worldcat.org/oclc/55228687","WorldCat Record")</f>
        <v/>
      </c>
      <c r="AU344" t="inlineStr">
        <is>
          <t>4922711001:eng</t>
        </is>
      </c>
      <c r="AV344" t="inlineStr">
        <is>
          <t>55228687</t>
        </is>
      </c>
      <c r="AW344" t="inlineStr">
        <is>
          <t>991000593229702656</t>
        </is>
      </c>
      <c r="AX344" t="inlineStr">
        <is>
          <t>991000593229702656</t>
        </is>
      </c>
      <c r="AY344" t="inlineStr">
        <is>
          <t>2270463010002656</t>
        </is>
      </c>
      <c r="AZ344" t="inlineStr">
        <is>
          <t>BOOK</t>
        </is>
      </c>
      <c r="BB344" t="inlineStr">
        <is>
          <t>9780387208589</t>
        </is>
      </c>
      <c r="BC344" t="inlineStr">
        <is>
          <t>30001005169976</t>
        </is>
      </c>
      <c r="BD344" t="inlineStr">
        <is>
          <t>893647277</t>
        </is>
      </c>
    </row>
    <row r="345">
      <c r="A345" t="inlineStr">
        <is>
          <t>No</t>
        </is>
      </c>
      <c r="B345" t="inlineStr">
        <is>
          <t>QZ266 A159p 2000</t>
        </is>
      </c>
      <c r="C345" t="inlineStr">
        <is>
          <t>0                      QZ 0266000A  159p        2000</t>
        </is>
      </c>
      <c r="D345" t="inlineStr">
        <is>
          <t>A physician's guide to pain and symptom management in cancer patients / Janet L. Abrahm.</t>
        </is>
      </c>
      <c r="F345" t="inlineStr">
        <is>
          <t>No</t>
        </is>
      </c>
      <c r="G345" t="inlineStr">
        <is>
          <t>1</t>
        </is>
      </c>
      <c r="H345" t="inlineStr">
        <is>
          <t>No</t>
        </is>
      </c>
      <c r="I345" t="inlineStr">
        <is>
          <t>No</t>
        </is>
      </c>
      <c r="J345" t="inlineStr">
        <is>
          <t>1</t>
        </is>
      </c>
      <c r="K345" t="inlineStr">
        <is>
          <t>Abrahm, J. (Janet)</t>
        </is>
      </c>
      <c r="L345" t="inlineStr">
        <is>
          <t>Baltimore : Johns Hopkins University Press, 2000.</t>
        </is>
      </c>
      <c r="M345" t="inlineStr">
        <is>
          <t>2000</t>
        </is>
      </c>
      <c r="O345" t="inlineStr">
        <is>
          <t>eng</t>
        </is>
      </c>
      <c r="P345" t="inlineStr">
        <is>
          <t>mdu</t>
        </is>
      </c>
      <c r="R345" t="inlineStr">
        <is>
          <t xml:space="preserve">QZ </t>
        </is>
      </c>
      <c r="S345" t="n">
        <v>1</v>
      </c>
      <c r="T345" t="n">
        <v>1</v>
      </c>
      <c r="U345" t="inlineStr">
        <is>
          <t>2004-11-19</t>
        </is>
      </c>
      <c r="V345" t="inlineStr">
        <is>
          <t>2004-11-19</t>
        </is>
      </c>
      <c r="W345" t="inlineStr">
        <is>
          <t>2004-11-19</t>
        </is>
      </c>
      <c r="X345" t="inlineStr">
        <is>
          <t>2004-11-19</t>
        </is>
      </c>
      <c r="Y345" t="n">
        <v>209</v>
      </c>
      <c r="Z345" t="n">
        <v>176</v>
      </c>
      <c r="AA345" t="n">
        <v>1111</v>
      </c>
      <c r="AB345" t="n">
        <v>1</v>
      </c>
      <c r="AC345" t="n">
        <v>15</v>
      </c>
      <c r="AD345" t="n">
        <v>6</v>
      </c>
      <c r="AE345" t="n">
        <v>45</v>
      </c>
      <c r="AF345" t="n">
        <v>1</v>
      </c>
      <c r="AG345" t="n">
        <v>12</v>
      </c>
      <c r="AH345" t="n">
        <v>3</v>
      </c>
      <c r="AI345" t="n">
        <v>11</v>
      </c>
      <c r="AJ345" t="n">
        <v>3</v>
      </c>
      <c r="AK345" t="n">
        <v>14</v>
      </c>
      <c r="AL345" t="n">
        <v>0</v>
      </c>
      <c r="AM345" t="n">
        <v>13</v>
      </c>
      <c r="AN345" t="n">
        <v>0</v>
      </c>
      <c r="AO345" t="n">
        <v>2</v>
      </c>
      <c r="AP345" t="inlineStr">
        <is>
          <t>No</t>
        </is>
      </c>
      <c r="AQ345" t="inlineStr">
        <is>
          <t>Yes</t>
        </is>
      </c>
      <c r="AR345">
        <f>HYPERLINK("http://catalog.hathitrust.org/Record/003499586","HathiTrust Record")</f>
        <v/>
      </c>
      <c r="AS345">
        <f>HYPERLINK("https://creighton-primo.hosted.exlibrisgroup.com/primo-explore/search?tab=default_tab&amp;search_scope=EVERYTHING&amp;vid=01CRU&amp;lang=en_US&amp;offset=0&amp;query=any,contains,991000413849702656","Catalog Record")</f>
        <v/>
      </c>
      <c r="AT345">
        <f>HYPERLINK("http://www.worldcat.org/oclc/41646973","WorldCat Record")</f>
        <v/>
      </c>
      <c r="AU345" t="inlineStr">
        <is>
          <t>102197:eng</t>
        </is>
      </c>
      <c r="AV345" t="inlineStr">
        <is>
          <t>41646973</t>
        </is>
      </c>
      <c r="AW345" t="inlineStr">
        <is>
          <t>991000413849702656</t>
        </is>
      </c>
      <c r="AX345" t="inlineStr">
        <is>
          <t>991000413849702656</t>
        </is>
      </c>
      <c r="AY345" t="inlineStr">
        <is>
          <t>2261666840002656</t>
        </is>
      </c>
      <c r="AZ345" t="inlineStr">
        <is>
          <t>BOOK</t>
        </is>
      </c>
      <c r="BB345" t="inlineStr">
        <is>
          <t>9780801862458</t>
        </is>
      </c>
      <c r="BC345" t="inlineStr">
        <is>
          <t>30001004925642</t>
        </is>
      </c>
      <c r="BD345" t="inlineStr">
        <is>
          <t>893649822</t>
        </is>
      </c>
    </row>
    <row r="346">
      <c r="A346" t="inlineStr">
        <is>
          <t>No</t>
        </is>
      </c>
      <c r="B346" t="inlineStr">
        <is>
          <t>QZ 266 B6145 1995</t>
        </is>
      </c>
      <c r="C346" t="inlineStr">
        <is>
          <t>0                      QZ 0266000B  6145        1995</t>
        </is>
      </c>
      <c r="D346" t="inlineStr">
        <is>
          <t>Biologic therapy of cancer / edited by Vincent T. DeVita, Jr., Samuel Hellman, Steven A. Rosenberg ; with 115 contributors.</t>
        </is>
      </c>
      <c r="F346" t="inlineStr">
        <is>
          <t>No</t>
        </is>
      </c>
      <c r="G346" t="inlineStr">
        <is>
          <t>1</t>
        </is>
      </c>
      <c r="H346" t="inlineStr">
        <is>
          <t>No</t>
        </is>
      </c>
      <c r="I346" t="inlineStr">
        <is>
          <t>No</t>
        </is>
      </c>
      <c r="J346" t="inlineStr">
        <is>
          <t>0</t>
        </is>
      </c>
      <c r="L346" t="inlineStr">
        <is>
          <t>Philadelphia : Lippincott, c1995.</t>
        </is>
      </c>
      <c r="M346" t="inlineStr">
        <is>
          <t>1995</t>
        </is>
      </c>
      <c r="N346" t="inlineStr">
        <is>
          <t>2nd ed.</t>
        </is>
      </c>
      <c r="O346" t="inlineStr">
        <is>
          <t>eng</t>
        </is>
      </c>
      <c r="P346" t="inlineStr">
        <is>
          <t>pau</t>
        </is>
      </c>
      <c r="R346" t="inlineStr">
        <is>
          <t xml:space="preserve">QZ </t>
        </is>
      </c>
      <c r="S346" t="n">
        <v>5</v>
      </c>
      <c r="T346" t="n">
        <v>5</v>
      </c>
      <c r="U346" t="inlineStr">
        <is>
          <t>2001-05-07</t>
        </is>
      </c>
      <c r="V346" t="inlineStr">
        <is>
          <t>2001-05-07</t>
        </is>
      </c>
      <c r="W346" t="inlineStr">
        <is>
          <t>1995-08-25</t>
        </is>
      </c>
      <c r="X346" t="inlineStr">
        <is>
          <t>1995-08-25</t>
        </is>
      </c>
      <c r="Y346" t="n">
        <v>178</v>
      </c>
      <c r="Z346" t="n">
        <v>127</v>
      </c>
      <c r="AA346" t="n">
        <v>184</v>
      </c>
      <c r="AB346" t="n">
        <v>1</v>
      </c>
      <c r="AC346" t="n">
        <v>1</v>
      </c>
      <c r="AD346" t="n">
        <v>2</v>
      </c>
      <c r="AE346" t="n">
        <v>3</v>
      </c>
      <c r="AF346" t="n">
        <v>0</v>
      </c>
      <c r="AG346" t="n">
        <v>0</v>
      </c>
      <c r="AH346" t="n">
        <v>1</v>
      </c>
      <c r="AI346" t="n">
        <v>1</v>
      </c>
      <c r="AJ346" t="n">
        <v>2</v>
      </c>
      <c r="AK346" t="n">
        <v>3</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HYPERLINK("https://creighton-primo.hosted.exlibrisgroup.com/primo-explore/search?tab=default_tab&amp;search_scope=EVERYTHING&amp;vid=01CRU&amp;lang=en_US&amp;offset=0&amp;query=any,contains,991001405199702656","Catalog Record")</f>
        <v/>
      </c>
      <c r="AT346">
        <f>HYPERLINK("http://www.worldcat.org/oclc/31378441","WorldCat Record")</f>
        <v/>
      </c>
      <c r="AU346" t="inlineStr">
        <is>
          <t>350357848:eng</t>
        </is>
      </c>
      <c r="AV346" t="inlineStr">
        <is>
          <t>31378441</t>
        </is>
      </c>
      <c r="AW346" t="inlineStr">
        <is>
          <t>991001405199702656</t>
        </is>
      </c>
      <c r="AX346" t="inlineStr">
        <is>
          <t>991001405199702656</t>
        </is>
      </c>
      <c r="AY346" t="inlineStr">
        <is>
          <t>2255501450002656</t>
        </is>
      </c>
      <c r="AZ346" t="inlineStr">
        <is>
          <t>BOOK</t>
        </is>
      </c>
      <c r="BB346" t="inlineStr">
        <is>
          <t>9780397514168</t>
        </is>
      </c>
      <c r="BC346" t="inlineStr">
        <is>
          <t>30001003149814</t>
        </is>
      </c>
      <c r="BD346" t="inlineStr">
        <is>
          <t>893821175</t>
        </is>
      </c>
    </row>
    <row r="347">
      <c r="A347" t="inlineStr">
        <is>
          <t>No</t>
        </is>
      </c>
      <c r="B347" t="inlineStr">
        <is>
          <t>QZ 266 B6145 2000</t>
        </is>
      </c>
      <c r="C347" t="inlineStr">
        <is>
          <t>0                      QZ 0266000B  6145        2000</t>
        </is>
      </c>
      <c r="D347" t="inlineStr">
        <is>
          <t>Biologic therapy of cancer / edited by Steven A. Rosenberg</t>
        </is>
      </c>
      <c r="F347" t="inlineStr">
        <is>
          <t>No</t>
        </is>
      </c>
      <c r="G347" t="inlineStr">
        <is>
          <t>1</t>
        </is>
      </c>
      <c r="H347" t="inlineStr">
        <is>
          <t>No</t>
        </is>
      </c>
      <c r="I347" t="inlineStr">
        <is>
          <t>No</t>
        </is>
      </c>
      <c r="J347" t="inlineStr">
        <is>
          <t>0</t>
        </is>
      </c>
      <c r="L347" t="inlineStr">
        <is>
          <t>Philadelphia, PA : Lippincott Williams &amp; Wilkins, 2000.</t>
        </is>
      </c>
      <c r="M347" t="inlineStr">
        <is>
          <t>2000</t>
        </is>
      </c>
      <c r="N347" t="inlineStr">
        <is>
          <t>3rd ed.</t>
        </is>
      </c>
      <c r="O347" t="inlineStr">
        <is>
          <t>eng</t>
        </is>
      </c>
      <c r="P347" t="inlineStr">
        <is>
          <t>pau</t>
        </is>
      </c>
      <c r="R347" t="inlineStr">
        <is>
          <t xml:space="preserve">QZ </t>
        </is>
      </c>
      <c r="S347" t="n">
        <v>0</v>
      </c>
      <c r="T347" t="n">
        <v>0</v>
      </c>
      <c r="U347" t="inlineStr">
        <is>
          <t>2003-12-10</t>
        </is>
      </c>
      <c r="V347" t="inlineStr">
        <is>
          <t>2003-12-10</t>
        </is>
      </c>
      <c r="W347" t="inlineStr">
        <is>
          <t>2003-12-10</t>
        </is>
      </c>
      <c r="X347" t="inlineStr">
        <is>
          <t>2003-12-10</t>
        </is>
      </c>
      <c r="Y347" t="n">
        <v>175</v>
      </c>
      <c r="Z347" t="n">
        <v>117</v>
      </c>
      <c r="AA347" t="n">
        <v>489</v>
      </c>
      <c r="AB347" t="n">
        <v>1</v>
      </c>
      <c r="AC347" t="n">
        <v>5</v>
      </c>
      <c r="AD347" t="n">
        <v>2</v>
      </c>
      <c r="AE347" t="n">
        <v>21</v>
      </c>
      <c r="AF347" t="n">
        <v>1</v>
      </c>
      <c r="AG347" t="n">
        <v>7</v>
      </c>
      <c r="AH347" t="n">
        <v>1</v>
      </c>
      <c r="AI347" t="n">
        <v>6</v>
      </c>
      <c r="AJ347" t="n">
        <v>0</v>
      </c>
      <c r="AK347" t="n">
        <v>5</v>
      </c>
      <c r="AL347" t="n">
        <v>0</v>
      </c>
      <c r="AM347" t="n">
        <v>4</v>
      </c>
      <c r="AN347" t="n">
        <v>0</v>
      </c>
      <c r="AO347" t="n">
        <v>1</v>
      </c>
      <c r="AP347" t="inlineStr">
        <is>
          <t>No</t>
        </is>
      </c>
      <c r="AQ347" t="inlineStr">
        <is>
          <t>No</t>
        </is>
      </c>
      <c r="AS347">
        <f>HYPERLINK("https://creighton-primo.hosted.exlibrisgroup.com/primo-explore/search?tab=default_tab&amp;search_scope=EVERYTHING&amp;vid=01CRU&amp;lang=en_US&amp;offset=0&amp;query=any,contains,991000361419702656","Catalog Record")</f>
        <v/>
      </c>
      <c r="AT347">
        <f>HYPERLINK("http://www.worldcat.org/oclc/44603547","WorldCat Record")</f>
        <v/>
      </c>
      <c r="AU347" t="inlineStr">
        <is>
          <t>33917284:eng</t>
        </is>
      </c>
      <c r="AV347" t="inlineStr">
        <is>
          <t>44603547</t>
        </is>
      </c>
      <c r="AW347" t="inlineStr">
        <is>
          <t>991000361419702656</t>
        </is>
      </c>
      <c r="AX347" t="inlineStr">
        <is>
          <t>991000361419702656</t>
        </is>
      </c>
      <c r="AY347" t="inlineStr">
        <is>
          <t>2254957430002656</t>
        </is>
      </c>
      <c r="AZ347" t="inlineStr">
        <is>
          <t>BOOK</t>
        </is>
      </c>
      <c r="BB347" t="inlineStr">
        <is>
          <t>9780781722728</t>
        </is>
      </c>
      <c r="BC347" t="inlineStr">
        <is>
          <t>30001004507705</t>
        </is>
      </c>
      <c r="BD347" t="inlineStr">
        <is>
          <t>893150946</t>
        </is>
      </c>
    </row>
    <row r="348">
      <c r="A348" t="inlineStr">
        <is>
          <t>No</t>
        </is>
      </c>
      <c r="B348" t="inlineStr">
        <is>
          <t>QZ266 C2148 2003</t>
        </is>
      </c>
      <c r="C348" t="inlineStr">
        <is>
          <t>0                      QZ 0266000C  2148        2003</t>
        </is>
      </c>
      <c r="D348" t="inlineStr">
        <is>
          <t>Cancer in primary care / edited by Martin Gore and Douglas Russell.</t>
        </is>
      </c>
      <c r="F348" t="inlineStr">
        <is>
          <t>No</t>
        </is>
      </c>
      <c r="G348" t="inlineStr">
        <is>
          <t>1</t>
        </is>
      </c>
      <c r="H348" t="inlineStr">
        <is>
          <t>No</t>
        </is>
      </c>
      <c r="I348" t="inlineStr">
        <is>
          <t>No</t>
        </is>
      </c>
      <c r="J348" t="inlineStr">
        <is>
          <t>0</t>
        </is>
      </c>
      <c r="L348" t="inlineStr">
        <is>
          <t>London ; New York : Martin Dunitz, 2003.</t>
        </is>
      </c>
      <c r="M348" t="inlineStr">
        <is>
          <t>2003</t>
        </is>
      </c>
      <c r="O348" t="inlineStr">
        <is>
          <t>eng</t>
        </is>
      </c>
      <c r="P348" t="inlineStr">
        <is>
          <t>enk</t>
        </is>
      </c>
      <c r="R348" t="inlineStr">
        <is>
          <t xml:space="preserve">QZ </t>
        </is>
      </c>
      <c r="S348" t="n">
        <v>0</v>
      </c>
      <c r="T348" t="n">
        <v>0</v>
      </c>
      <c r="U348" t="inlineStr">
        <is>
          <t>2005-09-30</t>
        </is>
      </c>
      <c r="V348" t="inlineStr">
        <is>
          <t>2005-09-30</t>
        </is>
      </c>
      <c r="W348" t="inlineStr">
        <is>
          <t>2005-09-29</t>
        </is>
      </c>
      <c r="X348" t="inlineStr">
        <is>
          <t>2005-09-29</t>
        </is>
      </c>
      <c r="Y348" t="n">
        <v>90</v>
      </c>
      <c r="Z348" t="n">
        <v>46</v>
      </c>
      <c r="AA348" t="n">
        <v>51</v>
      </c>
      <c r="AB348" t="n">
        <v>1</v>
      </c>
      <c r="AC348" t="n">
        <v>1</v>
      </c>
      <c r="AD348" t="n">
        <v>1</v>
      </c>
      <c r="AE348" t="n">
        <v>1</v>
      </c>
      <c r="AF348" t="n">
        <v>1</v>
      </c>
      <c r="AG348" t="n">
        <v>1</v>
      </c>
      <c r="AH348" t="n">
        <v>0</v>
      </c>
      <c r="AI348" t="n">
        <v>0</v>
      </c>
      <c r="AJ348" t="n">
        <v>0</v>
      </c>
      <c r="AK348" t="n">
        <v>0</v>
      </c>
      <c r="AL348" t="n">
        <v>0</v>
      </c>
      <c r="AM348" t="n">
        <v>0</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HYPERLINK("https://creighton-primo.hosted.exlibrisgroup.com/primo-explore/search?tab=default_tab&amp;search_scope=EVERYTHING&amp;vid=01CRU&amp;lang=en_US&amp;offset=0&amp;query=any,contains,991000445269702656","Catalog Record")</f>
        <v/>
      </c>
      <c r="AT348">
        <f>HYPERLINK("http://www.worldcat.org/oclc/48468892","WorldCat Record")</f>
        <v/>
      </c>
      <c r="AU348" t="inlineStr">
        <is>
          <t>364530786:eng</t>
        </is>
      </c>
      <c r="AV348" t="inlineStr">
        <is>
          <t>48468892</t>
        </is>
      </c>
      <c r="AW348" t="inlineStr">
        <is>
          <t>991000445269702656</t>
        </is>
      </c>
      <c r="AX348" t="inlineStr">
        <is>
          <t>991000445269702656</t>
        </is>
      </c>
      <c r="AY348" t="inlineStr">
        <is>
          <t>2265470570002656</t>
        </is>
      </c>
      <c r="AZ348" t="inlineStr">
        <is>
          <t>BOOK</t>
        </is>
      </c>
      <c r="BB348" t="inlineStr">
        <is>
          <t>9781901865264</t>
        </is>
      </c>
      <c r="BC348" t="inlineStr">
        <is>
          <t>30001004913697</t>
        </is>
      </c>
      <c r="BD348" t="inlineStr">
        <is>
          <t>893644437</t>
        </is>
      </c>
    </row>
    <row r="349">
      <c r="A349" t="inlineStr">
        <is>
          <t>No</t>
        </is>
      </c>
      <c r="B349" t="inlineStr">
        <is>
          <t>QZ 266 C2162 1989</t>
        </is>
      </c>
      <c r="C349" t="inlineStr">
        <is>
          <t>0                      QZ 0266000C  2162        1989</t>
        </is>
      </c>
      <c r="D349" t="inlineStr">
        <is>
          <t>Cancer pain / edited by Stephen E. Abram.</t>
        </is>
      </c>
      <c r="F349" t="inlineStr">
        <is>
          <t>No</t>
        </is>
      </c>
      <c r="G349" t="inlineStr">
        <is>
          <t>1</t>
        </is>
      </c>
      <c r="H349" t="inlineStr">
        <is>
          <t>No</t>
        </is>
      </c>
      <c r="I349" t="inlineStr">
        <is>
          <t>No</t>
        </is>
      </c>
      <c r="J349" t="inlineStr">
        <is>
          <t>0</t>
        </is>
      </c>
      <c r="L349" t="inlineStr">
        <is>
          <t>Boston : Kluwer Academic Publishers, c1989.</t>
        </is>
      </c>
      <c r="M349" t="inlineStr">
        <is>
          <t>1989</t>
        </is>
      </c>
      <c r="O349" t="inlineStr">
        <is>
          <t>eng</t>
        </is>
      </c>
      <c r="P349" t="inlineStr">
        <is>
          <t>xxu</t>
        </is>
      </c>
      <c r="Q349" t="inlineStr">
        <is>
          <t>Current management of pain ; 3</t>
        </is>
      </c>
      <c r="R349" t="inlineStr">
        <is>
          <t xml:space="preserve">QZ </t>
        </is>
      </c>
      <c r="S349" t="n">
        <v>10</v>
      </c>
      <c r="T349" t="n">
        <v>10</v>
      </c>
      <c r="U349" t="inlineStr">
        <is>
          <t>1999-10-11</t>
        </is>
      </c>
      <c r="V349" t="inlineStr">
        <is>
          <t>1999-10-11</t>
        </is>
      </c>
      <c r="W349" t="inlineStr">
        <is>
          <t>1989-05-27</t>
        </is>
      </c>
      <c r="X349" t="inlineStr">
        <is>
          <t>1989-05-27</t>
        </is>
      </c>
      <c r="Y349" t="n">
        <v>32</v>
      </c>
      <c r="Z349" t="n">
        <v>23</v>
      </c>
      <c r="AA349" t="n">
        <v>95</v>
      </c>
      <c r="AB349" t="n">
        <v>1</v>
      </c>
      <c r="AC349" t="n">
        <v>1</v>
      </c>
      <c r="AD349" t="n">
        <v>1</v>
      </c>
      <c r="AE349" t="n">
        <v>3</v>
      </c>
      <c r="AF349" t="n">
        <v>0</v>
      </c>
      <c r="AG349" t="n">
        <v>1</v>
      </c>
      <c r="AH349" t="n">
        <v>1</v>
      </c>
      <c r="AI349" t="n">
        <v>2</v>
      </c>
      <c r="AJ349" t="n">
        <v>0</v>
      </c>
      <c r="AK349" t="n">
        <v>1</v>
      </c>
      <c r="AL349" t="n">
        <v>0</v>
      </c>
      <c r="AM349" t="n">
        <v>0</v>
      </c>
      <c r="AN349" t="n">
        <v>0</v>
      </c>
      <c r="AO349" t="n">
        <v>0</v>
      </c>
      <c r="AP349" t="inlineStr">
        <is>
          <t>No</t>
        </is>
      </c>
      <c r="AQ349" t="inlineStr">
        <is>
          <t>Yes</t>
        </is>
      </c>
      <c r="AR349">
        <f>HYPERLINK("http://catalog.hathitrust.org/Record/001090519","HathiTrust Record")</f>
        <v/>
      </c>
      <c r="AS349">
        <f>HYPERLINK("https://creighton-primo.hosted.exlibrisgroup.com/primo-explore/search?tab=default_tab&amp;search_scope=EVERYTHING&amp;vid=01CRU&amp;lang=en_US&amp;offset=0&amp;query=any,contains,991001247339702656","Catalog Record")</f>
        <v/>
      </c>
      <c r="AT349">
        <f>HYPERLINK("http://www.worldcat.org/oclc/18019922","WorldCat Record")</f>
        <v/>
      </c>
      <c r="AU349" t="inlineStr">
        <is>
          <t>3856091892:eng</t>
        </is>
      </c>
      <c r="AV349" t="inlineStr">
        <is>
          <t>18019922</t>
        </is>
      </c>
      <c r="AW349" t="inlineStr">
        <is>
          <t>991001247339702656</t>
        </is>
      </c>
      <c r="AX349" t="inlineStr">
        <is>
          <t>991001247339702656</t>
        </is>
      </c>
      <c r="AY349" t="inlineStr">
        <is>
          <t>2255742170002656</t>
        </is>
      </c>
      <c r="AZ349" t="inlineStr">
        <is>
          <t>BOOK</t>
        </is>
      </c>
      <c r="BB349" t="inlineStr">
        <is>
          <t>9780898383898</t>
        </is>
      </c>
      <c r="BC349" t="inlineStr">
        <is>
          <t>30001001677790</t>
        </is>
      </c>
      <c r="BD349" t="inlineStr">
        <is>
          <t>893377158</t>
        </is>
      </c>
    </row>
    <row r="350">
      <c r="A350" t="inlineStr">
        <is>
          <t>No</t>
        </is>
      </c>
      <c r="B350" t="inlineStr">
        <is>
          <t>QZ 266 C21622 2003</t>
        </is>
      </c>
      <c r="C350" t="inlineStr">
        <is>
          <t>0                      QZ 0266000C  21622       2003</t>
        </is>
      </c>
      <c r="D350" t="inlineStr">
        <is>
          <t>Cancer pain : assessment and management / edited by Eduardo D. Bruera, Russell K. Portenoy.</t>
        </is>
      </c>
      <c r="F350" t="inlineStr">
        <is>
          <t>No</t>
        </is>
      </c>
      <c r="G350" t="inlineStr">
        <is>
          <t>1</t>
        </is>
      </c>
      <c r="H350" t="inlineStr">
        <is>
          <t>No</t>
        </is>
      </c>
      <c r="I350" t="inlineStr">
        <is>
          <t>No</t>
        </is>
      </c>
      <c r="J350" t="inlineStr">
        <is>
          <t>0</t>
        </is>
      </c>
      <c r="L350" t="inlineStr">
        <is>
          <t>Cambridge, UK ; New York, N.Y. : Cambridge University Press, 2003.</t>
        </is>
      </c>
      <c r="M350" t="inlineStr">
        <is>
          <t>2003</t>
        </is>
      </c>
      <c r="O350" t="inlineStr">
        <is>
          <t>eng</t>
        </is>
      </c>
      <c r="P350" t="inlineStr">
        <is>
          <t>enk</t>
        </is>
      </c>
      <c r="R350" t="inlineStr">
        <is>
          <t xml:space="preserve">QZ </t>
        </is>
      </c>
      <c r="S350" t="n">
        <v>0</v>
      </c>
      <c r="T350" t="n">
        <v>0</v>
      </c>
      <c r="U350" t="inlineStr">
        <is>
          <t>2004-09-17</t>
        </is>
      </c>
      <c r="V350" t="inlineStr">
        <is>
          <t>2004-09-17</t>
        </is>
      </c>
      <c r="W350" t="inlineStr">
        <is>
          <t>2004-09-16</t>
        </is>
      </c>
      <c r="X350" t="inlineStr">
        <is>
          <t>2004-09-16</t>
        </is>
      </c>
      <c r="Y350" t="n">
        <v>197</v>
      </c>
      <c r="Z350" t="n">
        <v>124</v>
      </c>
      <c r="AA350" t="n">
        <v>879</v>
      </c>
      <c r="AB350" t="n">
        <v>1</v>
      </c>
      <c r="AC350" t="n">
        <v>19</v>
      </c>
      <c r="AD350" t="n">
        <v>6</v>
      </c>
      <c r="AE350" t="n">
        <v>36</v>
      </c>
      <c r="AF350" t="n">
        <v>2</v>
      </c>
      <c r="AG350" t="n">
        <v>11</v>
      </c>
      <c r="AH350" t="n">
        <v>2</v>
      </c>
      <c r="AI350" t="n">
        <v>7</v>
      </c>
      <c r="AJ350" t="n">
        <v>3</v>
      </c>
      <c r="AK350" t="n">
        <v>8</v>
      </c>
      <c r="AL350" t="n">
        <v>0</v>
      </c>
      <c r="AM350" t="n">
        <v>12</v>
      </c>
      <c r="AN350" t="n">
        <v>0</v>
      </c>
      <c r="AO350" t="n">
        <v>1</v>
      </c>
      <c r="AP350" t="inlineStr">
        <is>
          <t>No</t>
        </is>
      </c>
      <c r="AQ350" t="inlineStr">
        <is>
          <t>No</t>
        </is>
      </c>
      <c r="AS350">
        <f>HYPERLINK("https://creighton-primo.hosted.exlibrisgroup.com/primo-explore/search?tab=default_tab&amp;search_scope=EVERYTHING&amp;vid=01CRU&amp;lang=en_US&amp;offset=0&amp;query=any,contains,991000391359702656","Catalog Record")</f>
        <v/>
      </c>
      <c r="AT350">
        <f>HYPERLINK("http://www.worldcat.org/oclc/50756034","WorldCat Record")</f>
        <v/>
      </c>
      <c r="AU350" t="inlineStr">
        <is>
          <t>895853621:eng</t>
        </is>
      </c>
      <c r="AV350" t="inlineStr">
        <is>
          <t>50756034</t>
        </is>
      </c>
      <c r="AW350" t="inlineStr">
        <is>
          <t>991000391359702656</t>
        </is>
      </c>
      <c r="AX350" t="inlineStr">
        <is>
          <t>991000391359702656</t>
        </is>
      </c>
      <c r="AY350" t="inlineStr">
        <is>
          <t>2272119070002656</t>
        </is>
      </c>
      <c r="AZ350" t="inlineStr">
        <is>
          <t>BOOK</t>
        </is>
      </c>
      <c r="BB350" t="inlineStr">
        <is>
          <t>9780521773324</t>
        </is>
      </c>
      <c r="BC350" t="inlineStr">
        <is>
          <t>30001004977122</t>
        </is>
      </c>
      <c r="BD350" t="inlineStr">
        <is>
          <t>893822111</t>
        </is>
      </c>
    </row>
    <row r="351">
      <c r="A351" t="inlineStr">
        <is>
          <t>No</t>
        </is>
      </c>
      <c r="B351" t="inlineStr">
        <is>
          <t>QZ 266 C21713 1995</t>
        </is>
      </c>
      <c r="C351" t="inlineStr">
        <is>
          <t>0                      QZ 0266000C  21713       1995</t>
        </is>
      </c>
      <c r="D351" t="inlineStr">
        <is>
          <t>Cancer prevention and control / edited by Peter Greenwald, Barnett S. Kramer, Douglas L. Weed.</t>
        </is>
      </c>
      <c r="F351" t="inlineStr">
        <is>
          <t>No</t>
        </is>
      </c>
      <c r="G351" t="inlineStr">
        <is>
          <t>1</t>
        </is>
      </c>
      <c r="H351" t="inlineStr">
        <is>
          <t>No</t>
        </is>
      </c>
      <c r="I351" t="inlineStr">
        <is>
          <t>No</t>
        </is>
      </c>
      <c r="J351" t="inlineStr">
        <is>
          <t>0</t>
        </is>
      </c>
      <c r="L351" t="inlineStr">
        <is>
          <t>New York : M. Dekker, c1995.</t>
        </is>
      </c>
      <c r="M351" t="inlineStr">
        <is>
          <t>1995</t>
        </is>
      </c>
      <c r="O351" t="inlineStr">
        <is>
          <t>eng</t>
        </is>
      </c>
      <c r="P351" t="inlineStr">
        <is>
          <t>nyu</t>
        </is>
      </c>
      <c r="Q351" t="inlineStr">
        <is>
          <t>Basic and clinical oncology ; 6</t>
        </is>
      </c>
      <c r="R351" t="inlineStr">
        <is>
          <t xml:space="preserve">QZ </t>
        </is>
      </c>
      <c r="S351" t="n">
        <v>12</v>
      </c>
      <c r="T351" t="n">
        <v>12</v>
      </c>
      <c r="U351" t="inlineStr">
        <is>
          <t>2002-08-21</t>
        </is>
      </c>
      <c r="V351" t="inlineStr">
        <is>
          <t>2002-08-21</t>
        </is>
      </c>
      <c r="W351" t="inlineStr">
        <is>
          <t>1995-04-12</t>
        </is>
      </c>
      <c r="X351" t="inlineStr">
        <is>
          <t>1995-04-12</t>
        </is>
      </c>
      <c r="Y351" t="n">
        <v>149</v>
      </c>
      <c r="Z351" t="n">
        <v>106</v>
      </c>
      <c r="AA351" t="n">
        <v>111</v>
      </c>
      <c r="AB351" t="n">
        <v>1</v>
      </c>
      <c r="AC351" t="n">
        <v>1</v>
      </c>
      <c r="AD351" t="n">
        <v>2</v>
      </c>
      <c r="AE351" t="n">
        <v>2</v>
      </c>
      <c r="AF351" t="n">
        <v>0</v>
      </c>
      <c r="AG351" t="n">
        <v>0</v>
      </c>
      <c r="AH351" t="n">
        <v>2</v>
      </c>
      <c r="AI351" t="n">
        <v>2</v>
      </c>
      <c r="AJ351" t="n">
        <v>1</v>
      </c>
      <c r="AK351" t="n">
        <v>1</v>
      </c>
      <c r="AL351" t="n">
        <v>0</v>
      </c>
      <c r="AM351" t="n">
        <v>0</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HYPERLINK("https://creighton-primo.hosted.exlibrisgroup.com/primo-explore/search?tab=default_tab&amp;search_scope=EVERYTHING&amp;vid=01CRU&amp;lang=en_US&amp;offset=0&amp;query=any,contains,991001557019702656","Catalog Record")</f>
        <v/>
      </c>
      <c r="AT351">
        <f>HYPERLINK("http://www.worldcat.org/oclc/31206295","WorldCat Record")</f>
        <v/>
      </c>
      <c r="AU351" t="inlineStr">
        <is>
          <t>355818153:eng</t>
        </is>
      </c>
      <c r="AV351" t="inlineStr">
        <is>
          <t>31206295</t>
        </is>
      </c>
      <c r="AW351" t="inlineStr">
        <is>
          <t>991001557019702656</t>
        </is>
      </c>
      <c r="AX351" t="inlineStr">
        <is>
          <t>991001557019702656</t>
        </is>
      </c>
      <c r="AY351" t="inlineStr">
        <is>
          <t>2258129590002656</t>
        </is>
      </c>
      <c r="AZ351" t="inlineStr">
        <is>
          <t>BOOK</t>
        </is>
      </c>
      <c r="BB351" t="inlineStr">
        <is>
          <t>9780824792589</t>
        </is>
      </c>
      <c r="BC351" t="inlineStr">
        <is>
          <t>30001003147305</t>
        </is>
      </c>
      <c r="BD351" t="inlineStr">
        <is>
          <t>893821337</t>
        </is>
      </c>
    </row>
    <row r="352">
      <c r="A352" t="inlineStr">
        <is>
          <t>No</t>
        </is>
      </c>
      <c r="B352" t="inlineStr">
        <is>
          <t>QZ 266 C2173 1984</t>
        </is>
      </c>
      <c r="C352" t="inlineStr">
        <is>
          <t>0                      QZ 0266000C  2173        1984</t>
        </is>
      </c>
      <c r="D352" t="inlineStr">
        <is>
          <t>Cancer rehabilitation / edited by Albert E. Gunn.</t>
        </is>
      </c>
      <c r="F352" t="inlineStr">
        <is>
          <t>No</t>
        </is>
      </c>
      <c r="G352" t="inlineStr">
        <is>
          <t>1</t>
        </is>
      </c>
      <c r="H352" t="inlineStr">
        <is>
          <t>No</t>
        </is>
      </c>
      <c r="I352" t="inlineStr">
        <is>
          <t>No</t>
        </is>
      </c>
      <c r="J352" t="inlineStr">
        <is>
          <t>0</t>
        </is>
      </c>
      <c r="L352" t="inlineStr">
        <is>
          <t>New York : Raven Press, c1984.</t>
        </is>
      </c>
      <c r="M352" t="inlineStr">
        <is>
          <t>1984</t>
        </is>
      </c>
      <c r="O352" t="inlineStr">
        <is>
          <t>eng</t>
        </is>
      </c>
      <c r="P352" t="inlineStr">
        <is>
          <t>xxu</t>
        </is>
      </c>
      <c r="R352" t="inlineStr">
        <is>
          <t xml:space="preserve">QZ </t>
        </is>
      </c>
      <c r="S352" t="n">
        <v>8</v>
      </c>
      <c r="T352" t="n">
        <v>8</v>
      </c>
      <c r="U352" t="inlineStr">
        <is>
          <t>1997-04-04</t>
        </is>
      </c>
      <c r="V352" t="inlineStr">
        <is>
          <t>1997-04-04</t>
        </is>
      </c>
      <c r="W352" t="inlineStr">
        <is>
          <t>1988-03-13</t>
        </is>
      </c>
      <c r="X352" t="inlineStr">
        <is>
          <t>1988-03-13</t>
        </is>
      </c>
      <c r="Y352" t="n">
        <v>192</v>
      </c>
      <c r="Z352" t="n">
        <v>146</v>
      </c>
      <c r="AA352" t="n">
        <v>148</v>
      </c>
      <c r="AB352" t="n">
        <v>1</v>
      </c>
      <c r="AC352" t="n">
        <v>1</v>
      </c>
      <c r="AD352" t="n">
        <v>6</v>
      </c>
      <c r="AE352" t="n">
        <v>6</v>
      </c>
      <c r="AF352" t="n">
        <v>2</v>
      </c>
      <c r="AG352" t="n">
        <v>2</v>
      </c>
      <c r="AH352" t="n">
        <v>1</v>
      </c>
      <c r="AI352" t="n">
        <v>1</v>
      </c>
      <c r="AJ352" t="n">
        <v>5</v>
      </c>
      <c r="AK352" t="n">
        <v>5</v>
      </c>
      <c r="AL352" t="n">
        <v>0</v>
      </c>
      <c r="AM352" t="n">
        <v>0</v>
      </c>
      <c r="AN352" t="n">
        <v>0</v>
      </c>
      <c r="AO352" t="n">
        <v>0</v>
      </c>
      <c r="AP352" t="inlineStr">
        <is>
          <t>No</t>
        </is>
      </c>
      <c r="AQ352" t="inlineStr">
        <is>
          <t>Yes</t>
        </is>
      </c>
      <c r="AR352">
        <f>HYPERLINK("http://catalog.hathitrust.org/Record/000323538","HathiTrust Record")</f>
        <v/>
      </c>
      <c r="AS352">
        <f>HYPERLINK("https://creighton-primo.hosted.exlibrisgroup.com/primo-explore/search?tab=default_tab&amp;search_scope=EVERYTHING&amp;vid=01CRU&amp;lang=en_US&amp;offset=0&amp;query=any,contains,991001093659702656","Catalog Record")</f>
        <v/>
      </c>
      <c r="AT352">
        <f>HYPERLINK("http://www.worldcat.org/oclc/10230054","WorldCat Record")</f>
        <v/>
      </c>
      <c r="AU352" t="inlineStr">
        <is>
          <t>54613648:eng</t>
        </is>
      </c>
      <c r="AV352" t="inlineStr">
        <is>
          <t>10230054</t>
        </is>
      </c>
      <c r="AW352" t="inlineStr">
        <is>
          <t>991001093659702656</t>
        </is>
      </c>
      <c r="AX352" t="inlineStr">
        <is>
          <t>991001093659702656</t>
        </is>
      </c>
      <c r="AY352" t="inlineStr">
        <is>
          <t>2264938620002656</t>
        </is>
      </c>
      <c r="AZ352" t="inlineStr">
        <is>
          <t>BOOK</t>
        </is>
      </c>
      <c r="BB352" t="inlineStr">
        <is>
          <t>9780890049891</t>
        </is>
      </c>
      <c r="BC352" t="inlineStr">
        <is>
          <t>30001000264939</t>
        </is>
      </c>
      <c r="BD352" t="inlineStr">
        <is>
          <t>893148865</t>
        </is>
      </c>
    </row>
    <row r="353">
      <c r="A353" t="inlineStr">
        <is>
          <t>No</t>
        </is>
      </c>
      <c r="B353" t="inlineStr">
        <is>
          <t>QZ 266 C219 1995</t>
        </is>
      </c>
      <c r="C353" t="inlineStr">
        <is>
          <t>0                      QZ 0266000C  219         1995</t>
        </is>
      </c>
      <c r="D353" t="inlineStr">
        <is>
          <t>Cancer treatment / [edited by] Charles M. Haskell ; with 127 contributors ; Jonathan S. Berek, section editor for gynecologic oncology.</t>
        </is>
      </c>
      <c r="F353" t="inlineStr">
        <is>
          <t>No</t>
        </is>
      </c>
      <c r="G353" t="inlineStr">
        <is>
          <t>1</t>
        </is>
      </c>
      <c r="H353" t="inlineStr">
        <is>
          <t>No</t>
        </is>
      </c>
      <c r="I353" t="inlineStr">
        <is>
          <t>Yes</t>
        </is>
      </c>
      <c r="J353" t="inlineStr">
        <is>
          <t>0</t>
        </is>
      </c>
      <c r="L353" t="inlineStr">
        <is>
          <t>Philadelphia : W.B. Saunders, c1995.</t>
        </is>
      </c>
      <c r="M353" t="inlineStr">
        <is>
          <t>1995</t>
        </is>
      </c>
      <c r="N353" t="inlineStr">
        <is>
          <t>4th ed.</t>
        </is>
      </c>
      <c r="O353" t="inlineStr">
        <is>
          <t>eng</t>
        </is>
      </c>
      <c r="P353" t="inlineStr">
        <is>
          <t>pau</t>
        </is>
      </c>
      <c r="R353" t="inlineStr">
        <is>
          <t xml:space="preserve">QZ </t>
        </is>
      </c>
      <c r="S353" t="n">
        <v>23</v>
      </c>
      <c r="T353" t="n">
        <v>23</v>
      </c>
      <c r="U353" t="inlineStr">
        <is>
          <t>2000-07-06</t>
        </is>
      </c>
      <c r="V353" t="inlineStr">
        <is>
          <t>2000-07-06</t>
        </is>
      </c>
      <c r="W353" t="inlineStr">
        <is>
          <t>1995-08-22</t>
        </is>
      </c>
      <c r="X353" t="inlineStr">
        <is>
          <t>1995-08-22</t>
        </is>
      </c>
      <c r="Y353" t="n">
        <v>260</v>
      </c>
      <c r="Z353" t="n">
        <v>206</v>
      </c>
      <c r="AA353" t="n">
        <v>569</v>
      </c>
      <c r="AB353" t="n">
        <v>2</v>
      </c>
      <c r="AC353" t="n">
        <v>4</v>
      </c>
      <c r="AD353" t="n">
        <v>4</v>
      </c>
      <c r="AE353" t="n">
        <v>14</v>
      </c>
      <c r="AF353" t="n">
        <v>1</v>
      </c>
      <c r="AG353" t="n">
        <v>7</v>
      </c>
      <c r="AH353" t="n">
        <v>1</v>
      </c>
      <c r="AI353" t="n">
        <v>3</v>
      </c>
      <c r="AJ353" t="n">
        <v>2</v>
      </c>
      <c r="AK353" t="n">
        <v>7</v>
      </c>
      <c r="AL353" t="n">
        <v>0</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HYPERLINK("https://creighton-primo.hosted.exlibrisgroup.com/primo-explore/search?tab=default_tab&amp;search_scope=EVERYTHING&amp;vid=01CRU&amp;lang=en_US&amp;offset=0&amp;query=any,contains,991000498889702656","Catalog Record")</f>
        <v/>
      </c>
      <c r="AT353">
        <f>HYPERLINK("http://www.worldcat.org/oclc/30892864","WorldCat Record")</f>
        <v/>
      </c>
      <c r="AU353" t="inlineStr">
        <is>
          <t>54303429:eng</t>
        </is>
      </c>
      <c r="AV353" t="inlineStr">
        <is>
          <t>30892864</t>
        </is>
      </c>
      <c r="AW353" t="inlineStr">
        <is>
          <t>991000498889702656</t>
        </is>
      </c>
      <c r="AX353" t="inlineStr">
        <is>
          <t>991000498889702656</t>
        </is>
      </c>
      <c r="AY353" t="inlineStr">
        <is>
          <t>2270030320002656</t>
        </is>
      </c>
      <c r="AZ353" t="inlineStr">
        <is>
          <t>BOOK</t>
        </is>
      </c>
      <c r="BB353" t="inlineStr">
        <is>
          <t>9780721649078</t>
        </is>
      </c>
      <c r="BC353" t="inlineStr">
        <is>
          <t>30001003149723</t>
        </is>
      </c>
      <c r="BD353" t="inlineStr">
        <is>
          <t>893817457</t>
        </is>
      </c>
    </row>
    <row r="354">
      <c r="A354" t="inlineStr">
        <is>
          <t>No</t>
        </is>
      </c>
      <c r="B354" t="inlineStr">
        <is>
          <t>QZ266 C219 2001</t>
        </is>
      </c>
      <c r="C354" t="inlineStr">
        <is>
          <t>0                      QZ 0266000C  219         2001</t>
        </is>
      </c>
      <c r="D354" t="inlineStr">
        <is>
          <t>Cancer treatment / [edited by] Charles M. Haskell ; with 164 contributors ; Jonathan S. Berek, section editor for gynecologic neoplasms.</t>
        </is>
      </c>
      <c r="F354" t="inlineStr">
        <is>
          <t>No</t>
        </is>
      </c>
      <c r="G354" t="inlineStr">
        <is>
          <t>1</t>
        </is>
      </c>
      <c r="H354" t="inlineStr">
        <is>
          <t>No</t>
        </is>
      </c>
      <c r="I354" t="inlineStr">
        <is>
          <t>Yes</t>
        </is>
      </c>
      <c r="J354" t="inlineStr">
        <is>
          <t>0</t>
        </is>
      </c>
      <c r="L354" t="inlineStr">
        <is>
          <t>Philadelphia : W.B. Saunders, c2001.</t>
        </is>
      </c>
      <c r="M354" t="inlineStr">
        <is>
          <t>2001</t>
        </is>
      </c>
      <c r="N354" t="inlineStr">
        <is>
          <t>5th ed.</t>
        </is>
      </c>
      <c r="O354" t="inlineStr">
        <is>
          <t>eng</t>
        </is>
      </c>
      <c r="P354" t="inlineStr">
        <is>
          <t>pau</t>
        </is>
      </c>
      <c r="R354" t="inlineStr">
        <is>
          <t xml:space="preserve">QZ </t>
        </is>
      </c>
      <c r="S354" t="n">
        <v>3</v>
      </c>
      <c r="T354" t="n">
        <v>3</v>
      </c>
      <c r="U354" t="inlineStr">
        <is>
          <t>2004-06-14</t>
        </is>
      </c>
      <c r="V354" t="inlineStr">
        <is>
          <t>2004-06-14</t>
        </is>
      </c>
      <c r="W354" t="inlineStr">
        <is>
          <t>2003-04-11</t>
        </is>
      </c>
      <c r="X354" t="inlineStr">
        <is>
          <t>2003-04-11</t>
        </is>
      </c>
      <c r="Y354" t="n">
        <v>349</v>
      </c>
      <c r="Z354" t="n">
        <v>272</v>
      </c>
      <c r="AA354" t="n">
        <v>569</v>
      </c>
      <c r="AB354" t="n">
        <v>1</v>
      </c>
      <c r="AC354" t="n">
        <v>4</v>
      </c>
      <c r="AD354" t="n">
        <v>7</v>
      </c>
      <c r="AE354" t="n">
        <v>14</v>
      </c>
      <c r="AF354" t="n">
        <v>4</v>
      </c>
      <c r="AG354" t="n">
        <v>7</v>
      </c>
      <c r="AH354" t="n">
        <v>2</v>
      </c>
      <c r="AI354" t="n">
        <v>3</v>
      </c>
      <c r="AJ354" t="n">
        <v>2</v>
      </c>
      <c r="AK354" t="n">
        <v>7</v>
      </c>
      <c r="AL354" t="n">
        <v>0</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HYPERLINK("https://creighton-primo.hosted.exlibrisgroup.com/primo-explore/search?tab=default_tab&amp;search_scope=EVERYTHING&amp;vid=01CRU&amp;lang=en_US&amp;offset=0&amp;query=any,contains,991000290939702656","Catalog Record")</f>
        <v/>
      </c>
      <c r="AT354">
        <f>HYPERLINK("http://www.worldcat.org/oclc/43051610","WorldCat Record")</f>
        <v/>
      </c>
      <c r="AU354" t="inlineStr">
        <is>
          <t>54303429:eng</t>
        </is>
      </c>
      <c r="AV354" t="inlineStr">
        <is>
          <t>43051610</t>
        </is>
      </c>
      <c r="AW354" t="inlineStr">
        <is>
          <t>991000290939702656</t>
        </is>
      </c>
      <c r="AX354" t="inlineStr">
        <is>
          <t>991000290939702656</t>
        </is>
      </c>
      <c r="AY354" t="inlineStr">
        <is>
          <t>2258875340002656</t>
        </is>
      </c>
      <c r="AZ354" t="inlineStr">
        <is>
          <t>BOOK</t>
        </is>
      </c>
      <c r="BB354" t="inlineStr">
        <is>
          <t>9780721678337</t>
        </is>
      </c>
      <c r="BC354" t="inlineStr">
        <is>
          <t>30001004502961</t>
        </is>
      </c>
      <c r="BD354" t="inlineStr">
        <is>
          <t>893264060</t>
        </is>
      </c>
    </row>
    <row r="355">
      <c r="A355" t="inlineStr">
        <is>
          <t>No</t>
        </is>
      </c>
      <c r="B355" t="inlineStr">
        <is>
          <t>QZ 266 C21942 1993</t>
        </is>
      </c>
      <c r="C355" t="inlineStr">
        <is>
          <t>0                      QZ 0266000C  21942       1993</t>
        </is>
      </c>
      <c r="D355" t="inlineStr">
        <is>
          <t>Cancer treatment by hyperthermia, radiation, and drugs / edited by Tadayoshi Matsuda.</t>
        </is>
      </c>
      <c r="F355" t="inlineStr">
        <is>
          <t>No</t>
        </is>
      </c>
      <c r="G355" t="inlineStr">
        <is>
          <t>1</t>
        </is>
      </c>
      <c r="H355" t="inlineStr">
        <is>
          <t>No</t>
        </is>
      </c>
      <c r="I355" t="inlineStr">
        <is>
          <t>No</t>
        </is>
      </c>
      <c r="J355" t="inlineStr">
        <is>
          <t>0</t>
        </is>
      </c>
      <c r="L355" t="inlineStr">
        <is>
          <t>London ; Washington, DC : Taylor &amp; Francis, c1993.</t>
        </is>
      </c>
      <c r="M355" t="inlineStr">
        <is>
          <t>1993</t>
        </is>
      </c>
      <c r="O355" t="inlineStr">
        <is>
          <t>eng</t>
        </is>
      </c>
      <c r="P355" t="inlineStr">
        <is>
          <t>enk</t>
        </is>
      </c>
      <c r="R355" t="inlineStr">
        <is>
          <t xml:space="preserve">QZ </t>
        </is>
      </c>
      <c r="S355" t="n">
        <v>5</v>
      </c>
      <c r="T355" t="n">
        <v>5</v>
      </c>
      <c r="U355" t="inlineStr">
        <is>
          <t>1993-09-03</t>
        </is>
      </c>
      <c r="V355" t="inlineStr">
        <is>
          <t>1993-09-03</t>
        </is>
      </c>
      <c r="W355" t="inlineStr">
        <is>
          <t>1993-08-31</t>
        </is>
      </c>
      <c r="X355" t="inlineStr">
        <is>
          <t>1993-08-31</t>
        </is>
      </c>
      <c r="Y355" t="n">
        <v>58</v>
      </c>
      <c r="Z355" t="n">
        <v>36</v>
      </c>
      <c r="AA355" t="n">
        <v>37</v>
      </c>
      <c r="AB355" t="n">
        <v>1</v>
      </c>
      <c r="AC355" t="n">
        <v>1</v>
      </c>
      <c r="AD355" t="n">
        <v>0</v>
      </c>
      <c r="AE355" t="n">
        <v>0</v>
      </c>
      <c r="AF355" t="n">
        <v>0</v>
      </c>
      <c r="AG355" t="n">
        <v>0</v>
      </c>
      <c r="AH355" t="n">
        <v>0</v>
      </c>
      <c r="AI355" t="n">
        <v>0</v>
      </c>
      <c r="AJ355" t="n">
        <v>0</v>
      </c>
      <c r="AK355" t="n">
        <v>0</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HYPERLINK("https://creighton-primo.hosted.exlibrisgroup.com/primo-explore/search?tab=default_tab&amp;search_scope=EVERYTHING&amp;vid=01CRU&amp;lang=en_US&amp;offset=0&amp;query=any,contains,991001512659702656","Catalog Record")</f>
        <v/>
      </c>
      <c r="AT355">
        <f>HYPERLINK("http://www.worldcat.org/oclc/26312089","WorldCat Record")</f>
        <v/>
      </c>
      <c r="AU355" t="inlineStr">
        <is>
          <t>55521238:eng</t>
        </is>
      </c>
      <c r="AV355" t="inlineStr">
        <is>
          <t>26312089</t>
        </is>
      </c>
      <c r="AW355" t="inlineStr">
        <is>
          <t>991001512659702656</t>
        </is>
      </c>
      <c r="AX355" t="inlineStr">
        <is>
          <t>991001512659702656</t>
        </is>
      </c>
      <c r="AY355" t="inlineStr">
        <is>
          <t>2260092160002656</t>
        </is>
      </c>
      <c r="AZ355" t="inlineStr">
        <is>
          <t>BOOK</t>
        </is>
      </c>
      <c r="BB355" t="inlineStr">
        <is>
          <t>9780850668377</t>
        </is>
      </c>
      <c r="BC355" t="inlineStr">
        <is>
          <t>30001002601112</t>
        </is>
      </c>
      <c r="BD355" t="inlineStr">
        <is>
          <t>893460658</t>
        </is>
      </c>
    </row>
    <row r="356">
      <c r="A356" t="inlineStr">
        <is>
          <t>No</t>
        </is>
      </c>
      <c r="B356" t="inlineStr">
        <is>
          <t>QZ 266 C6413 1982</t>
        </is>
      </c>
      <c r="C356" t="inlineStr">
        <is>
          <t>0                      QZ 0266000C  6413        1982</t>
        </is>
      </c>
      <c r="D356" t="inlineStr">
        <is>
          <t>Clinical care of the terminal cancer patient / [edited by] Barrie R. Cassileth, Peter A. Cassileth.</t>
        </is>
      </c>
      <c r="F356" t="inlineStr">
        <is>
          <t>No</t>
        </is>
      </c>
      <c r="G356" t="inlineStr">
        <is>
          <t>1</t>
        </is>
      </c>
      <c r="H356" t="inlineStr">
        <is>
          <t>No</t>
        </is>
      </c>
      <c r="I356" t="inlineStr">
        <is>
          <t>No</t>
        </is>
      </c>
      <c r="J356" t="inlineStr">
        <is>
          <t>0</t>
        </is>
      </c>
      <c r="L356" t="inlineStr">
        <is>
          <t>Philadelphia : Lea &amp; Febiger, c1982.</t>
        </is>
      </c>
      <c r="M356" t="inlineStr">
        <is>
          <t>1982</t>
        </is>
      </c>
      <c r="O356" t="inlineStr">
        <is>
          <t>eng</t>
        </is>
      </c>
      <c r="P356" t="inlineStr">
        <is>
          <t>xxu</t>
        </is>
      </c>
      <c r="R356" t="inlineStr">
        <is>
          <t xml:space="preserve">QZ </t>
        </is>
      </c>
      <c r="S356" t="n">
        <v>6</v>
      </c>
      <c r="T356" t="n">
        <v>6</v>
      </c>
      <c r="U356" t="inlineStr">
        <is>
          <t>1992-12-04</t>
        </is>
      </c>
      <c r="V356" t="inlineStr">
        <is>
          <t>1992-12-04</t>
        </is>
      </c>
      <c r="W356" t="inlineStr">
        <is>
          <t>1988-03-13</t>
        </is>
      </c>
      <c r="X356" t="inlineStr">
        <is>
          <t>1988-03-13</t>
        </is>
      </c>
      <c r="Y356" t="n">
        <v>248</v>
      </c>
      <c r="Z356" t="n">
        <v>201</v>
      </c>
      <c r="AA356" t="n">
        <v>203</v>
      </c>
      <c r="AB356" t="n">
        <v>2</v>
      </c>
      <c r="AC356" t="n">
        <v>2</v>
      </c>
      <c r="AD356" t="n">
        <v>4</v>
      </c>
      <c r="AE356" t="n">
        <v>4</v>
      </c>
      <c r="AF356" t="n">
        <v>1</v>
      </c>
      <c r="AG356" t="n">
        <v>1</v>
      </c>
      <c r="AH356" t="n">
        <v>1</v>
      </c>
      <c r="AI356" t="n">
        <v>1</v>
      </c>
      <c r="AJ356" t="n">
        <v>1</v>
      </c>
      <c r="AK356" t="n">
        <v>1</v>
      </c>
      <c r="AL356" t="n">
        <v>1</v>
      </c>
      <c r="AM356" t="n">
        <v>1</v>
      </c>
      <c r="AN356" t="n">
        <v>0</v>
      </c>
      <c r="AO356" t="n">
        <v>0</v>
      </c>
      <c r="AP356" t="inlineStr">
        <is>
          <t>No</t>
        </is>
      </c>
      <c r="AQ356" t="inlineStr">
        <is>
          <t>Yes</t>
        </is>
      </c>
      <c r="AR356">
        <f>HYPERLINK("http://catalog.hathitrust.org/Record/000152008","HathiTrust Record")</f>
        <v/>
      </c>
      <c r="AS356">
        <f>HYPERLINK("https://creighton-primo.hosted.exlibrisgroup.com/primo-explore/search?tab=default_tab&amp;search_scope=EVERYTHING&amp;vid=01CRU&amp;lang=en_US&amp;offset=0&amp;query=any,contains,991001093709702656","Catalog Record")</f>
        <v/>
      </c>
      <c r="AT356">
        <f>HYPERLINK("http://www.worldcat.org/oclc/8346467","WorldCat Record")</f>
        <v/>
      </c>
      <c r="AU356" t="inlineStr">
        <is>
          <t>353482390:eng</t>
        </is>
      </c>
      <c r="AV356" t="inlineStr">
        <is>
          <t>8346467</t>
        </is>
      </c>
      <c r="AW356" t="inlineStr">
        <is>
          <t>991001093709702656</t>
        </is>
      </c>
      <c r="AX356" t="inlineStr">
        <is>
          <t>991001093709702656</t>
        </is>
      </c>
      <c r="AY356" t="inlineStr">
        <is>
          <t>2265215740002656</t>
        </is>
      </c>
      <c r="AZ356" t="inlineStr">
        <is>
          <t>BOOK</t>
        </is>
      </c>
      <c r="BB356" t="inlineStr">
        <is>
          <t>9780812108545</t>
        </is>
      </c>
      <c r="BC356" t="inlineStr">
        <is>
          <t>30001000264954</t>
        </is>
      </c>
      <c r="BD356" t="inlineStr">
        <is>
          <t>893358210</t>
        </is>
      </c>
    </row>
    <row r="357">
      <c r="A357" t="inlineStr">
        <is>
          <t>No</t>
        </is>
      </c>
      <c r="B357" t="inlineStr">
        <is>
          <t>QZ 266 C64185 2000</t>
        </is>
      </c>
      <c r="C357" t="inlineStr">
        <is>
          <t>0                      QZ 0266000C  64185       2000</t>
        </is>
      </c>
      <c r="D357" t="inlineStr">
        <is>
          <t>Clinical oncology / [edited by] Martin D. Abeloff ... [et al.].</t>
        </is>
      </c>
      <c r="F357" t="inlineStr">
        <is>
          <t>No</t>
        </is>
      </c>
      <c r="G357" t="inlineStr">
        <is>
          <t>1</t>
        </is>
      </c>
      <c r="H357" t="inlineStr">
        <is>
          <t>No</t>
        </is>
      </c>
      <c r="I357" t="inlineStr">
        <is>
          <t>Yes</t>
        </is>
      </c>
      <c r="J357" t="inlineStr">
        <is>
          <t>2</t>
        </is>
      </c>
      <c r="L357" t="inlineStr">
        <is>
          <t>New York : Churchill Livingstone, c2000.</t>
        </is>
      </c>
      <c r="M357" t="inlineStr">
        <is>
          <t>2000</t>
        </is>
      </c>
      <c r="N357" t="inlineStr">
        <is>
          <t>2nd ed.</t>
        </is>
      </c>
      <c r="O357" t="inlineStr">
        <is>
          <t>eng</t>
        </is>
      </c>
      <c r="P357" t="inlineStr">
        <is>
          <t>nyu</t>
        </is>
      </c>
      <c r="R357" t="inlineStr">
        <is>
          <t xml:space="preserve">QZ </t>
        </is>
      </c>
      <c r="S357" t="n">
        <v>7</v>
      </c>
      <c r="T357" t="n">
        <v>7</v>
      </c>
      <c r="U357" t="inlineStr">
        <is>
          <t>2001-08-17</t>
        </is>
      </c>
      <c r="V357" t="inlineStr">
        <is>
          <t>2001-08-17</t>
        </is>
      </c>
      <c r="W357" t="inlineStr">
        <is>
          <t>2000-02-01</t>
        </is>
      </c>
      <c r="X357" t="inlineStr">
        <is>
          <t>2000-02-01</t>
        </is>
      </c>
      <c r="Y357" t="n">
        <v>203</v>
      </c>
      <c r="Z357" t="n">
        <v>147</v>
      </c>
      <c r="AA357" t="n">
        <v>536</v>
      </c>
      <c r="AB357" t="n">
        <v>1</v>
      </c>
      <c r="AC357" t="n">
        <v>2</v>
      </c>
      <c r="AD357" t="n">
        <v>1</v>
      </c>
      <c r="AE357" t="n">
        <v>20</v>
      </c>
      <c r="AF357" t="n">
        <v>1</v>
      </c>
      <c r="AG357" t="n">
        <v>6</v>
      </c>
      <c r="AH357" t="n">
        <v>0</v>
      </c>
      <c r="AI357" t="n">
        <v>6</v>
      </c>
      <c r="AJ357" t="n">
        <v>0</v>
      </c>
      <c r="AK357" t="n">
        <v>12</v>
      </c>
      <c r="AL357" t="n">
        <v>0</v>
      </c>
      <c r="AM357" t="n">
        <v>1</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HYPERLINK("https://creighton-primo.hosted.exlibrisgroup.com/primo-explore/search?tab=default_tab&amp;search_scope=EVERYTHING&amp;vid=01CRU&amp;lang=en_US&amp;offset=0&amp;query=any,contains,991001439969702656","Catalog Record")</f>
        <v/>
      </c>
      <c r="AT357">
        <f>HYPERLINK("http://www.worldcat.org/oclc/41076405","WorldCat Record")</f>
        <v/>
      </c>
      <c r="AU357" t="inlineStr">
        <is>
          <t>3397854934:eng</t>
        </is>
      </c>
      <c r="AV357" t="inlineStr">
        <is>
          <t>41076405</t>
        </is>
      </c>
      <c r="AW357" t="inlineStr">
        <is>
          <t>991001439969702656</t>
        </is>
      </c>
      <c r="AX357" t="inlineStr">
        <is>
          <t>991001439969702656</t>
        </is>
      </c>
      <c r="AY357" t="inlineStr">
        <is>
          <t>2262422980002656</t>
        </is>
      </c>
      <c r="AZ357" t="inlineStr">
        <is>
          <t>BOOK</t>
        </is>
      </c>
      <c r="BB357" t="inlineStr">
        <is>
          <t>9780443075452</t>
        </is>
      </c>
      <c r="BC357" t="inlineStr">
        <is>
          <t>30001003880467</t>
        </is>
      </c>
      <c r="BD357" t="inlineStr">
        <is>
          <t>893832192</t>
        </is>
      </c>
    </row>
    <row r="358">
      <c r="A358" t="inlineStr">
        <is>
          <t>No</t>
        </is>
      </c>
      <c r="B358" t="inlineStr">
        <is>
          <t>QZ266 C64185 2004</t>
        </is>
      </c>
      <c r="C358" t="inlineStr">
        <is>
          <t>0                      QZ 0266000C  64185       2004</t>
        </is>
      </c>
      <c r="D358" t="inlineStr">
        <is>
          <t>Clinical oncology / [edited by] Martin D. Abeloff ... [et al.].</t>
        </is>
      </c>
      <c r="F358" t="inlineStr">
        <is>
          <t>No</t>
        </is>
      </c>
      <c r="G358" t="inlineStr">
        <is>
          <t>1</t>
        </is>
      </c>
      <c r="H358" t="inlineStr">
        <is>
          <t>No</t>
        </is>
      </c>
      <c r="I358" t="inlineStr">
        <is>
          <t>Yes</t>
        </is>
      </c>
      <c r="J358" t="inlineStr">
        <is>
          <t>2</t>
        </is>
      </c>
      <c r="L358" t="inlineStr">
        <is>
          <t>Philadelphia, Pa. : Elsevier Churchill Livingstone, c2004.</t>
        </is>
      </c>
      <c r="M358" t="inlineStr">
        <is>
          <t>2004</t>
        </is>
      </c>
      <c r="N358" t="inlineStr">
        <is>
          <t>3rd ed.</t>
        </is>
      </c>
      <c r="O358" t="inlineStr">
        <is>
          <t>eng</t>
        </is>
      </c>
      <c r="P358" t="inlineStr">
        <is>
          <t>pau</t>
        </is>
      </c>
      <c r="R358" t="inlineStr">
        <is>
          <t xml:space="preserve">QZ </t>
        </is>
      </c>
      <c r="S358" t="n">
        <v>3</v>
      </c>
      <c r="T358" t="n">
        <v>3</v>
      </c>
      <c r="U358" t="inlineStr">
        <is>
          <t>2005-07-30</t>
        </is>
      </c>
      <c r="V358" t="inlineStr">
        <is>
          <t>2005-07-30</t>
        </is>
      </c>
      <c r="W358" t="inlineStr">
        <is>
          <t>2004-09-23</t>
        </is>
      </c>
      <c r="X358" t="inlineStr">
        <is>
          <t>2004-09-23</t>
        </is>
      </c>
      <c r="Y358" t="n">
        <v>206</v>
      </c>
      <c r="Z358" t="n">
        <v>152</v>
      </c>
      <c r="AA358" t="n">
        <v>536</v>
      </c>
      <c r="AB358" t="n">
        <v>1</v>
      </c>
      <c r="AC358" t="n">
        <v>2</v>
      </c>
      <c r="AD358" t="n">
        <v>3</v>
      </c>
      <c r="AE358" t="n">
        <v>20</v>
      </c>
      <c r="AF358" t="n">
        <v>1</v>
      </c>
      <c r="AG358" t="n">
        <v>6</v>
      </c>
      <c r="AH358" t="n">
        <v>1</v>
      </c>
      <c r="AI358" t="n">
        <v>6</v>
      </c>
      <c r="AJ358" t="n">
        <v>1</v>
      </c>
      <c r="AK358" t="n">
        <v>12</v>
      </c>
      <c r="AL358" t="n">
        <v>0</v>
      </c>
      <c r="AM358" t="n">
        <v>1</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HYPERLINK("https://creighton-primo.hosted.exlibrisgroup.com/primo-explore/search?tab=default_tab&amp;search_scope=EVERYTHING&amp;vid=01CRU&amp;lang=en_US&amp;offset=0&amp;query=any,contains,991000395539702656","Catalog Record")</f>
        <v/>
      </c>
      <c r="AT358">
        <f>HYPERLINK("http://www.worldcat.org/oclc/54858564","WorldCat Record")</f>
        <v/>
      </c>
      <c r="AU358" t="inlineStr">
        <is>
          <t>3397854934:eng</t>
        </is>
      </c>
      <c r="AV358" t="inlineStr">
        <is>
          <t>54858564</t>
        </is>
      </c>
      <c r="AW358" t="inlineStr">
        <is>
          <t>991000395539702656</t>
        </is>
      </c>
      <c r="AX358" t="inlineStr">
        <is>
          <t>991000395539702656</t>
        </is>
      </c>
      <c r="AY358" t="inlineStr">
        <is>
          <t>2271218000002656</t>
        </is>
      </c>
      <c r="AZ358" t="inlineStr">
        <is>
          <t>BOOK</t>
        </is>
      </c>
      <c r="BB358" t="inlineStr">
        <is>
          <t>9780443066290</t>
        </is>
      </c>
      <c r="BC358" t="inlineStr">
        <is>
          <t>30001004923423</t>
        </is>
      </c>
      <c r="BD358" t="inlineStr">
        <is>
          <t>893452083</t>
        </is>
      </c>
    </row>
    <row r="359">
      <c r="A359" t="inlineStr">
        <is>
          <t>No</t>
        </is>
      </c>
      <c r="B359" t="inlineStr">
        <is>
          <t>QZ 266 C976 1986</t>
        </is>
      </c>
      <c r="C359" t="inlineStr">
        <is>
          <t>0                      QZ 0266000C  976         1986</t>
        </is>
      </c>
      <c r="D359" t="inlineStr">
        <is>
          <t>Current guidelines for the management of cancer / edited by Rene A. Khafif, Sameer Rafla, Samuel Kopel.</t>
        </is>
      </c>
      <c r="F359" t="inlineStr">
        <is>
          <t>No</t>
        </is>
      </c>
      <c r="G359" t="inlineStr">
        <is>
          <t>1</t>
        </is>
      </c>
      <c r="H359" t="inlineStr">
        <is>
          <t>No</t>
        </is>
      </c>
      <c r="I359" t="inlineStr">
        <is>
          <t>No</t>
        </is>
      </c>
      <c r="J359" t="inlineStr">
        <is>
          <t>0</t>
        </is>
      </c>
      <c r="L359" t="inlineStr">
        <is>
          <t>Orlando : Academic Press, c1986.</t>
        </is>
      </c>
      <c r="M359" t="inlineStr">
        <is>
          <t>1986</t>
        </is>
      </c>
      <c r="O359" t="inlineStr">
        <is>
          <t>eng</t>
        </is>
      </c>
      <c r="P359" t="inlineStr">
        <is>
          <t>xxu</t>
        </is>
      </c>
      <c r="R359" t="inlineStr">
        <is>
          <t xml:space="preserve">QZ </t>
        </is>
      </c>
      <c r="S359" t="n">
        <v>9</v>
      </c>
      <c r="T359" t="n">
        <v>9</v>
      </c>
      <c r="U359" t="inlineStr">
        <is>
          <t>1992-07-11</t>
        </is>
      </c>
      <c r="V359" t="inlineStr">
        <is>
          <t>1992-07-11</t>
        </is>
      </c>
      <c r="W359" t="inlineStr">
        <is>
          <t>1988-03-13</t>
        </is>
      </c>
      <c r="X359" t="inlineStr">
        <is>
          <t>1988-03-13</t>
        </is>
      </c>
      <c r="Y359" t="n">
        <v>95</v>
      </c>
      <c r="Z359" t="n">
        <v>73</v>
      </c>
      <c r="AA359" t="n">
        <v>76</v>
      </c>
      <c r="AB359" t="n">
        <v>1</v>
      </c>
      <c r="AC359" t="n">
        <v>1</v>
      </c>
      <c r="AD359" t="n">
        <v>2</v>
      </c>
      <c r="AE359" t="n">
        <v>2</v>
      </c>
      <c r="AF359" t="n">
        <v>1</v>
      </c>
      <c r="AG359" t="n">
        <v>1</v>
      </c>
      <c r="AH359" t="n">
        <v>0</v>
      </c>
      <c r="AI359" t="n">
        <v>0</v>
      </c>
      <c r="AJ359" t="n">
        <v>2</v>
      </c>
      <c r="AK359" t="n">
        <v>2</v>
      </c>
      <c r="AL359" t="n">
        <v>0</v>
      </c>
      <c r="AM359" t="n">
        <v>0</v>
      </c>
      <c r="AN359" t="n">
        <v>0</v>
      </c>
      <c r="AO359" t="n">
        <v>0</v>
      </c>
      <c r="AP359" t="inlineStr">
        <is>
          <t>No</t>
        </is>
      </c>
      <c r="AQ359" t="inlineStr">
        <is>
          <t>Yes</t>
        </is>
      </c>
      <c r="AR359">
        <f>HYPERLINK("http://catalog.hathitrust.org/Record/000398056","HathiTrust Record")</f>
        <v/>
      </c>
      <c r="AS359">
        <f>HYPERLINK("https://creighton-primo.hosted.exlibrisgroup.com/primo-explore/search?tab=default_tab&amp;search_scope=EVERYTHING&amp;vid=01CRU&amp;lang=en_US&amp;offset=0&amp;query=any,contains,991001268159702656","Catalog Record")</f>
        <v/>
      </c>
      <c r="AT359">
        <f>HYPERLINK("http://www.worldcat.org/oclc/11316457","WorldCat Record")</f>
        <v/>
      </c>
      <c r="AU359" t="inlineStr">
        <is>
          <t>375550725:eng</t>
        </is>
      </c>
      <c r="AV359" t="inlineStr">
        <is>
          <t>11316457</t>
        </is>
      </c>
      <c r="AW359" t="inlineStr">
        <is>
          <t>991001268159702656</t>
        </is>
      </c>
      <c r="AX359" t="inlineStr">
        <is>
          <t>991001268159702656</t>
        </is>
      </c>
      <c r="AY359" t="inlineStr">
        <is>
          <t>2267797830002656</t>
        </is>
      </c>
      <c r="AZ359" t="inlineStr">
        <is>
          <t>BOOK</t>
        </is>
      </c>
      <c r="BB359" t="inlineStr">
        <is>
          <t>9780124060203</t>
        </is>
      </c>
      <c r="BC359" t="inlineStr">
        <is>
          <t>30001000353914</t>
        </is>
      </c>
      <c r="BD359" t="inlineStr">
        <is>
          <t>893455640</t>
        </is>
      </c>
    </row>
    <row r="360">
      <c r="A360" t="inlineStr">
        <is>
          <t>No</t>
        </is>
      </c>
      <c r="B360" t="inlineStr">
        <is>
          <t>QZ 266 C9763 1999</t>
        </is>
      </c>
      <c r="C360" t="inlineStr">
        <is>
          <t>0                      QZ 0266000C  9763        1999</t>
        </is>
      </c>
      <c r="D360" t="inlineStr">
        <is>
          <t>Current therapy in cancer / [edited by] John F. Foley, Julie M. Vose, James O. Armitage.</t>
        </is>
      </c>
      <c r="F360" t="inlineStr">
        <is>
          <t>No</t>
        </is>
      </c>
      <c r="G360" t="inlineStr">
        <is>
          <t>1</t>
        </is>
      </c>
      <c r="H360" t="inlineStr">
        <is>
          <t>No</t>
        </is>
      </c>
      <c r="I360" t="inlineStr">
        <is>
          <t>No</t>
        </is>
      </c>
      <c r="J360" t="inlineStr">
        <is>
          <t>0</t>
        </is>
      </c>
      <c r="L360" t="inlineStr">
        <is>
          <t>Philadelphia : W.B. Saunders, c1999.</t>
        </is>
      </c>
      <c r="M360" t="inlineStr">
        <is>
          <t>1999</t>
        </is>
      </c>
      <c r="N360" t="inlineStr">
        <is>
          <t>2nd ed.</t>
        </is>
      </c>
      <c r="O360" t="inlineStr">
        <is>
          <t>eng</t>
        </is>
      </c>
      <c r="P360" t="inlineStr">
        <is>
          <t>pau</t>
        </is>
      </c>
      <c r="R360" t="inlineStr">
        <is>
          <t xml:space="preserve">QZ </t>
        </is>
      </c>
      <c r="S360" t="n">
        <v>5</v>
      </c>
      <c r="T360" t="n">
        <v>5</v>
      </c>
      <c r="U360" t="inlineStr">
        <is>
          <t>2003-03-13</t>
        </is>
      </c>
      <c r="V360" t="inlineStr">
        <is>
          <t>2003-03-13</t>
        </is>
      </c>
      <c r="W360" t="inlineStr">
        <is>
          <t>1999-09-21</t>
        </is>
      </c>
      <c r="X360" t="inlineStr">
        <is>
          <t>1999-09-21</t>
        </is>
      </c>
      <c r="Y360" t="n">
        <v>158</v>
      </c>
      <c r="Z360" t="n">
        <v>123</v>
      </c>
      <c r="AA360" t="n">
        <v>176</v>
      </c>
      <c r="AB360" t="n">
        <v>2</v>
      </c>
      <c r="AC360" t="n">
        <v>2</v>
      </c>
      <c r="AD360" t="n">
        <v>5</v>
      </c>
      <c r="AE360" t="n">
        <v>6</v>
      </c>
      <c r="AF360" t="n">
        <v>0</v>
      </c>
      <c r="AG360" t="n">
        <v>0</v>
      </c>
      <c r="AH360" t="n">
        <v>2</v>
      </c>
      <c r="AI360" t="n">
        <v>3</v>
      </c>
      <c r="AJ360" t="n">
        <v>3</v>
      </c>
      <c r="AK360" t="n">
        <v>3</v>
      </c>
      <c r="AL360" t="n">
        <v>1</v>
      </c>
      <c r="AM360" t="n">
        <v>1</v>
      </c>
      <c r="AN360" t="n">
        <v>0</v>
      </c>
      <c r="AO360" t="n">
        <v>0</v>
      </c>
      <c r="AP360" t="inlineStr">
        <is>
          <t>No</t>
        </is>
      </c>
      <c r="AQ360" t="inlineStr">
        <is>
          <t>Yes</t>
        </is>
      </c>
      <c r="AR360">
        <f>HYPERLINK("http://catalog.hathitrust.org/Record/004059207","HathiTrust Record")</f>
        <v/>
      </c>
      <c r="AS360">
        <f>HYPERLINK("https://creighton-primo.hosted.exlibrisgroup.com/primo-explore/search?tab=default_tab&amp;search_scope=EVERYTHING&amp;vid=01CRU&amp;lang=en_US&amp;offset=0&amp;query=any,contains,991001574069702656","Catalog Record")</f>
        <v/>
      </c>
      <c r="AT360">
        <f>HYPERLINK("http://www.worldcat.org/oclc/39508541","WorldCat Record")</f>
        <v/>
      </c>
      <c r="AU360" t="inlineStr">
        <is>
          <t>364475912:eng</t>
        </is>
      </c>
      <c r="AV360" t="inlineStr">
        <is>
          <t>39508541</t>
        </is>
      </c>
      <c r="AW360" t="inlineStr">
        <is>
          <t>991001574069702656</t>
        </is>
      </c>
      <c r="AX360" t="inlineStr">
        <is>
          <t>991001574069702656</t>
        </is>
      </c>
      <c r="AY360" t="inlineStr">
        <is>
          <t>2268826560002656</t>
        </is>
      </c>
      <c r="AZ360" t="inlineStr">
        <is>
          <t>BOOK</t>
        </is>
      </c>
      <c r="BB360" t="inlineStr">
        <is>
          <t>9780721675480</t>
        </is>
      </c>
      <c r="BC360" t="inlineStr">
        <is>
          <t>30001004015014</t>
        </is>
      </c>
      <c r="BD360" t="inlineStr">
        <is>
          <t>893541523</t>
        </is>
      </c>
    </row>
    <row r="361">
      <c r="A361" t="inlineStr">
        <is>
          <t>No</t>
        </is>
      </c>
      <c r="B361" t="inlineStr">
        <is>
          <t>QZ 266 D639m 1987</t>
        </is>
      </c>
      <c r="C361" t="inlineStr">
        <is>
          <t>0                      QZ 0266000D  639m        1987</t>
        </is>
      </c>
      <c r="D361" t="inlineStr">
        <is>
          <t>Managing side effects of chemotherapy and radiation therapy : a guide for nurses and patients / Marylin J. Dodd.</t>
        </is>
      </c>
      <c r="F361" t="inlineStr">
        <is>
          <t>No</t>
        </is>
      </c>
      <c r="G361" t="inlineStr">
        <is>
          <t>1</t>
        </is>
      </c>
      <c r="H361" t="inlineStr">
        <is>
          <t>No</t>
        </is>
      </c>
      <c r="I361" t="inlineStr">
        <is>
          <t>Yes</t>
        </is>
      </c>
      <c r="J361" t="inlineStr">
        <is>
          <t>0</t>
        </is>
      </c>
      <c r="K361" t="inlineStr">
        <is>
          <t>Dodd, Marylin J.</t>
        </is>
      </c>
      <c r="L361" t="inlineStr">
        <is>
          <t>Norwalk, CT : Appleton-Century-Crofts, c1987.</t>
        </is>
      </c>
      <c r="M361" t="inlineStr">
        <is>
          <t>1987</t>
        </is>
      </c>
      <c r="O361" t="inlineStr">
        <is>
          <t>eng</t>
        </is>
      </c>
      <c r="P361" t="inlineStr">
        <is>
          <t>xxu</t>
        </is>
      </c>
      <c r="R361" t="inlineStr">
        <is>
          <t xml:space="preserve">QZ </t>
        </is>
      </c>
      <c r="S361" t="n">
        <v>15</v>
      </c>
      <c r="T361" t="n">
        <v>15</v>
      </c>
      <c r="U361" t="inlineStr">
        <is>
          <t>1999-10-11</t>
        </is>
      </c>
      <c r="V361" t="inlineStr">
        <is>
          <t>1999-10-11</t>
        </is>
      </c>
      <c r="W361" t="inlineStr">
        <is>
          <t>1988-03-13</t>
        </is>
      </c>
      <c r="X361" t="inlineStr">
        <is>
          <t>1988-03-13</t>
        </is>
      </c>
      <c r="Y361" t="n">
        <v>215</v>
      </c>
      <c r="Z361" t="n">
        <v>186</v>
      </c>
      <c r="AA361" t="n">
        <v>535</v>
      </c>
      <c r="AB361" t="n">
        <v>1</v>
      </c>
      <c r="AC361" t="n">
        <v>3</v>
      </c>
      <c r="AD361" t="n">
        <v>6</v>
      </c>
      <c r="AE361" t="n">
        <v>9</v>
      </c>
      <c r="AF361" t="n">
        <v>2</v>
      </c>
      <c r="AG361" t="n">
        <v>4</v>
      </c>
      <c r="AH361" t="n">
        <v>1</v>
      </c>
      <c r="AI361" t="n">
        <v>2</v>
      </c>
      <c r="AJ361" t="n">
        <v>5</v>
      </c>
      <c r="AK361" t="n">
        <v>6</v>
      </c>
      <c r="AL361" t="n">
        <v>0</v>
      </c>
      <c r="AM361" t="n">
        <v>0</v>
      </c>
      <c r="AN361" t="n">
        <v>0</v>
      </c>
      <c r="AO361" t="n">
        <v>0</v>
      </c>
      <c r="AP361" t="inlineStr">
        <is>
          <t>No</t>
        </is>
      </c>
      <c r="AQ361" t="inlineStr">
        <is>
          <t>Yes</t>
        </is>
      </c>
      <c r="AR361">
        <f>HYPERLINK("http://catalog.hathitrust.org/Record/000824498","HathiTrust Record")</f>
        <v/>
      </c>
      <c r="AS361">
        <f>HYPERLINK("https://creighton-primo.hosted.exlibrisgroup.com/primo-explore/search?tab=default_tab&amp;search_scope=EVERYTHING&amp;vid=01CRU&amp;lang=en_US&amp;offset=0&amp;query=any,contains,991001264969702656","Catalog Record")</f>
        <v/>
      </c>
      <c r="AT361">
        <f>HYPERLINK("http://www.worldcat.org/oclc/15016750","WorldCat Record")</f>
        <v/>
      </c>
      <c r="AU361" t="inlineStr">
        <is>
          <t>1862353992:eng</t>
        </is>
      </c>
      <c r="AV361" t="inlineStr">
        <is>
          <t>15016750</t>
        </is>
      </c>
      <c r="AW361" t="inlineStr">
        <is>
          <t>991001264969702656</t>
        </is>
      </c>
      <c r="AX361" t="inlineStr">
        <is>
          <t>991001264969702656</t>
        </is>
      </c>
      <c r="AY361" t="inlineStr">
        <is>
          <t>2265554930002656</t>
        </is>
      </c>
      <c r="AZ361" t="inlineStr">
        <is>
          <t>BOOK</t>
        </is>
      </c>
      <c r="BB361" t="inlineStr">
        <is>
          <t>9780838561089</t>
        </is>
      </c>
      <c r="BC361" t="inlineStr">
        <is>
          <t>30001000352445</t>
        </is>
      </c>
      <c r="BD361" t="inlineStr">
        <is>
          <t>893727386</t>
        </is>
      </c>
    </row>
    <row r="362">
      <c r="A362" t="inlineStr">
        <is>
          <t>No</t>
        </is>
      </c>
      <c r="B362" t="inlineStr">
        <is>
          <t>QZ 266 H845m 1984</t>
        </is>
      </c>
      <c r="C362" t="inlineStr">
        <is>
          <t>0                      QZ 0266000H  845m        1984</t>
        </is>
      </c>
      <c r="D362" t="inlineStr">
        <is>
          <t>Medical dark ages circa 1984 : or, Cancer alternative therapies' cure rates / by Ralph R. Hovnanian.</t>
        </is>
      </c>
      <c r="F362" t="inlineStr">
        <is>
          <t>No</t>
        </is>
      </c>
      <c r="G362" t="inlineStr">
        <is>
          <t>1</t>
        </is>
      </c>
      <c r="H362" t="inlineStr">
        <is>
          <t>No</t>
        </is>
      </c>
      <c r="I362" t="inlineStr">
        <is>
          <t>No</t>
        </is>
      </c>
      <c r="J362" t="inlineStr">
        <is>
          <t>0</t>
        </is>
      </c>
      <c r="K362" t="inlineStr">
        <is>
          <t>Hovnanian, Ralph R.</t>
        </is>
      </c>
      <c r="L362" t="inlineStr">
        <is>
          <t>Evanston, Ill. : Hovnanian, c1985.</t>
        </is>
      </c>
      <c r="M362" t="inlineStr">
        <is>
          <t>1985</t>
        </is>
      </c>
      <c r="N362" t="inlineStr">
        <is>
          <t>2nd ed.</t>
        </is>
      </c>
      <c r="O362" t="inlineStr">
        <is>
          <t>eng</t>
        </is>
      </c>
      <c r="P362" t="inlineStr">
        <is>
          <t>ilu</t>
        </is>
      </c>
      <c r="R362" t="inlineStr">
        <is>
          <t xml:space="preserve">QZ </t>
        </is>
      </c>
      <c r="S362" t="n">
        <v>3</v>
      </c>
      <c r="T362" t="n">
        <v>3</v>
      </c>
      <c r="U362" t="inlineStr">
        <is>
          <t>1994-11-28</t>
        </is>
      </c>
      <c r="V362" t="inlineStr">
        <is>
          <t>1994-11-28</t>
        </is>
      </c>
      <c r="W362" t="inlineStr">
        <is>
          <t>1988-03-13</t>
        </is>
      </c>
      <c r="X362" t="inlineStr">
        <is>
          <t>1988-03-13</t>
        </is>
      </c>
      <c r="Y362" t="n">
        <v>34</v>
      </c>
      <c r="Z362" t="n">
        <v>33</v>
      </c>
      <c r="AA362" t="n">
        <v>40</v>
      </c>
      <c r="AB362" t="n">
        <v>1</v>
      </c>
      <c r="AC362" t="n">
        <v>1</v>
      </c>
      <c r="AD362" t="n">
        <v>0</v>
      </c>
      <c r="AE362" t="n">
        <v>0</v>
      </c>
      <c r="AF362" t="n">
        <v>0</v>
      </c>
      <c r="AG362" t="n">
        <v>0</v>
      </c>
      <c r="AH362" t="n">
        <v>0</v>
      </c>
      <c r="AI362" t="n">
        <v>0</v>
      </c>
      <c r="AJ362" t="n">
        <v>0</v>
      </c>
      <c r="AK362" t="n">
        <v>0</v>
      </c>
      <c r="AL362" t="n">
        <v>0</v>
      </c>
      <c r="AM362" t="n">
        <v>0</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HYPERLINK("https://creighton-primo.hosted.exlibrisgroup.com/primo-explore/search?tab=default_tab&amp;search_scope=EVERYTHING&amp;vid=01CRU&amp;lang=en_US&amp;offset=0&amp;query=any,contains,991001093739702656","Catalog Record")</f>
        <v/>
      </c>
      <c r="AT362">
        <f>HYPERLINK("http://www.worldcat.org/oclc/13168237","WorldCat Record")</f>
        <v/>
      </c>
      <c r="AU362" t="inlineStr">
        <is>
          <t>3737341:eng</t>
        </is>
      </c>
      <c r="AV362" t="inlineStr">
        <is>
          <t>13168237</t>
        </is>
      </c>
      <c r="AW362" t="inlineStr">
        <is>
          <t>991001093739702656</t>
        </is>
      </c>
      <c r="AX362" t="inlineStr">
        <is>
          <t>991001093739702656</t>
        </is>
      </c>
      <c r="AY362" t="inlineStr">
        <is>
          <t>2266258980002656</t>
        </is>
      </c>
      <c r="AZ362" t="inlineStr">
        <is>
          <t>BOOK</t>
        </is>
      </c>
      <c r="BC362" t="inlineStr">
        <is>
          <t>30001000265001</t>
        </is>
      </c>
      <c r="BD362" t="inlineStr">
        <is>
          <t>893727232</t>
        </is>
      </c>
    </row>
    <row r="363">
      <c r="A363" t="inlineStr">
        <is>
          <t>No</t>
        </is>
      </c>
      <c r="B363" t="inlineStr">
        <is>
          <t>QZ 266 I5687 2009</t>
        </is>
      </c>
      <c r="C363" t="inlineStr">
        <is>
          <t>0                      QZ 0266000I  5687        2009</t>
        </is>
      </c>
      <c r="D363" t="inlineStr">
        <is>
          <t>Integrative oncology / edited by Donald I. Abrams, Andrew T. Weil.</t>
        </is>
      </c>
      <c r="F363" t="inlineStr">
        <is>
          <t>No</t>
        </is>
      </c>
      <c r="G363" t="inlineStr">
        <is>
          <t>1</t>
        </is>
      </c>
      <c r="H363" t="inlineStr">
        <is>
          <t>No</t>
        </is>
      </c>
      <c r="I363" t="inlineStr">
        <is>
          <t>No</t>
        </is>
      </c>
      <c r="J363" t="inlineStr">
        <is>
          <t>1</t>
        </is>
      </c>
      <c r="L363" t="inlineStr">
        <is>
          <t>Oxford ; New York : Oxford University Press, 2009.</t>
        </is>
      </c>
      <c r="M363" t="inlineStr">
        <is>
          <t>2009</t>
        </is>
      </c>
      <c r="O363" t="inlineStr">
        <is>
          <t>eng</t>
        </is>
      </c>
      <c r="P363" t="inlineStr">
        <is>
          <t>enk</t>
        </is>
      </c>
      <c r="Q363" t="inlineStr">
        <is>
          <t>Weil integrative medicine library</t>
        </is>
      </c>
      <c r="R363" t="inlineStr">
        <is>
          <t xml:space="preserve">QZ </t>
        </is>
      </c>
      <c r="S363" t="n">
        <v>0</v>
      </c>
      <c r="T363" t="n">
        <v>0</v>
      </c>
      <c r="U363" t="inlineStr">
        <is>
          <t>2009-06-29</t>
        </is>
      </c>
      <c r="V363" t="inlineStr">
        <is>
          <t>2009-06-29</t>
        </is>
      </c>
      <c r="W363" t="inlineStr">
        <is>
          <t>2009-06-27</t>
        </is>
      </c>
      <c r="X363" t="inlineStr">
        <is>
          <t>2009-06-27</t>
        </is>
      </c>
      <c r="Y363" t="n">
        <v>154</v>
      </c>
      <c r="Z363" t="n">
        <v>113</v>
      </c>
      <c r="AA363" t="n">
        <v>1106</v>
      </c>
      <c r="AB363" t="n">
        <v>1</v>
      </c>
      <c r="AC363" t="n">
        <v>15</v>
      </c>
      <c r="AD363" t="n">
        <v>3</v>
      </c>
      <c r="AE363" t="n">
        <v>44</v>
      </c>
      <c r="AF363" t="n">
        <v>0</v>
      </c>
      <c r="AG363" t="n">
        <v>12</v>
      </c>
      <c r="AH363" t="n">
        <v>2</v>
      </c>
      <c r="AI363" t="n">
        <v>10</v>
      </c>
      <c r="AJ363" t="n">
        <v>2</v>
      </c>
      <c r="AK363" t="n">
        <v>14</v>
      </c>
      <c r="AL363" t="n">
        <v>0</v>
      </c>
      <c r="AM363" t="n">
        <v>13</v>
      </c>
      <c r="AN363" t="n">
        <v>0</v>
      </c>
      <c r="AO363" t="n">
        <v>2</v>
      </c>
      <c r="AP363" t="inlineStr">
        <is>
          <t>No</t>
        </is>
      </c>
      <c r="AQ363" t="inlineStr">
        <is>
          <t>No</t>
        </is>
      </c>
      <c r="AS363">
        <f>HYPERLINK("https://creighton-primo.hosted.exlibrisgroup.com/primo-explore/search?tab=default_tab&amp;search_scope=EVERYTHING&amp;vid=01CRU&amp;lang=en_US&amp;offset=0&amp;query=any,contains,991001473879702656","Catalog Record")</f>
        <v/>
      </c>
      <c r="AT363">
        <f>HYPERLINK("http://www.worldcat.org/oclc/222135003","WorldCat Record")</f>
        <v/>
      </c>
      <c r="AU363" t="inlineStr">
        <is>
          <t>9463216676:eng</t>
        </is>
      </c>
      <c r="AV363" t="inlineStr">
        <is>
          <t>222135003</t>
        </is>
      </c>
      <c r="AW363" t="inlineStr">
        <is>
          <t>991001473879702656</t>
        </is>
      </c>
      <c r="AX363" t="inlineStr">
        <is>
          <t>991001473879702656</t>
        </is>
      </c>
      <c r="AY363" t="inlineStr">
        <is>
          <t>2264063360002656</t>
        </is>
      </c>
      <c r="AZ363" t="inlineStr">
        <is>
          <t>BOOK</t>
        </is>
      </c>
      <c r="BB363" t="inlineStr">
        <is>
          <t>9780195309447</t>
        </is>
      </c>
      <c r="BC363" t="inlineStr">
        <is>
          <t>30001004917789</t>
        </is>
      </c>
      <c r="BD363" t="inlineStr">
        <is>
          <t>893451235</t>
        </is>
      </c>
    </row>
    <row r="364">
      <c r="A364" t="inlineStr">
        <is>
          <t>No</t>
        </is>
      </c>
      <c r="B364" t="inlineStr">
        <is>
          <t>QZ 266 L3515 1990</t>
        </is>
      </c>
      <c r="C364" t="inlineStr">
        <is>
          <t>0                      QZ 0266000L  3515        1990</t>
        </is>
      </c>
      <c r="D364" t="inlineStr">
        <is>
          <t>Late effects of treatment for childhood cancer / editors, Daniel M. Green, Giulio J. D'Angio.</t>
        </is>
      </c>
      <c r="F364" t="inlineStr">
        <is>
          <t>No</t>
        </is>
      </c>
      <c r="G364" t="inlineStr">
        <is>
          <t>1</t>
        </is>
      </c>
      <c r="H364" t="inlineStr">
        <is>
          <t>No</t>
        </is>
      </c>
      <c r="I364" t="inlineStr">
        <is>
          <t>No</t>
        </is>
      </c>
      <c r="J364" t="inlineStr">
        <is>
          <t>0</t>
        </is>
      </c>
      <c r="L364" t="inlineStr">
        <is>
          <t>New York : Wiley-Liss, c1992.</t>
        </is>
      </c>
      <c r="M364" t="inlineStr">
        <is>
          <t>1992</t>
        </is>
      </c>
      <c r="O364" t="inlineStr">
        <is>
          <t>eng</t>
        </is>
      </c>
      <c r="P364" t="inlineStr">
        <is>
          <t>nyu</t>
        </is>
      </c>
      <c r="Q364" t="inlineStr">
        <is>
          <t>Current clinical oncology</t>
        </is>
      </c>
      <c r="R364" t="inlineStr">
        <is>
          <t xml:space="preserve">QZ </t>
        </is>
      </c>
      <c r="S364" t="n">
        <v>7</v>
      </c>
      <c r="T364" t="n">
        <v>7</v>
      </c>
      <c r="U364" t="inlineStr">
        <is>
          <t>1993-03-03</t>
        </is>
      </c>
      <c r="V364" t="inlineStr">
        <is>
          <t>1993-03-03</t>
        </is>
      </c>
      <c r="W364" t="inlineStr">
        <is>
          <t>1992-05-07</t>
        </is>
      </c>
      <c r="X364" t="inlineStr">
        <is>
          <t>1992-05-07</t>
        </is>
      </c>
      <c r="Y364" t="n">
        <v>75</v>
      </c>
      <c r="Z364" t="n">
        <v>41</v>
      </c>
      <c r="AA364" t="n">
        <v>46</v>
      </c>
      <c r="AB364" t="n">
        <v>1</v>
      </c>
      <c r="AC364" t="n">
        <v>1</v>
      </c>
      <c r="AD364" t="n">
        <v>0</v>
      </c>
      <c r="AE364" t="n">
        <v>0</v>
      </c>
      <c r="AF364" t="n">
        <v>0</v>
      </c>
      <c r="AG364" t="n">
        <v>0</v>
      </c>
      <c r="AH364" t="n">
        <v>0</v>
      </c>
      <c r="AI364" t="n">
        <v>0</v>
      </c>
      <c r="AJ364" t="n">
        <v>0</v>
      </c>
      <c r="AK364" t="n">
        <v>0</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HYPERLINK("https://creighton-primo.hosted.exlibrisgroup.com/primo-explore/search?tab=default_tab&amp;search_scope=EVERYTHING&amp;vid=01CRU&amp;lang=en_US&amp;offset=0&amp;query=any,contains,991001304709702656","Catalog Record")</f>
        <v/>
      </c>
      <c r="AT364">
        <f>HYPERLINK("http://www.worldcat.org/oclc/24011668","WorldCat Record")</f>
        <v/>
      </c>
      <c r="AU364" t="inlineStr">
        <is>
          <t>3856569472:eng</t>
        </is>
      </c>
      <c r="AV364" t="inlineStr">
        <is>
          <t>24011668</t>
        </is>
      </c>
      <c r="AW364" t="inlineStr">
        <is>
          <t>991001304709702656</t>
        </is>
      </c>
      <c r="AX364" t="inlineStr">
        <is>
          <t>991001304709702656</t>
        </is>
      </c>
      <c r="AY364" t="inlineStr">
        <is>
          <t>2262510070002656</t>
        </is>
      </c>
      <c r="AZ364" t="inlineStr">
        <is>
          <t>BOOK</t>
        </is>
      </c>
      <c r="BB364" t="inlineStr">
        <is>
          <t>9780471561675</t>
        </is>
      </c>
      <c r="BC364" t="inlineStr">
        <is>
          <t>30001002413203</t>
        </is>
      </c>
      <c r="BD364" t="inlineStr">
        <is>
          <t>893821109</t>
        </is>
      </c>
    </row>
    <row r="365">
      <c r="A365" t="inlineStr">
        <is>
          <t>No</t>
        </is>
      </c>
      <c r="B365" t="inlineStr">
        <is>
          <t>QZ 266 M4888 1993</t>
        </is>
      </c>
      <c r="C365" t="inlineStr">
        <is>
          <t>0                      QZ 0266000M  4888        1993</t>
        </is>
      </c>
      <c r="D365" t="inlineStr">
        <is>
          <t>Medical oncology : [edited by] Paul Calabresi, Philip S. Schein.</t>
        </is>
      </c>
      <c r="F365" t="inlineStr">
        <is>
          <t>No</t>
        </is>
      </c>
      <c r="G365" t="inlineStr">
        <is>
          <t>1</t>
        </is>
      </c>
      <c r="H365" t="inlineStr">
        <is>
          <t>No</t>
        </is>
      </c>
      <c r="I365" t="inlineStr">
        <is>
          <t>No</t>
        </is>
      </c>
      <c r="J365" t="inlineStr">
        <is>
          <t>0</t>
        </is>
      </c>
      <c r="L365" t="inlineStr">
        <is>
          <t>New York : McGraw-Hill, Health Professions Division, c1993.</t>
        </is>
      </c>
      <c r="M365" t="inlineStr">
        <is>
          <t>1993</t>
        </is>
      </c>
      <c r="N365" t="inlineStr">
        <is>
          <t>2nd ed.</t>
        </is>
      </c>
      <c r="O365" t="inlineStr">
        <is>
          <t>eng</t>
        </is>
      </c>
      <c r="P365" t="inlineStr">
        <is>
          <t>nyu</t>
        </is>
      </c>
      <c r="R365" t="inlineStr">
        <is>
          <t xml:space="preserve">QZ </t>
        </is>
      </c>
      <c r="S365" t="n">
        <v>34</v>
      </c>
      <c r="T365" t="n">
        <v>34</v>
      </c>
      <c r="U365" t="inlineStr">
        <is>
          <t>1998-12-29</t>
        </is>
      </c>
      <c r="V365" t="inlineStr">
        <is>
          <t>1998-12-29</t>
        </is>
      </c>
      <c r="W365" t="inlineStr">
        <is>
          <t>1993-06-14</t>
        </is>
      </c>
      <c r="X365" t="inlineStr">
        <is>
          <t>1993-06-14</t>
        </is>
      </c>
      <c r="Y365" t="n">
        <v>228</v>
      </c>
      <c r="Z365" t="n">
        <v>177</v>
      </c>
      <c r="AA365" t="n">
        <v>179</v>
      </c>
      <c r="AB365" t="n">
        <v>1</v>
      </c>
      <c r="AC365" t="n">
        <v>1</v>
      </c>
      <c r="AD365" t="n">
        <v>5</v>
      </c>
      <c r="AE365" t="n">
        <v>5</v>
      </c>
      <c r="AF365" t="n">
        <v>1</v>
      </c>
      <c r="AG365" t="n">
        <v>1</v>
      </c>
      <c r="AH365" t="n">
        <v>3</v>
      </c>
      <c r="AI365" t="n">
        <v>3</v>
      </c>
      <c r="AJ365" t="n">
        <v>2</v>
      </c>
      <c r="AK365" t="n">
        <v>2</v>
      </c>
      <c r="AL365" t="n">
        <v>0</v>
      </c>
      <c r="AM365" t="n">
        <v>0</v>
      </c>
      <c r="AN365" t="n">
        <v>0</v>
      </c>
      <c r="AO365" t="n">
        <v>0</v>
      </c>
      <c r="AP365" t="inlineStr">
        <is>
          <t>No</t>
        </is>
      </c>
      <c r="AQ365" t="inlineStr">
        <is>
          <t>Yes</t>
        </is>
      </c>
      <c r="AR365">
        <f>HYPERLINK("http://catalog.hathitrust.org/Record/002959672","HathiTrust Record")</f>
        <v/>
      </c>
      <c r="AS365">
        <f>HYPERLINK("https://creighton-primo.hosted.exlibrisgroup.com/primo-explore/search?tab=default_tab&amp;search_scope=EVERYTHING&amp;vid=01CRU&amp;lang=en_US&amp;offset=0&amp;query=any,contains,991001481519702656","Catalog Record")</f>
        <v/>
      </c>
      <c r="AT365">
        <f>HYPERLINK("http://www.worldcat.org/oclc/27849095","WorldCat Record")</f>
        <v/>
      </c>
      <c r="AU365" t="inlineStr">
        <is>
          <t>836677722:eng</t>
        </is>
      </c>
      <c r="AV365" t="inlineStr">
        <is>
          <t>27849095</t>
        </is>
      </c>
      <c r="AW365" t="inlineStr">
        <is>
          <t>991001481519702656</t>
        </is>
      </c>
      <c r="AX365" t="inlineStr">
        <is>
          <t>991001481519702656</t>
        </is>
      </c>
      <c r="AY365" t="inlineStr">
        <is>
          <t>2267005050002656</t>
        </is>
      </c>
      <c r="AZ365" t="inlineStr">
        <is>
          <t>BOOK</t>
        </is>
      </c>
      <c r="BB365" t="inlineStr">
        <is>
          <t>9780071054089</t>
        </is>
      </c>
      <c r="BC365" t="inlineStr">
        <is>
          <t>30001002569889</t>
        </is>
      </c>
      <c r="BD365" t="inlineStr">
        <is>
          <t>893149254</t>
        </is>
      </c>
    </row>
    <row r="366">
      <c r="A366" t="inlineStr">
        <is>
          <t>No</t>
        </is>
      </c>
      <c r="B366" t="inlineStr">
        <is>
          <t>QZ 266 N9754 1990</t>
        </is>
      </c>
      <c r="C366" t="inlineStr">
        <is>
          <t>0                      QZ 0266000N  9754        1990</t>
        </is>
      </c>
      <c r="D366" t="inlineStr">
        <is>
          <t>Nutrition management of the cancer patient / edited by Abby S. Bloch.</t>
        </is>
      </c>
      <c r="F366" t="inlineStr">
        <is>
          <t>No</t>
        </is>
      </c>
      <c r="G366" t="inlineStr">
        <is>
          <t>1</t>
        </is>
      </c>
      <c r="H366" t="inlineStr">
        <is>
          <t>No</t>
        </is>
      </c>
      <c r="I366" t="inlineStr">
        <is>
          <t>No</t>
        </is>
      </c>
      <c r="J366" t="inlineStr">
        <is>
          <t>0</t>
        </is>
      </c>
      <c r="L366" t="inlineStr">
        <is>
          <t>Rockville, Md. : Aspen Publishers, c1990.</t>
        </is>
      </c>
      <c r="M366" t="inlineStr">
        <is>
          <t>1990</t>
        </is>
      </c>
      <c r="O366" t="inlineStr">
        <is>
          <t>eng</t>
        </is>
      </c>
      <c r="P366" t="inlineStr">
        <is>
          <t>xxu</t>
        </is>
      </c>
      <c r="R366" t="inlineStr">
        <is>
          <t xml:space="preserve">QZ </t>
        </is>
      </c>
      <c r="S366" t="n">
        <v>7</v>
      </c>
      <c r="T366" t="n">
        <v>7</v>
      </c>
      <c r="U366" t="inlineStr">
        <is>
          <t>1994-09-21</t>
        </is>
      </c>
      <c r="V366" t="inlineStr">
        <is>
          <t>1994-09-21</t>
        </is>
      </c>
      <c r="W366" t="inlineStr">
        <is>
          <t>1991-03-01</t>
        </is>
      </c>
      <c r="X366" t="inlineStr">
        <is>
          <t>1991-03-01</t>
        </is>
      </c>
      <c r="Y366" t="n">
        <v>286</v>
      </c>
      <c r="Z366" t="n">
        <v>238</v>
      </c>
      <c r="AA366" t="n">
        <v>240</v>
      </c>
      <c r="AB366" t="n">
        <v>1</v>
      </c>
      <c r="AC366" t="n">
        <v>1</v>
      </c>
      <c r="AD366" t="n">
        <v>7</v>
      </c>
      <c r="AE366" t="n">
        <v>7</v>
      </c>
      <c r="AF366" t="n">
        <v>1</v>
      </c>
      <c r="AG366" t="n">
        <v>1</v>
      </c>
      <c r="AH366" t="n">
        <v>3</v>
      </c>
      <c r="AI366" t="n">
        <v>3</v>
      </c>
      <c r="AJ366" t="n">
        <v>4</v>
      </c>
      <c r="AK366" t="n">
        <v>4</v>
      </c>
      <c r="AL366" t="n">
        <v>0</v>
      </c>
      <c r="AM366" t="n">
        <v>0</v>
      </c>
      <c r="AN366" t="n">
        <v>0</v>
      </c>
      <c r="AO366" t="n">
        <v>0</v>
      </c>
      <c r="AP366" t="inlineStr">
        <is>
          <t>No</t>
        </is>
      </c>
      <c r="AQ366" t="inlineStr">
        <is>
          <t>Yes</t>
        </is>
      </c>
      <c r="AR366">
        <f>HYPERLINK("http://catalog.hathitrust.org/Record/001945469","HathiTrust Record")</f>
        <v/>
      </c>
      <c r="AS366">
        <f>HYPERLINK("https://creighton-primo.hosted.exlibrisgroup.com/primo-explore/search?tab=default_tab&amp;search_scope=EVERYTHING&amp;vid=01CRU&amp;lang=en_US&amp;offset=0&amp;query=any,contains,991000815069702656","Catalog Record")</f>
        <v/>
      </c>
      <c r="AT366">
        <f>HYPERLINK("http://www.worldcat.org/oclc/20724326","WorldCat Record")</f>
        <v/>
      </c>
      <c r="AU366" t="inlineStr">
        <is>
          <t>22391103:eng</t>
        </is>
      </c>
      <c r="AV366" t="inlineStr">
        <is>
          <t>20724326</t>
        </is>
      </c>
      <c r="AW366" t="inlineStr">
        <is>
          <t>991000815069702656</t>
        </is>
      </c>
      <c r="AX366" t="inlineStr">
        <is>
          <t>991000815069702656</t>
        </is>
      </c>
      <c r="AY366" t="inlineStr">
        <is>
          <t>2264507740002656</t>
        </is>
      </c>
      <c r="AZ366" t="inlineStr">
        <is>
          <t>BOOK</t>
        </is>
      </c>
      <c r="BB366" t="inlineStr">
        <is>
          <t>9780834201323</t>
        </is>
      </c>
      <c r="BC366" t="inlineStr">
        <is>
          <t>30001002085902</t>
        </is>
      </c>
      <c r="BD366" t="inlineStr">
        <is>
          <t>893161232</t>
        </is>
      </c>
    </row>
    <row r="367">
      <c r="A367" t="inlineStr">
        <is>
          <t>No</t>
        </is>
      </c>
      <c r="B367" t="inlineStr">
        <is>
          <t>QZ 266 P119t</t>
        </is>
      </c>
      <c r="C367" t="inlineStr">
        <is>
          <t>0                      QZ 0266000P  119t</t>
        </is>
      </c>
      <c r="D367" t="inlineStr">
        <is>
          <t>Treatment of cancer and allied diseases / edited by George T. Pack and Irving M. Ariel.</t>
        </is>
      </c>
      <c r="E367" t="inlineStr">
        <is>
          <t>V. 9</t>
        </is>
      </c>
      <c r="F367" t="inlineStr">
        <is>
          <t>Yes</t>
        </is>
      </c>
      <c r="G367" t="inlineStr">
        <is>
          <t>1</t>
        </is>
      </c>
      <c r="H367" t="inlineStr">
        <is>
          <t>No</t>
        </is>
      </c>
      <c r="I367" t="inlineStr">
        <is>
          <t>No</t>
        </is>
      </c>
      <c r="J367" t="inlineStr">
        <is>
          <t>0</t>
        </is>
      </c>
      <c r="K367" t="inlineStr">
        <is>
          <t>Pack, George T. (George Thomas), 1898-1969, editor.</t>
        </is>
      </c>
      <c r="L367" t="inlineStr">
        <is>
          <t>New York : Harper, c1958-64.</t>
        </is>
      </c>
      <c r="M367" t="inlineStr">
        <is>
          <t>1958</t>
        </is>
      </c>
      <c r="N367" t="inlineStr">
        <is>
          <t>2nd ed.</t>
        </is>
      </c>
      <c r="O367" t="inlineStr">
        <is>
          <t>eng</t>
        </is>
      </c>
      <c r="P367" t="inlineStr">
        <is>
          <t>nyu</t>
        </is>
      </c>
      <c r="R367" t="inlineStr">
        <is>
          <t xml:space="preserve">QZ </t>
        </is>
      </c>
      <c r="S367" t="n">
        <v>0</v>
      </c>
      <c r="T367" t="n">
        <v>4</v>
      </c>
      <c r="V367" t="inlineStr">
        <is>
          <t>1996-08-18</t>
        </is>
      </c>
      <c r="W367" t="inlineStr">
        <is>
          <t>1988-03-17</t>
        </is>
      </c>
      <c r="X367" t="inlineStr">
        <is>
          <t>1988-03-17</t>
        </is>
      </c>
      <c r="Y367" t="n">
        <v>46</v>
      </c>
      <c r="Z367" t="n">
        <v>42</v>
      </c>
      <c r="AA367" t="n">
        <v>44</v>
      </c>
      <c r="AB367" t="n">
        <v>2</v>
      </c>
      <c r="AC367" t="n">
        <v>2</v>
      </c>
      <c r="AD367" t="n">
        <v>2</v>
      </c>
      <c r="AE367" t="n">
        <v>2</v>
      </c>
      <c r="AF367" t="n">
        <v>0</v>
      </c>
      <c r="AG367" t="n">
        <v>0</v>
      </c>
      <c r="AH367" t="n">
        <v>0</v>
      </c>
      <c r="AI367" t="n">
        <v>0</v>
      </c>
      <c r="AJ367" t="n">
        <v>1</v>
      </c>
      <c r="AK367" t="n">
        <v>1</v>
      </c>
      <c r="AL367" t="n">
        <v>1</v>
      </c>
      <c r="AM367" t="n">
        <v>1</v>
      </c>
      <c r="AN367" t="n">
        <v>0</v>
      </c>
      <c r="AO367" t="n">
        <v>0</v>
      </c>
      <c r="AP367" t="inlineStr">
        <is>
          <t>No</t>
        </is>
      </c>
      <c r="AQ367" t="inlineStr">
        <is>
          <t>Yes</t>
        </is>
      </c>
      <c r="AR367">
        <f>HYPERLINK("http://catalog.hathitrust.org/Record/100818679","HathiTrust Record")</f>
        <v/>
      </c>
      <c r="AS367">
        <f>HYPERLINK("https://creighton-primo.hosted.exlibrisgroup.com/primo-explore/search?tab=default_tab&amp;search_scope=EVERYTHING&amp;vid=01CRU&amp;lang=en_US&amp;offset=0&amp;query=any,contains,991001116469702656","Catalog Record")</f>
        <v/>
      </c>
      <c r="AT367">
        <f>HYPERLINK("http://www.worldcat.org/oclc/792932","WorldCat Record")</f>
        <v/>
      </c>
      <c r="AU367" t="inlineStr">
        <is>
          <t>3334648301:eng</t>
        </is>
      </c>
      <c r="AV367" t="inlineStr">
        <is>
          <t>792932</t>
        </is>
      </c>
      <c r="AW367" t="inlineStr">
        <is>
          <t>991001116469702656</t>
        </is>
      </c>
      <c r="AX367" t="inlineStr">
        <is>
          <t>991001116469702656</t>
        </is>
      </c>
      <c r="AY367" t="inlineStr">
        <is>
          <t>2260711400002656</t>
        </is>
      </c>
      <c r="AZ367" t="inlineStr">
        <is>
          <t>BOOK</t>
        </is>
      </c>
      <c r="BC367" t="inlineStr">
        <is>
          <t>30001000277485</t>
        </is>
      </c>
      <c r="BD367" t="inlineStr">
        <is>
          <t>893831923</t>
        </is>
      </c>
    </row>
    <row r="368">
      <c r="A368" t="inlineStr">
        <is>
          <t>No</t>
        </is>
      </c>
      <c r="B368" t="inlineStr">
        <is>
          <t>QZ 266 P119t</t>
        </is>
      </c>
      <c r="C368" t="inlineStr">
        <is>
          <t>0                      QZ 0266000P  119t</t>
        </is>
      </c>
      <c r="D368" t="inlineStr">
        <is>
          <t>Treatment of cancer and allied diseases / edited by George T. Pack and Irving M. Ariel.</t>
        </is>
      </c>
      <c r="E368" t="inlineStr">
        <is>
          <t>V. 4</t>
        </is>
      </c>
      <c r="F368" t="inlineStr">
        <is>
          <t>Yes</t>
        </is>
      </c>
      <c r="G368" t="inlineStr">
        <is>
          <t>1</t>
        </is>
      </c>
      <c r="H368" t="inlineStr">
        <is>
          <t>No</t>
        </is>
      </c>
      <c r="I368" t="inlineStr">
        <is>
          <t>No</t>
        </is>
      </c>
      <c r="J368" t="inlineStr">
        <is>
          <t>0</t>
        </is>
      </c>
      <c r="K368" t="inlineStr">
        <is>
          <t>Pack, George T. (George Thomas), 1898-1969, editor.</t>
        </is>
      </c>
      <c r="L368" t="inlineStr">
        <is>
          <t>New York : Harper, c1958-64.</t>
        </is>
      </c>
      <c r="M368" t="inlineStr">
        <is>
          <t>1958</t>
        </is>
      </c>
      <c r="N368" t="inlineStr">
        <is>
          <t>2nd ed.</t>
        </is>
      </c>
      <c r="O368" t="inlineStr">
        <is>
          <t>eng</t>
        </is>
      </c>
      <c r="P368" t="inlineStr">
        <is>
          <t>nyu</t>
        </is>
      </c>
      <c r="R368" t="inlineStr">
        <is>
          <t xml:space="preserve">QZ </t>
        </is>
      </c>
      <c r="S368" t="n">
        <v>2</v>
      </c>
      <c r="T368" t="n">
        <v>4</v>
      </c>
      <c r="U368" t="inlineStr">
        <is>
          <t>1994-09-07</t>
        </is>
      </c>
      <c r="V368" t="inlineStr">
        <is>
          <t>1996-08-18</t>
        </is>
      </c>
      <c r="W368" t="inlineStr">
        <is>
          <t>1988-03-17</t>
        </is>
      </c>
      <c r="X368" t="inlineStr">
        <is>
          <t>1988-03-17</t>
        </is>
      </c>
      <c r="Y368" t="n">
        <v>46</v>
      </c>
      <c r="Z368" t="n">
        <v>42</v>
      </c>
      <c r="AA368" t="n">
        <v>44</v>
      </c>
      <c r="AB368" t="n">
        <v>2</v>
      </c>
      <c r="AC368" t="n">
        <v>2</v>
      </c>
      <c r="AD368" t="n">
        <v>2</v>
      </c>
      <c r="AE368" t="n">
        <v>2</v>
      </c>
      <c r="AF368" t="n">
        <v>0</v>
      </c>
      <c r="AG368" t="n">
        <v>0</v>
      </c>
      <c r="AH368" t="n">
        <v>0</v>
      </c>
      <c r="AI368" t="n">
        <v>0</v>
      </c>
      <c r="AJ368" t="n">
        <v>1</v>
      </c>
      <c r="AK368" t="n">
        <v>1</v>
      </c>
      <c r="AL368" t="n">
        <v>1</v>
      </c>
      <c r="AM368" t="n">
        <v>1</v>
      </c>
      <c r="AN368" t="n">
        <v>0</v>
      </c>
      <c r="AO368" t="n">
        <v>0</v>
      </c>
      <c r="AP368" t="inlineStr">
        <is>
          <t>No</t>
        </is>
      </c>
      <c r="AQ368" t="inlineStr">
        <is>
          <t>Yes</t>
        </is>
      </c>
      <c r="AR368">
        <f>HYPERLINK("http://catalog.hathitrust.org/Record/100818679","HathiTrust Record")</f>
        <v/>
      </c>
      <c r="AS368">
        <f>HYPERLINK("https://creighton-primo.hosted.exlibrisgroup.com/primo-explore/search?tab=default_tab&amp;search_scope=EVERYTHING&amp;vid=01CRU&amp;lang=en_US&amp;offset=0&amp;query=any,contains,991001116469702656","Catalog Record")</f>
        <v/>
      </c>
      <c r="AT368">
        <f>HYPERLINK("http://www.worldcat.org/oclc/792932","WorldCat Record")</f>
        <v/>
      </c>
      <c r="AU368" t="inlineStr">
        <is>
          <t>3334648301:eng</t>
        </is>
      </c>
      <c r="AV368" t="inlineStr">
        <is>
          <t>792932</t>
        </is>
      </c>
      <c r="AW368" t="inlineStr">
        <is>
          <t>991001116469702656</t>
        </is>
      </c>
      <c r="AX368" t="inlineStr">
        <is>
          <t>991001116469702656</t>
        </is>
      </c>
      <c r="AY368" t="inlineStr">
        <is>
          <t>2260711400002656</t>
        </is>
      </c>
      <c r="AZ368" t="inlineStr">
        <is>
          <t>BOOK</t>
        </is>
      </c>
      <c r="BC368" t="inlineStr">
        <is>
          <t>30001000277436</t>
        </is>
      </c>
      <c r="BD368" t="inlineStr">
        <is>
          <t>893820920</t>
        </is>
      </c>
    </row>
    <row r="369">
      <c r="A369" t="inlineStr">
        <is>
          <t>No</t>
        </is>
      </c>
      <c r="B369" t="inlineStr">
        <is>
          <t>QZ 266 P119t</t>
        </is>
      </c>
      <c r="C369" t="inlineStr">
        <is>
          <t>0                      QZ 0266000P  119t</t>
        </is>
      </c>
      <c r="D369" t="inlineStr">
        <is>
          <t>Treatment of cancer and allied diseases / edited by George T. Pack and Irving M. Ariel.</t>
        </is>
      </c>
      <c r="E369" t="inlineStr">
        <is>
          <t>V. 6</t>
        </is>
      </c>
      <c r="F369" t="inlineStr">
        <is>
          <t>Yes</t>
        </is>
      </c>
      <c r="G369" t="inlineStr">
        <is>
          <t>1</t>
        </is>
      </c>
      <c r="H369" t="inlineStr">
        <is>
          <t>No</t>
        </is>
      </c>
      <c r="I369" t="inlineStr">
        <is>
          <t>No</t>
        </is>
      </c>
      <c r="J369" t="inlineStr">
        <is>
          <t>0</t>
        </is>
      </c>
      <c r="K369" t="inlineStr">
        <is>
          <t>Pack, George T. (George Thomas), 1898-1969, editor.</t>
        </is>
      </c>
      <c r="L369" t="inlineStr">
        <is>
          <t>New York : Harper, c1958-64.</t>
        </is>
      </c>
      <c r="M369" t="inlineStr">
        <is>
          <t>1958</t>
        </is>
      </c>
      <c r="N369" t="inlineStr">
        <is>
          <t>2nd ed.</t>
        </is>
      </c>
      <c r="O369" t="inlineStr">
        <is>
          <t>eng</t>
        </is>
      </c>
      <c r="P369" t="inlineStr">
        <is>
          <t>nyu</t>
        </is>
      </c>
      <c r="R369" t="inlineStr">
        <is>
          <t xml:space="preserve">QZ </t>
        </is>
      </c>
      <c r="S369" t="n">
        <v>0</v>
      </c>
      <c r="T369" t="n">
        <v>4</v>
      </c>
      <c r="V369" t="inlineStr">
        <is>
          <t>1996-08-18</t>
        </is>
      </c>
      <c r="W369" t="inlineStr">
        <is>
          <t>1988-03-17</t>
        </is>
      </c>
      <c r="X369" t="inlineStr">
        <is>
          <t>1988-03-17</t>
        </is>
      </c>
      <c r="Y369" t="n">
        <v>46</v>
      </c>
      <c r="Z369" t="n">
        <v>42</v>
      </c>
      <c r="AA369" t="n">
        <v>44</v>
      </c>
      <c r="AB369" t="n">
        <v>2</v>
      </c>
      <c r="AC369" t="n">
        <v>2</v>
      </c>
      <c r="AD369" t="n">
        <v>2</v>
      </c>
      <c r="AE369" t="n">
        <v>2</v>
      </c>
      <c r="AF369" t="n">
        <v>0</v>
      </c>
      <c r="AG369" t="n">
        <v>0</v>
      </c>
      <c r="AH369" t="n">
        <v>0</v>
      </c>
      <c r="AI369" t="n">
        <v>0</v>
      </c>
      <c r="AJ369" t="n">
        <v>1</v>
      </c>
      <c r="AK369" t="n">
        <v>1</v>
      </c>
      <c r="AL369" t="n">
        <v>1</v>
      </c>
      <c r="AM369" t="n">
        <v>1</v>
      </c>
      <c r="AN369" t="n">
        <v>0</v>
      </c>
      <c r="AO369" t="n">
        <v>0</v>
      </c>
      <c r="AP369" t="inlineStr">
        <is>
          <t>No</t>
        </is>
      </c>
      <c r="AQ369" t="inlineStr">
        <is>
          <t>Yes</t>
        </is>
      </c>
      <c r="AR369">
        <f>HYPERLINK("http://catalog.hathitrust.org/Record/100818679","HathiTrust Record")</f>
        <v/>
      </c>
      <c r="AS369">
        <f>HYPERLINK("https://creighton-primo.hosted.exlibrisgroup.com/primo-explore/search?tab=default_tab&amp;search_scope=EVERYTHING&amp;vid=01CRU&amp;lang=en_US&amp;offset=0&amp;query=any,contains,991001116469702656","Catalog Record")</f>
        <v/>
      </c>
      <c r="AT369">
        <f>HYPERLINK("http://www.worldcat.org/oclc/792932","WorldCat Record")</f>
        <v/>
      </c>
      <c r="AU369" t="inlineStr">
        <is>
          <t>3334648301:eng</t>
        </is>
      </c>
      <c r="AV369" t="inlineStr">
        <is>
          <t>792932</t>
        </is>
      </c>
      <c r="AW369" t="inlineStr">
        <is>
          <t>991001116469702656</t>
        </is>
      </c>
      <c r="AX369" t="inlineStr">
        <is>
          <t>991001116469702656</t>
        </is>
      </c>
      <c r="AY369" t="inlineStr">
        <is>
          <t>2260711400002656</t>
        </is>
      </c>
      <c r="AZ369" t="inlineStr">
        <is>
          <t>BOOK</t>
        </is>
      </c>
      <c r="BC369" t="inlineStr">
        <is>
          <t>30001000277451</t>
        </is>
      </c>
      <c r="BD369" t="inlineStr">
        <is>
          <t>893816109</t>
        </is>
      </c>
    </row>
    <row r="370">
      <c r="A370" t="inlineStr">
        <is>
          <t>No</t>
        </is>
      </c>
      <c r="B370" t="inlineStr">
        <is>
          <t>QZ 266 P119t</t>
        </is>
      </c>
      <c r="C370" t="inlineStr">
        <is>
          <t>0                      QZ 0266000P  119t</t>
        </is>
      </c>
      <c r="D370" t="inlineStr">
        <is>
          <t>Treatment of cancer and allied diseases / edited by George T. Pack and Irving M. Ariel.</t>
        </is>
      </c>
      <c r="E370" t="inlineStr">
        <is>
          <t>V. 8</t>
        </is>
      </c>
      <c r="F370" t="inlineStr">
        <is>
          <t>Yes</t>
        </is>
      </c>
      <c r="G370" t="inlineStr">
        <is>
          <t>1</t>
        </is>
      </c>
      <c r="H370" t="inlineStr">
        <is>
          <t>No</t>
        </is>
      </c>
      <c r="I370" t="inlineStr">
        <is>
          <t>No</t>
        </is>
      </c>
      <c r="J370" t="inlineStr">
        <is>
          <t>0</t>
        </is>
      </c>
      <c r="K370" t="inlineStr">
        <is>
          <t>Pack, George T. (George Thomas), 1898-1969, editor.</t>
        </is>
      </c>
      <c r="L370" t="inlineStr">
        <is>
          <t>New York : Harper, c1958-64.</t>
        </is>
      </c>
      <c r="M370" t="inlineStr">
        <is>
          <t>1958</t>
        </is>
      </c>
      <c r="N370" t="inlineStr">
        <is>
          <t>2nd ed.</t>
        </is>
      </c>
      <c r="O370" t="inlineStr">
        <is>
          <t>eng</t>
        </is>
      </c>
      <c r="P370" t="inlineStr">
        <is>
          <t>nyu</t>
        </is>
      </c>
      <c r="R370" t="inlineStr">
        <is>
          <t xml:space="preserve">QZ </t>
        </is>
      </c>
      <c r="S370" t="n">
        <v>0</v>
      </c>
      <c r="T370" t="n">
        <v>4</v>
      </c>
      <c r="V370" t="inlineStr">
        <is>
          <t>1996-08-18</t>
        </is>
      </c>
      <c r="W370" t="inlineStr">
        <is>
          <t>1988-03-17</t>
        </is>
      </c>
      <c r="X370" t="inlineStr">
        <is>
          <t>1988-03-17</t>
        </is>
      </c>
      <c r="Y370" t="n">
        <v>46</v>
      </c>
      <c r="Z370" t="n">
        <v>42</v>
      </c>
      <c r="AA370" t="n">
        <v>44</v>
      </c>
      <c r="AB370" t="n">
        <v>2</v>
      </c>
      <c r="AC370" t="n">
        <v>2</v>
      </c>
      <c r="AD370" t="n">
        <v>2</v>
      </c>
      <c r="AE370" t="n">
        <v>2</v>
      </c>
      <c r="AF370" t="n">
        <v>0</v>
      </c>
      <c r="AG370" t="n">
        <v>0</v>
      </c>
      <c r="AH370" t="n">
        <v>0</v>
      </c>
      <c r="AI370" t="n">
        <v>0</v>
      </c>
      <c r="AJ370" t="n">
        <v>1</v>
      </c>
      <c r="AK370" t="n">
        <v>1</v>
      </c>
      <c r="AL370" t="n">
        <v>1</v>
      </c>
      <c r="AM370" t="n">
        <v>1</v>
      </c>
      <c r="AN370" t="n">
        <v>0</v>
      </c>
      <c r="AO370" t="n">
        <v>0</v>
      </c>
      <c r="AP370" t="inlineStr">
        <is>
          <t>No</t>
        </is>
      </c>
      <c r="AQ370" t="inlineStr">
        <is>
          <t>Yes</t>
        </is>
      </c>
      <c r="AR370">
        <f>HYPERLINK("http://catalog.hathitrust.org/Record/100818679","HathiTrust Record")</f>
        <v/>
      </c>
      <c r="AS370">
        <f>HYPERLINK("https://creighton-primo.hosted.exlibrisgroup.com/primo-explore/search?tab=default_tab&amp;search_scope=EVERYTHING&amp;vid=01CRU&amp;lang=en_US&amp;offset=0&amp;query=any,contains,991001116469702656","Catalog Record")</f>
        <v/>
      </c>
      <c r="AT370">
        <f>HYPERLINK("http://www.worldcat.org/oclc/792932","WorldCat Record")</f>
        <v/>
      </c>
      <c r="AU370" t="inlineStr">
        <is>
          <t>3334648301:eng</t>
        </is>
      </c>
      <c r="AV370" t="inlineStr">
        <is>
          <t>792932</t>
        </is>
      </c>
      <c r="AW370" t="inlineStr">
        <is>
          <t>991001116469702656</t>
        </is>
      </c>
      <c r="AX370" t="inlineStr">
        <is>
          <t>991001116469702656</t>
        </is>
      </c>
      <c r="AY370" t="inlineStr">
        <is>
          <t>2260711400002656</t>
        </is>
      </c>
      <c r="AZ370" t="inlineStr">
        <is>
          <t>BOOK</t>
        </is>
      </c>
      <c r="BC370" t="inlineStr">
        <is>
          <t>30001000277477</t>
        </is>
      </c>
      <c r="BD370" t="inlineStr">
        <is>
          <t>893816108</t>
        </is>
      </c>
    </row>
    <row r="371">
      <c r="A371" t="inlineStr">
        <is>
          <t>No</t>
        </is>
      </c>
      <c r="B371" t="inlineStr">
        <is>
          <t>QZ 266 P119t</t>
        </is>
      </c>
      <c r="C371" t="inlineStr">
        <is>
          <t>0                      QZ 0266000P  119t</t>
        </is>
      </c>
      <c r="D371" t="inlineStr">
        <is>
          <t>Treatment of cancer and allied diseases / edited by George T. Pack and Irving M. Ariel.</t>
        </is>
      </c>
      <c r="E371" t="inlineStr">
        <is>
          <t>V. 1</t>
        </is>
      </c>
      <c r="F371" t="inlineStr">
        <is>
          <t>Yes</t>
        </is>
      </c>
      <c r="G371" t="inlineStr">
        <is>
          <t>1</t>
        </is>
      </c>
      <c r="H371" t="inlineStr">
        <is>
          <t>No</t>
        </is>
      </c>
      <c r="I371" t="inlineStr">
        <is>
          <t>No</t>
        </is>
      </c>
      <c r="J371" t="inlineStr">
        <is>
          <t>0</t>
        </is>
      </c>
      <c r="K371" t="inlineStr">
        <is>
          <t>Pack, George T. (George Thomas), 1898-1969, editor.</t>
        </is>
      </c>
      <c r="L371" t="inlineStr">
        <is>
          <t>New York : Harper, c1958-64.</t>
        </is>
      </c>
      <c r="M371" t="inlineStr">
        <is>
          <t>1958</t>
        </is>
      </c>
      <c r="N371" t="inlineStr">
        <is>
          <t>2nd ed.</t>
        </is>
      </c>
      <c r="O371" t="inlineStr">
        <is>
          <t>eng</t>
        </is>
      </c>
      <c r="P371" t="inlineStr">
        <is>
          <t>nyu</t>
        </is>
      </c>
      <c r="R371" t="inlineStr">
        <is>
          <t xml:space="preserve">QZ </t>
        </is>
      </c>
      <c r="S371" t="n">
        <v>1</v>
      </c>
      <c r="T371" t="n">
        <v>4</v>
      </c>
      <c r="V371" t="inlineStr">
        <is>
          <t>1996-08-18</t>
        </is>
      </c>
      <c r="W371" t="inlineStr">
        <is>
          <t>1988-03-17</t>
        </is>
      </c>
      <c r="X371" t="inlineStr">
        <is>
          <t>1988-03-17</t>
        </is>
      </c>
      <c r="Y371" t="n">
        <v>46</v>
      </c>
      <c r="Z371" t="n">
        <v>42</v>
      </c>
      <c r="AA371" t="n">
        <v>44</v>
      </c>
      <c r="AB371" t="n">
        <v>2</v>
      </c>
      <c r="AC371" t="n">
        <v>2</v>
      </c>
      <c r="AD371" t="n">
        <v>2</v>
      </c>
      <c r="AE371" t="n">
        <v>2</v>
      </c>
      <c r="AF371" t="n">
        <v>0</v>
      </c>
      <c r="AG371" t="n">
        <v>0</v>
      </c>
      <c r="AH371" t="n">
        <v>0</v>
      </c>
      <c r="AI371" t="n">
        <v>0</v>
      </c>
      <c r="AJ371" t="n">
        <v>1</v>
      </c>
      <c r="AK371" t="n">
        <v>1</v>
      </c>
      <c r="AL371" t="n">
        <v>1</v>
      </c>
      <c r="AM371" t="n">
        <v>1</v>
      </c>
      <c r="AN371" t="n">
        <v>0</v>
      </c>
      <c r="AO371" t="n">
        <v>0</v>
      </c>
      <c r="AP371" t="inlineStr">
        <is>
          <t>No</t>
        </is>
      </c>
      <c r="AQ371" t="inlineStr">
        <is>
          <t>Yes</t>
        </is>
      </c>
      <c r="AR371">
        <f>HYPERLINK("http://catalog.hathitrust.org/Record/100818679","HathiTrust Record")</f>
        <v/>
      </c>
      <c r="AS371">
        <f>HYPERLINK("https://creighton-primo.hosted.exlibrisgroup.com/primo-explore/search?tab=default_tab&amp;search_scope=EVERYTHING&amp;vid=01CRU&amp;lang=en_US&amp;offset=0&amp;query=any,contains,991001116469702656","Catalog Record")</f>
        <v/>
      </c>
      <c r="AT371">
        <f>HYPERLINK("http://www.worldcat.org/oclc/792932","WorldCat Record")</f>
        <v/>
      </c>
      <c r="AU371" t="inlineStr">
        <is>
          <t>3334648301:eng</t>
        </is>
      </c>
      <c r="AV371" t="inlineStr">
        <is>
          <t>792932</t>
        </is>
      </c>
      <c r="AW371" t="inlineStr">
        <is>
          <t>991001116469702656</t>
        </is>
      </c>
      <c r="AX371" t="inlineStr">
        <is>
          <t>991001116469702656</t>
        </is>
      </c>
      <c r="AY371" t="inlineStr">
        <is>
          <t>2260711400002656</t>
        </is>
      </c>
      <c r="AZ371" t="inlineStr">
        <is>
          <t>BOOK</t>
        </is>
      </c>
      <c r="BC371" t="inlineStr">
        <is>
          <t>30001000277402</t>
        </is>
      </c>
      <c r="BD371" t="inlineStr">
        <is>
          <t>893820918</t>
        </is>
      </c>
    </row>
    <row r="372">
      <c r="A372" t="inlineStr">
        <is>
          <t>No</t>
        </is>
      </c>
      <c r="B372" t="inlineStr">
        <is>
          <t>QZ 266 P119t</t>
        </is>
      </c>
      <c r="C372" t="inlineStr">
        <is>
          <t>0                      QZ 0266000P  119t</t>
        </is>
      </c>
      <c r="D372" t="inlineStr">
        <is>
          <t>Treatment of cancer and allied diseases / edited by George T. Pack and Irving M. Ariel.</t>
        </is>
      </c>
      <c r="E372" t="inlineStr">
        <is>
          <t>V. 3</t>
        </is>
      </c>
      <c r="F372" t="inlineStr">
        <is>
          <t>Yes</t>
        </is>
      </c>
      <c r="G372" t="inlineStr">
        <is>
          <t>1</t>
        </is>
      </c>
      <c r="H372" t="inlineStr">
        <is>
          <t>No</t>
        </is>
      </c>
      <c r="I372" t="inlineStr">
        <is>
          <t>No</t>
        </is>
      </c>
      <c r="J372" t="inlineStr">
        <is>
          <t>0</t>
        </is>
      </c>
      <c r="K372" t="inlineStr">
        <is>
          <t>Pack, George T. (George Thomas), 1898-1969, editor.</t>
        </is>
      </c>
      <c r="L372" t="inlineStr">
        <is>
          <t>New York : Harper, c1958-64.</t>
        </is>
      </c>
      <c r="M372" t="inlineStr">
        <is>
          <t>1958</t>
        </is>
      </c>
      <c r="N372" t="inlineStr">
        <is>
          <t>2nd ed.</t>
        </is>
      </c>
      <c r="O372" t="inlineStr">
        <is>
          <t>eng</t>
        </is>
      </c>
      <c r="P372" t="inlineStr">
        <is>
          <t>nyu</t>
        </is>
      </c>
      <c r="R372" t="inlineStr">
        <is>
          <t xml:space="preserve">QZ </t>
        </is>
      </c>
      <c r="S372" t="n">
        <v>0</v>
      </c>
      <c r="T372" t="n">
        <v>4</v>
      </c>
      <c r="V372" t="inlineStr">
        <is>
          <t>1996-08-18</t>
        </is>
      </c>
      <c r="W372" t="inlineStr">
        <is>
          <t>1988-03-17</t>
        </is>
      </c>
      <c r="X372" t="inlineStr">
        <is>
          <t>1988-03-17</t>
        </is>
      </c>
      <c r="Y372" t="n">
        <v>46</v>
      </c>
      <c r="Z372" t="n">
        <v>42</v>
      </c>
      <c r="AA372" t="n">
        <v>44</v>
      </c>
      <c r="AB372" t="n">
        <v>2</v>
      </c>
      <c r="AC372" t="n">
        <v>2</v>
      </c>
      <c r="AD372" t="n">
        <v>2</v>
      </c>
      <c r="AE372" t="n">
        <v>2</v>
      </c>
      <c r="AF372" t="n">
        <v>0</v>
      </c>
      <c r="AG372" t="n">
        <v>0</v>
      </c>
      <c r="AH372" t="n">
        <v>0</v>
      </c>
      <c r="AI372" t="n">
        <v>0</v>
      </c>
      <c r="AJ372" t="n">
        <v>1</v>
      </c>
      <c r="AK372" t="n">
        <v>1</v>
      </c>
      <c r="AL372" t="n">
        <v>1</v>
      </c>
      <c r="AM372" t="n">
        <v>1</v>
      </c>
      <c r="AN372" t="n">
        <v>0</v>
      </c>
      <c r="AO372" t="n">
        <v>0</v>
      </c>
      <c r="AP372" t="inlineStr">
        <is>
          <t>No</t>
        </is>
      </c>
      <c r="AQ372" t="inlineStr">
        <is>
          <t>Yes</t>
        </is>
      </c>
      <c r="AR372">
        <f>HYPERLINK("http://catalog.hathitrust.org/Record/100818679","HathiTrust Record")</f>
        <v/>
      </c>
      <c r="AS372">
        <f>HYPERLINK("https://creighton-primo.hosted.exlibrisgroup.com/primo-explore/search?tab=default_tab&amp;search_scope=EVERYTHING&amp;vid=01CRU&amp;lang=en_US&amp;offset=0&amp;query=any,contains,991001116469702656","Catalog Record")</f>
        <v/>
      </c>
      <c r="AT372">
        <f>HYPERLINK("http://www.worldcat.org/oclc/792932","WorldCat Record")</f>
        <v/>
      </c>
      <c r="AU372" t="inlineStr">
        <is>
          <t>3334648301:eng</t>
        </is>
      </c>
      <c r="AV372" t="inlineStr">
        <is>
          <t>792932</t>
        </is>
      </c>
      <c r="AW372" t="inlineStr">
        <is>
          <t>991001116469702656</t>
        </is>
      </c>
      <c r="AX372" t="inlineStr">
        <is>
          <t>991001116469702656</t>
        </is>
      </c>
      <c r="AY372" t="inlineStr">
        <is>
          <t>2260711400002656</t>
        </is>
      </c>
      <c r="AZ372" t="inlineStr">
        <is>
          <t>BOOK</t>
        </is>
      </c>
      <c r="BC372" t="inlineStr">
        <is>
          <t>30001000277428</t>
        </is>
      </c>
      <c r="BD372" t="inlineStr">
        <is>
          <t>893826459</t>
        </is>
      </c>
    </row>
    <row r="373">
      <c r="A373" t="inlineStr">
        <is>
          <t>No</t>
        </is>
      </c>
      <c r="B373" t="inlineStr">
        <is>
          <t>QZ 266 P119t</t>
        </is>
      </c>
      <c r="C373" t="inlineStr">
        <is>
          <t>0                      QZ 0266000P  119t</t>
        </is>
      </c>
      <c r="D373" t="inlineStr">
        <is>
          <t>Treatment of cancer and allied diseases / edited by George T. Pack and Irving M. Ariel.</t>
        </is>
      </c>
      <c r="E373" t="inlineStr">
        <is>
          <t>V. 5</t>
        </is>
      </c>
      <c r="F373" t="inlineStr">
        <is>
          <t>Yes</t>
        </is>
      </c>
      <c r="G373" t="inlineStr">
        <is>
          <t>1</t>
        </is>
      </c>
      <c r="H373" t="inlineStr">
        <is>
          <t>No</t>
        </is>
      </c>
      <c r="I373" t="inlineStr">
        <is>
          <t>No</t>
        </is>
      </c>
      <c r="J373" t="inlineStr">
        <is>
          <t>0</t>
        </is>
      </c>
      <c r="K373" t="inlineStr">
        <is>
          <t>Pack, George T. (George Thomas), 1898-1969, editor.</t>
        </is>
      </c>
      <c r="L373" t="inlineStr">
        <is>
          <t>New York : Harper, c1958-64.</t>
        </is>
      </c>
      <c r="M373" t="inlineStr">
        <is>
          <t>1958</t>
        </is>
      </c>
      <c r="N373" t="inlineStr">
        <is>
          <t>2nd ed.</t>
        </is>
      </c>
      <c r="O373" t="inlineStr">
        <is>
          <t>eng</t>
        </is>
      </c>
      <c r="P373" t="inlineStr">
        <is>
          <t>nyu</t>
        </is>
      </c>
      <c r="R373" t="inlineStr">
        <is>
          <t xml:space="preserve">QZ </t>
        </is>
      </c>
      <c r="S373" t="n">
        <v>0</v>
      </c>
      <c r="T373" t="n">
        <v>4</v>
      </c>
      <c r="V373" t="inlineStr">
        <is>
          <t>1996-08-18</t>
        </is>
      </c>
      <c r="W373" t="inlineStr">
        <is>
          <t>1988-03-17</t>
        </is>
      </c>
      <c r="X373" t="inlineStr">
        <is>
          <t>1988-03-17</t>
        </is>
      </c>
      <c r="Y373" t="n">
        <v>46</v>
      </c>
      <c r="Z373" t="n">
        <v>42</v>
      </c>
      <c r="AA373" t="n">
        <v>44</v>
      </c>
      <c r="AB373" t="n">
        <v>2</v>
      </c>
      <c r="AC373" t="n">
        <v>2</v>
      </c>
      <c r="AD373" t="n">
        <v>2</v>
      </c>
      <c r="AE373" t="n">
        <v>2</v>
      </c>
      <c r="AF373" t="n">
        <v>0</v>
      </c>
      <c r="AG373" t="n">
        <v>0</v>
      </c>
      <c r="AH373" t="n">
        <v>0</v>
      </c>
      <c r="AI373" t="n">
        <v>0</v>
      </c>
      <c r="AJ373" t="n">
        <v>1</v>
      </c>
      <c r="AK373" t="n">
        <v>1</v>
      </c>
      <c r="AL373" t="n">
        <v>1</v>
      </c>
      <c r="AM373" t="n">
        <v>1</v>
      </c>
      <c r="AN373" t="n">
        <v>0</v>
      </c>
      <c r="AO373" t="n">
        <v>0</v>
      </c>
      <c r="AP373" t="inlineStr">
        <is>
          <t>No</t>
        </is>
      </c>
      <c r="AQ373" t="inlineStr">
        <is>
          <t>Yes</t>
        </is>
      </c>
      <c r="AR373">
        <f>HYPERLINK("http://catalog.hathitrust.org/Record/100818679","HathiTrust Record")</f>
        <v/>
      </c>
      <c r="AS373">
        <f>HYPERLINK("https://creighton-primo.hosted.exlibrisgroup.com/primo-explore/search?tab=default_tab&amp;search_scope=EVERYTHING&amp;vid=01CRU&amp;lang=en_US&amp;offset=0&amp;query=any,contains,991001116469702656","Catalog Record")</f>
        <v/>
      </c>
      <c r="AT373">
        <f>HYPERLINK("http://www.worldcat.org/oclc/792932","WorldCat Record")</f>
        <v/>
      </c>
      <c r="AU373" t="inlineStr">
        <is>
          <t>3334648301:eng</t>
        </is>
      </c>
      <c r="AV373" t="inlineStr">
        <is>
          <t>792932</t>
        </is>
      </c>
      <c r="AW373" t="inlineStr">
        <is>
          <t>991001116469702656</t>
        </is>
      </c>
      <c r="AX373" t="inlineStr">
        <is>
          <t>991001116469702656</t>
        </is>
      </c>
      <c r="AY373" t="inlineStr">
        <is>
          <t>2260711400002656</t>
        </is>
      </c>
      <c r="AZ373" t="inlineStr">
        <is>
          <t>BOOK</t>
        </is>
      </c>
      <c r="BC373" t="inlineStr">
        <is>
          <t>30001000277444</t>
        </is>
      </c>
      <c r="BD373" t="inlineStr">
        <is>
          <t>893820919</t>
        </is>
      </c>
    </row>
    <row r="374">
      <c r="A374" t="inlineStr">
        <is>
          <t>No</t>
        </is>
      </c>
      <c r="B374" t="inlineStr">
        <is>
          <t>QZ 266 P119t</t>
        </is>
      </c>
      <c r="C374" t="inlineStr">
        <is>
          <t>0                      QZ 0266000P  119t</t>
        </is>
      </c>
      <c r="D374" t="inlineStr">
        <is>
          <t>Treatment of cancer and allied diseases / edited by George T. Pack and Irving M. Ariel.</t>
        </is>
      </c>
      <c r="E374" t="inlineStr">
        <is>
          <t>V. 7</t>
        </is>
      </c>
      <c r="F374" t="inlineStr">
        <is>
          <t>Yes</t>
        </is>
      </c>
      <c r="G374" t="inlineStr">
        <is>
          <t>1</t>
        </is>
      </c>
      <c r="H374" t="inlineStr">
        <is>
          <t>No</t>
        </is>
      </c>
      <c r="I374" t="inlineStr">
        <is>
          <t>No</t>
        </is>
      </c>
      <c r="J374" t="inlineStr">
        <is>
          <t>0</t>
        </is>
      </c>
      <c r="K374" t="inlineStr">
        <is>
          <t>Pack, George T. (George Thomas), 1898-1969, editor.</t>
        </is>
      </c>
      <c r="L374" t="inlineStr">
        <is>
          <t>New York : Harper, c1958-64.</t>
        </is>
      </c>
      <c r="M374" t="inlineStr">
        <is>
          <t>1958</t>
        </is>
      </c>
      <c r="N374" t="inlineStr">
        <is>
          <t>2nd ed.</t>
        </is>
      </c>
      <c r="O374" t="inlineStr">
        <is>
          <t>eng</t>
        </is>
      </c>
      <c r="P374" t="inlineStr">
        <is>
          <t>nyu</t>
        </is>
      </c>
      <c r="R374" t="inlineStr">
        <is>
          <t xml:space="preserve">QZ </t>
        </is>
      </c>
      <c r="S374" t="n">
        <v>0</v>
      </c>
      <c r="T374" t="n">
        <v>4</v>
      </c>
      <c r="V374" t="inlineStr">
        <is>
          <t>1996-08-18</t>
        </is>
      </c>
      <c r="W374" t="inlineStr">
        <is>
          <t>1988-03-17</t>
        </is>
      </c>
      <c r="X374" t="inlineStr">
        <is>
          <t>1988-03-17</t>
        </is>
      </c>
      <c r="Y374" t="n">
        <v>46</v>
      </c>
      <c r="Z374" t="n">
        <v>42</v>
      </c>
      <c r="AA374" t="n">
        <v>44</v>
      </c>
      <c r="AB374" t="n">
        <v>2</v>
      </c>
      <c r="AC374" t="n">
        <v>2</v>
      </c>
      <c r="AD374" t="n">
        <v>2</v>
      </c>
      <c r="AE374" t="n">
        <v>2</v>
      </c>
      <c r="AF374" t="n">
        <v>0</v>
      </c>
      <c r="AG374" t="n">
        <v>0</v>
      </c>
      <c r="AH374" t="n">
        <v>0</v>
      </c>
      <c r="AI374" t="n">
        <v>0</v>
      </c>
      <c r="AJ374" t="n">
        <v>1</v>
      </c>
      <c r="AK374" t="n">
        <v>1</v>
      </c>
      <c r="AL374" t="n">
        <v>1</v>
      </c>
      <c r="AM374" t="n">
        <v>1</v>
      </c>
      <c r="AN374" t="n">
        <v>0</v>
      </c>
      <c r="AO374" t="n">
        <v>0</v>
      </c>
      <c r="AP374" t="inlineStr">
        <is>
          <t>No</t>
        </is>
      </c>
      <c r="AQ374" t="inlineStr">
        <is>
          <t>Yes</t>
        </is>
      </c>
      <c r="AR374">
        <f>HYPERLINK("http://catalog.hathitrust.org/Record/100818679","HathiTrust Record")</f>
        <v/>
      </c>
      <c r="AS374">
        <f>HYPERLINK("https://creighton-primo.hosted.exlibrisgroup.com/primo-explore/search?tab=default_tab&amp;search_scope=EVERYTHING&amp;vid=01CRU&amp;lang=en_US&amp;offset=0&amp;query=any,contains,991001116469702656","Catalog Record")</f>
        <v/>
      </c>
      <c r="AT374">
        <f>HYPERLINK("http://www.worldcat.org/oclc/792932","WorldCat Record")</f>
        <v/>
      </c>
      <c r="AU374" t="inlineStr">
        <is>
          <t>3334648301:eng</t>
        </is>
      </c>
      <c r="AV374" t="inlineStr">
        <is>
          <t>792932</t>
        </is>
      </c>
      <c r="AW374" t="inlineStr">
        <is>
          <t>991001116469702656</t>
        </is>
      </c>
      <c r="AX374" t="inlineStr">
        <is>
          <t>991001116469702656</t>
        </is>
      </c>
      <c r="AY374" t="inlineStr">
        <is>
          <t>2260711400002656</t>
        </is>
      </c>
      <c r="AZ374" t="inlineStr">
        <is>
          <t>BOOK</t>
        </is>
      </c>
      <c r="BC374" t="inlineStr">
        <is>
          <t>30001000277469</t>
        </is>
      </c>
      <c r="BD374" t="inlineStr">
        <is>
          <t>893831924</t>
        </is>
      </c>
    </row>
    <row r="375">
      <c r="A375" t="inlineStr">
        <is>
          <t>No</t>
        </is>
      </c>
      <c r="B375" t="inlineStr">
        <is>
          <t>QZ 266 P119t</t>
        </is>
      </c>
      <c r="C375" t="inlineStr">
        <is>
          <t>0                      QZ 0266000P  119t</t>
        </is>
      </c>
      <c r="D375" t="inlineStr">
        <is>
          <t>Treatment of cancer and allied diseases / edited by George T. Pack and Irving M. Ariel.</t>
        </is>
      </c>
      <c r="E375" t="inlineStr">
        <is>
          <t>V. 2</t>
        </is>
      </c>
      <c r="F375" t="inlineStr">
        <is>
          <t>Yes</t>
        </is>
      </c>
      <c r="G375" t="inlineStr">
        <is>
          <t>1</t>
        </is>
      </c>
      <c r="H375" t="inlineStr">
        <is>
          <t>No</t>
        </is>
      </c>
      <c r="I375" t="inlineStr">
        <is>
          <t>No</t>
        </is>
      </c>
      <c r="J375" t="inlineStr">
        <is>
          <t>0</t>
        </is>
      </c>
      <c r="K375" t="inlineStr">
        <is>
          <t>Pack, George T. (George Thomas), 1898-1969, editor.</t>
        </is>
      </c>
      <c r="L375" t="inlineStr">
        <is>
          <t>New York : Harper, c1958-64.</t>
        </is>
      </c>
      <c r="M375" t="inlineStr">
        <is>
          <t>1958</t>
        </is>
      </c>
      <c r="N375" t="inlineStr">
        <is>
          <t>2nd ed.</t>
        </is>
      </c>
      <c r="O375" t="inlineStr">
        <is>
          <t>eng</t>
        </is>
      </c>
      <c r="P375" t="inlineStr">
        <is>
          <t>nyu</t>
        </is>
      </c>
      <c r="R375" t="inlineStr">
        <is>
          <t xml:space="preserve">QZ </t>
        </is>
      </c>
      <c r="S375" t="n">
        <v>1</v>
      </c>
      <c r="T375" t="n">
        <v>4</v>
      </c>
      <c r="U375" t="inlineStr">
        <is>
          <t>1996-08-18</t>
        </is>
      </c>
      <c r="V375" t="inlineStr">
        <is>
          <t>1996-08-18</t>
        </is>
      </c>
      <c r="W375" t="inlineStr">
        <is>
          <t>1988-03-17</t>
        </is>
      </c>
      <c r="X375" t="inlineStr">
        <is>
          <t>1988-03-17</t>
        </is>
      </c>
      <c r="Y375" t="n">
        <v>46</v>
      </c>
      <c r="Z375" t="n">
        <v>42</v>
      </c>
      <c r="AA375" t="n">
        <v>44</v>
      </c>
      <c r="AB375" t="n">
        <v>2</v>
      </c>
      <c r="AC375" t="n">
        <v>2</v>
      </c>
      <c r="AD375" t="n">
        <v>2</v>
      </c>
      <c r="AE375" t="n">
        <v>2</v>
      </c>
      <c r="AF375" t="n">
        <v>0</v>
      </c>
      <c r="AG375" t="n">
        <v>0</v>
      </c>
      <c r="AH375" t="n">
        <v>0</v>
      </c>
      <c r="AI375" t="n">
        <v>0</v>
      </c>
      <c r="AJ375" t="n">
        <v>1</v>
      </c>
      <c r="AK375" t="n">
        <v>1</v>
      </c>
      <c r="AL375" t="n">
        <v>1</v>
      </c>
      <c r="AM375" t="n">
        <v>1</v>
      </c>
      <c r="AN375" t="n">
        <v>0</v>
      </c>
      <c r="AO375" t="n">
        <v>0</v>
      </c>
      <c r="AP375" t="inlineStr">
        <is>
          <t>No</t>
        </is>
      </c>
      <c r="AQ375" t="inlineStr">
        <is>
          <t>Yes</t>
        </is>
      </c>
      <c r="AR375">
        <f>HYPERLINK("http://catalog.hathitrust.org/Record/100818679","HathiTrust Record")</f>
        <v/>
      </c>
      <c r="AS375">
        <f>HYPERLINK("https://creighton-primo.hosted.exlibrisgroup.com/primo-explore/search?tab=default_tab&amp;search_scope=EVERYTHING&amp;vid=01CRU&amp;lang=en_US&amp;offset=0&amp;query=any,contains,991001116469702656","Catalog Record")</f>
        <v/>
      </c>
      <c r="AT375">
        <f>HYPERLINK("http://www.worldcat.org/oclc/792932","WorldCat Record")</f>
        <v/>
      </c>
      <c r="AU375" t="inlineStr">
        <is>
          <t>3334648301:eng</t>
        </is>
      </c>
      <c r="AV375" t="inlineStr">
        <is>
          <t>792932</t>
        </is>
      </c>
      <c r="AW375" t="inlineStr">
        <is>
          <t>991001116469702656</t>
        </is>
      </c>
      <c r="AX375" t="inlineStr">
        <is>
          <t>991001116469702656</t>
        </is>
      </c>
      <c r="AY375" t="inlineStr">
        <is>
          <t>2260711400002656</t>
        </is>
      </c>
      <c r="AZ375" t="inlineStr">
        <is>
          <t>BOOK</t>
        </is>
      </c>
      <c r="BC375" t="inlineStr">
        <is>
          <t>30001000277410</t>
        </is>
      </c>
      <c r="BD375" t="inlineStr">
        <is>
          <t>893816110</t>
        </is>
      </c>
    </row>
    <row r="376">
      <c r="A376" t="inlineStr">
        <is>
          <t>No</t>
        </is>
      </c>
      <c r="B376" t="inlineStr">
        <is>
          <t>QZ 266 P5782 1990</t>
        </is>
      </c>
      <c r="C376" t="inlineStr">
        <is>
          <t>0                      QZ 0266000P  5782        1990</t>
        </is>
      </c>
      <c r="D376" t="inlineStr">
        <is>
          <t>Physical therapy for the cancer patient / edited by Charles L. McGarvey III.</t>
        </is>
      </c>
      <c r="F376" t="inlineStr">
        <is>
          <t>No</t>
        </is>
      </c>
      <c r="G376" t="inlineStr">
        <is>
          <t>1</t>
        </is>
      </c>
      <c r="H376" t="inlineStr">
        <is>
          <t>No</t>
        </is>
      </c>
      <c r="I376" t="inlineStr">
        <is>
          <t>No</t>
        </is>
      </c>
      <c r="J376" t="inlineStr">
        <is>
          <t>0</t>
        </is>
      </c>
      <c r="L376" t="inlineStr">
        <is>
          <t>New York : Churchill Livingstone, c1990.</t>
        </is>
      </c>
      <c r="M376" t="inlineStr">
        <is>
          <t>1990</t>
        </is>
      </c>
      <c r="O376" t="inlineStr">
        <is>
          <t>eng</t>
        </is>
      </c>
      <c r="P376" t="inlineStr">
        <is>
          <t>nyu</t>
        </is>
      </c>
      <c r="Q376" t="inlineStr">
        <is>
          <t>Clinics in physical therapy</t>
        </is>
      </c>
      <c r="R376" t="inlineStr">
        <is>
          <t xml:space="preserve">QZ </t>
        </is>
      </c>
      <c r="S376" t="n">
        <v>19</v>
      </c>
      <c r="T376" t="n">
        <v>19</v>
      </c>
      <c r="U376" t="inlineStr">
        <is>
          <t>2003-04-23</t>
        </is>
      </c>
      <c r="V376" t="inlineStr">
        <is>
          <t>2003-04-23</t>
        </is>
      </c>
      <c r="W376" t="inlineStr">
        <is>
          <t>1994-08-26</t>
        </is>
      </c>
      <c r="X376" t="inlineStr">
        <is>
          <t>1994-08-26</t>
        </is>
      </c>
      <c r="Y376" t="n">
        <v>198</v>
      </c>
      <c r="Z376" t="n">
        <v>146</v>
      </c>
      <c r="AA376" t="n">
        <v>146</v>
      </c>
      <c r="AB376" t="n">
        <v>1</v>
      </c>
      <c r="AC376" t="n">
        <v>1</v>
      </c>
      <c r="AD376" t="n">
        <v>6</v>
      </c>
      <c r="AE376" t="n">
        <v>6</v>
      </c>
      <c r="AF376" t="n">
        <v>2</v>
      </c>
      <c r="AG376" t="n">
        <v>2</v>
      </c>
      <c r="AH376" t="n">
        <v>2</v>
      </c>
      <c r="AI376" t="n">
        <v>2</v>
      </c>
      <c r="AJ376" t="n">
        <v>3</v>
      </c>
      <c r="AK376" t="n">
        <v>3</v>
      </c>
      <c r="AL376" t="n">
        <v>0</v>
      </c>
      <c r="AM376" t="n">
        <v>0</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HYPERLINK("https://creighton-primo.hosted.exlibrisgroup.com/primo-explore/search?tab=default_tab&amp;search_scope=EVERYTHING&amp;vid=01CRU&amp;lang=en_US&amp;offset=0&amp;query=any,contains,991001233989702656","Catalog Record")</f>
        <v/>
      </c>
      <c r="AT376">
        <f>HYPERLINK("http://www.worldcat.org/oclc/21231435","WorldCat Record")</f>
        <v/>
      </c>
      <c r="AU376" t="inlineStr">
        <is>
          <t>23226729:eng</t>
        </is>
      </c>
      <c r="AV376" t="inlineStr">
        <is>
          <t>21231435</t>
        </is>
      </c>
      <c r="AW376" t="inlineStr">
        <is>
          <t>991001233989702656</t>
        </is>
      </c>
      <c r="AX376" t="inlineStr">
        <is>
          <t>991001233989702656</t>
        </is>
      </c>
      <c r="AY376" t="inlineStr">
        <is>
          <t>2262625750002656</t>
        </is>
      </c>
      <c r="AZ376" t="inlineStr">
        <is>
          <t>BOOK</t>
        </is>
      </c>
      <c r="BB376" t="inlineStr">
        <is>
          <t>9780443086670</t>
        </is>
      </c>
      <c r="BC376" t="inlineStr">
        <is>
          <t>30001003007384</t>
        </is>
      </c>
      <c r="BD376" t="inlineStr">
        <is>
          <t>893268234</t>
        </is>
      </c>
    </row>
    <row r="377">
      <c r="A377" t="inlineStr">
        <is>
          <t>No</t>
        </is>
      </c>
      <c r="B377" t="inlineStr">
        <is>
          <t>QZ266 P5786 2005</t>
        </is>
      </c>
      <c r="C377" t="inlineStr">
        <is>
          <t>0                      QZ 0266000P  5786        2005</t>
        </is>
      </c>
      <c r="D377" t="inlineStr">
        <is>
          <t>Phytopharmaceuticals in cancer chemoprevention / edited by Debasis Bagchi, Harry G. Preuss.</t>
        </is>
      </c>
      <c r="F377" t="inlineStr">
        <is>
          <t>No</t>
        </is>
      </c>
      <c r="G377" t="inlineStr">
        <is>
          <t>1</t>
        </is>
      </c>
      <c r="H377" t="inlineStr">
        <is>
          <t>No</t>
        </is>
      </c>
      <c r="I377" t="inlineStr">
        <is>
          <t>No</t>
        </is>
      </c>
      <c r="J377" t="inlineStr">
        <is>
          <t>0</t>
        </is>
      </c>
      <c r="L377" t="inlineStr">
        <is>
          <t>Boca Raton, Fla. : CRC Press, c2005.</t>
        </is>
      </c>
      <c r="M377" t="inlineStr">
        <is>
          <t>2005</t>
        </is>
      </c>
      <c r="O377" t="inlineStr">
        <is>
          <t>eng</t>
        </is>
      </c>
      <c r="P377" t="inlineStr">
        <is>
          <t>flu</t>
        </is>
      </c>
      <c r="Q377" t="inlineStr">
        <is>
          <t>CRC series in modern nutrition science</t>
        </is>
      </c>
      <c r="R377" t="inlineStr">
        <is>
          <t xml:space="preserve">QZ </t>
        </is>
      </c>
      <c r="S377" t="n">
        <v>0</v>
      </c>
      <c r="T377" t="n">
        <v>0</v>
      </c>
      <c r="U377" t="inlineStr">
        <is>
          <t>2005-12-06</t>
        </is>
      </c>
      <c r="V377" t="inlineStr">
        <is>
          <t>2005-12-06</t>
        </is>
      </c>
      <c r="W377" t="inlineStr">
        <is>
          <t>2005-12-02</t>
        </is>
      </c>
      <c r="X377" t="inlineStr">
        <is>
          <t>2005-12-02</t>
        </is>
      </c>
      <c r="Y377" t="n">
        <v>110</v>
      </c>
      <c r="Z377" t="n">
        <v>66</v>
      </c>
      <c r="AA377" t="n">
        <v>113</v>
      </c>
      <c r="AB377" t="n">
        <v>2</v>
      </c>
      <c r="AC377" t="n">
        <v>2</v>
      </c>
      <c r="AD377" t="n">
        <v>3</v>
      </c>
      <c r="AE377" t="n">
        <v>3</v>
      </c>
      <c r="AF377" t="n">
        <v>0</v>
      </c>
      <c r="AG377" t="n">
        <v>0</v>
      </c>
      <c r="AH377" t="n">
        <v>2</v>
      </c>
      <c r="AI377" t="n">
        <v>2</v>
      </c>
      <c r="AJ377" t="n">
        <v>0</v>
      </c>
      <c r="AK377" t="n">
        <v>0</v>
      </c>
      <c r="AL377" t="n">
        <v>1</v>
      </c>
      <c r="AM377" t="n">
        <v>1</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HYPERLINK("https://creighton-primo.hosted.exlibrisgroup.com/primo-explore/search?tab=default_tab&amp;search_scope=EVERYTHING&amp;vid=01CRU&amp;lang=en_US&amp;offset=0&amp;query=any,contains,991000452689702656","Catalog Record")</f>
        <v/>
      </c>
      <c r="AT377">
        <f>HYPERLINK("http://www.worldcat.org/oclc/55518097","WorldCat Record")</f>
        <v/>
      </c>
      <c r="AU377" t="inlineStr">
        <is>
          <t>766868983:eng</t>
        </is>
      </c>
      <c r="AV377" t="inlineStr">
        <is>
          <t>55518097</t>
        </is>
      </c>
      <c r="AW377" t="inlineStr">
        <is>
          <t>991000452689702656</t>
        </is>
      </c>
      <c r="AX377" t="inlineStr">
        <is>
          <t>991000452689702656</t>
        </is>
      </c>
      <c r="AY377" t="inlineStr">
        <is>
          <t>2265694740002656</t>
        </is>
      </c>
      <c r="AZ377" t="inlineStr">
        <is>
          <t>BOOK</t>
        </is>
      </c>
      <c r="BB377" t="inlineStr">
        <is>
          <t>9780849315602</t>
        </is>
      </c>
      <c r="BC377" t="inlineStr">
        <is>
          <t>30001004914786</t>
        </is>
      </c>
      <c r="BD377" t="inlineStr">
        <is>
          <t>893123165</t>
        </is>
      </c>
    </row>
    <row r="378">
      <c r="A378" t="inlineStr">
        <is>
          <t>No</t>
        </is>
      </c>
      <c r="B378" t="inlineStr">
        <is>
          <t>QZ 266 P895 1992</t>
        </is>
      </c>
      <c r="C378" t="inlineStr">
        <is>
          <t>0                      QZ 0266000P  895         1992</t>
        </is>
      </c>
      <c r="D378" t="inlineStr">
        <is>
          <t>A Practical guide to rehabilitation oncology / edited by Ronald W. Raven.</t>
        </is>
      </c>
      <c r="F378" t="inlineStr">
        <is>
          <t>No</t>
        </is>
      </c>
      <c r="G378" t="inlineStr">
        <is>
          <t>1</t>
        </is>
      </c>
      <c r="H378" t="inlineStr">
        <is>
          <t>No</t>
        </is>
      </c>
      <c r="I378" t="inlineStr">
        <is>
          <t>No</t>
        </is>
      </c>
      <c r="J378" t="inlineStr">
        <is>
          <t>0</t>
        </is>
      </c>
      <c r="L378" t="inlineStr">
        <is>
          <t>Carnforth, Lancs, UK ; Park Ridge, N.J., USA : Parthenon Pub. Group, c1992.</t>
        </is>
      </c>
      <c r="M378" t="inlineStr">
        <is>
          <t>1992</t>
        </is>
      </c>
      <c r="O378" t="inlineStr">
        <is>
          <t>eng</t>
        </is>
      </c>
      <c r="P378" t="inlineStr">
        <is>
          <t>enk</t>
        </is>
      </c>
      <c r="R378" t="inlineStr">
        <is>
          <t xml:space="preserve">QZ </t>
        </is>
      </c>
      <c r="S378" t="n">
        <v>10</v>
      </c>
      <c r="T378" t="n">
        <v>10</v>
      </c>
      <c r="U378" t="inlineStr">
        <is>
          <t>1997-04-04</t>
        </is>
      </c>
      <c r="V378" t="inlineStr">
        <is>
          <t>1997-04-04</t>
        </is>
      </c>
      <c r="W378" t="inlineStr">
        <is>
          <t>1992-06-09</t>
        </is>
      </c>
      <c r="X378" t="inlineStr">
        <is>
          <t>1992-06-09</t>
        </is>
      </c>
      <c r="Y378" t="n">
        <v>45</v>
      </c>
      <c r="Z378" t="n">
        <v>32</v>
      </c>
      <c r="AA378" t="n">
        <v>53</v>
      </c>
      <c r="AB378" t="n">
        <v>1</v>
      </c>
      <c r="AC378" t="n">
        <v>1</v>
      </c>
      <c r="AD378" t="n">
        <v>0</v>
      </c>
      <c r="AE378" t="n">
        <v>0</v>
      </c>
      <c r="AF378" t="n">
        <v>0</v>
      </c>
      <c r="AG378" t="n">
        <v>0</v>
      </c>
      <c r="AH378" t="n">
        <v>0</v>
      </c>
      <c r="AI378" t="n">
        <v>0</v>
      </c>
      <c r="AJ378" t="n">
        <v>0</v>
      </c>
      <c r="AK378" t="n">
        <v>0</v>
      </c>
      <c r="AL378" t="n">
        <v>0</v>
      </c>
      <c r="AM378" t="n">
        <v>0</v>
      </c>
      <c r="AN378" t="n">
        <v>0</v>
      </c>
      <c r="AO378" t="n">
        <v>0</v>
      </c>
      <c r="AP378" t="inlineStr">
        <is>
          <t>No</t>
        </is>
      </c>
      <c r="AQ378" t="inlineStr">
        <is>
          <t>Yes</t>
        </is>
      </c>
      <c r="AR378">
        <f>HYPERLINK("http://catalog.hathitrust.org/Record/002525280","HathiTrust Record")</f>
        <v/>
      </c>
      <c r="AS378">
        <f>HYPERLINK("https://creighton-primo.hosted.exlibrisgroup.com/primo-explore/search?tab=default_tab&amp;search_scope=EVERYTHING&amp;vid=01CRU&amp;lang=en_US&amp;offset=0&amp;query=any,contains,991001306989702656","Catalog Record")</f>
        <v/>
      </c>
      <c r="AT378">
        <f>HYPERLINK("http://www.worldcat.org/oclc/23287187","WorldCat Record")</f>
        <v/>
      </c>
      <c r="AU378" t="inlineStr">
        <is>
          <t>55434130:eng</t>
        </is>
      </c>
      <c r="AV378" t="inlineStr">
        <is>
          <t>23287187</t>
        </is>
      </c>
      <c r="AW378" t="inlineStr">
        <is>
          <t>991001306989702656</t>
        </is>
      </c>
      <c r="AX378" t="inlineStr">
        <is>
          <t>991001306989702656</t>
        </is>
      </c>
      <c r="AY378" t="inlineStr">
        <is>
          <t>2272091460002656</t>
        </is>
      </c>
      <c r="AZ378" t="inlineStr">
        <is>
          <t>BOOK</t>
        </is>
      </c>
      <c r="BB378" t="inlineStr">
        <is>
          <t>9781850702948</t>
        </is>
      </c>
      <c r="BC378" t="inlineStr">
        <is>
          <t>30001002414086</t>
        </is>
      </c>
      <c r="BD378" t="inlineStr">
        <is>
          <t>893121392</t>
        </is>
      </c>
    </row>
    <row r="379">
      <c r="A379" t="inlineStr">
        <is>
          <t>No</t>
        </is>
      </c>
      <c r="B379" t="inlineStr">
        <is>
          <t>QZ 266 R344 2006</t>
        </is>
      </c>
      <c r="C379" t="inlineStr">
        <is>
          <t>0                      QZ 0266000R  344         2006</t>
        </is>
      </c>
      <c r="D379" t="inlineStr">
        <is>
          <t>Regulation of carcinogenesis, angiogenesis and metastasis by the proprotein convertases (PCs) : a new potential strategy in cancer therapy / edited by A-Majid Khatib.</t>
        </is>
      </c>
      <c r="F379" t="inlineStr">
        <is>
          <t>No</t>
        </is>
      </c>
      <c r="G379" t="inlineStr">
        <is>
          <t>1</t>
        </is>
      </c>
      <c r="H379" t="inlineStr">
        <is>
          <t>No</t>
        </is>
      </c>
      <c r="I379" t="inlineStr">
        <is>
          <t>No</t>
        </is>
      </c>
      <c r="J379" t="inlineStr">
        <is>
          <t>1</t>
        </is>
      </c>
      <c r="L379" t="inlineStr">
        <is>
          <t>Dordrecht, The Netherlands : Springer, 2006.</t>
        </is>
      </c>
      <c r="M379" t="inlineStr">
        <is>
          <t>2006</t>
        </is>
      </c>
      <c r="O379" t="inlineStr">
        <is>
          <t>eng</t>
        </is>
      </c>
      <c r="P379" t="inlineStr">
        <is>
          <t xml:space="preserve">ne </t>
        </is>
      </c>
      <c r="R379" t="inlineStr">
        <is>
          <t xml:space="preserve">QZ </t>
        </is>
      </c>
      <c r="S379" t="n">
        <v>0</v>
      </c>
      <c r="T379" t="n">
        <v>0</v>
      </c>
      <c r="U379" t="inlineStr">
        <is>
          <t>2007-11-16</t>
        </is>
      </c>
      <c r="V379" t="inlineStr">
        <is>
          <t>2007-11-16</t>
        </is>
      </c>
      <c r="W379" t="inlineStr">
        <is>
          <t>2007-11-15</t>
        </is>
      </c>
      <c r="X379" t="inlineStr">
        <is>
          <t>2007-11-15</t>
        </is>
      </c>
      <c r="Y379" t="n">
        <v>44</v>
      </c>
      <c r="Z379" t="n">
        <v>27</v>
      </c>
      <c r="AA379" t="n">
        <v>260</v>
      </c>
      <c r="AB379" t="n">
        <v>1</v>
      </c>
      <c r="AC379" t="n">
        <v>2</v>
      </c>
      <c r="AD379" t="n">
        <v>1</v>
      </c>
      <c r="AE379" t="n">
        <v>5</v>
      </c>
      <c r="AF379" t="n">
        <v>0</v>
      </c>
      <c r="AG379" t="n">
        <v>2</v>
      </c>
      <c r="AH379" t="n">
        <v>1</v>
      </c>
      <c r="AI379" t="n">
        <v>2</v>
      </c>
      <c r="AJ379" t="n">
        <v>0</v>
      </c>
      <c r="AK379" t="n">
        <v>4</v>
      </c>
      <c r="AL379" t="n">
        <v>0</v>
      </c>
      <c r="AM379" t="n">
        <v>0</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HYPERLINK("https://creighton-primo.hosted.exlibrisgroup.com/primo-explore/search?tab=default_tab&amp;search_scope=EVERYTHING&amp;vid=01CRU&amp;lang=en_US&amp;offset=0&amp;query=any,contains,991000661319702656","Catalog Record")</f>
        <v/>
      </c>
      <c r="AT379">
        <f>HYPERLINK("http://www.worldcat.org/oclc/71255657","WorldCat Record")</f>
        <v/>
      </c>
      <c r="AU379" t="inlineStr">
        <is>
          <t>905974594:eng</t>
        </is>
      </c>
      <c r="AV379" t="inlineStr">
        <is>
          <t>71255657</t>
        </is>
      </c>
      <c r="AW379" t="inlineStr">
        <is>
          <t>991000661319702656</t>
        </is>
      </c>
      <c r="AX379" t="inlineStr">
        <is>
          <t>991000661319702656</t>
        </is>
      </c>
      <c r="AY379" t="inlineStr">
        <is>
          <t>2261477300002656</t>
        </is>
      </c>
      <c r="AZ379" t="inlineStr">
        <is>
          <t>BOOK</t>
        </is>
      </c>
      <c r="BB379" t="inlineStr">
        <is>
          <t>9781402047930</t>
        </is>
      </c>
      <c r="BC379" t="inlineStr">
        <is>
          <t>30001005272978</t>
        </is>
      </c>
      <c r="BD379" t="inlineStr">
        <is>
          <t>893133186</t>
        </is>
      </c>
    </row>
    <row r="380">
      <c r="A380" t="inlineStr">
        <is>
          <t>No</t>
        </is>
      </c>
      <c r="B380" t="inlineStr">
        <is>
          <t>QZ 266 S376e 1999</t>
        </is>
      </c>
      <c r="C380" t="inlineStr">
        <is>
          <t>0                      QZ 0266000S  376e        1999</t>
        </is>
      </c>
      <c r="D380" t="inlineStr">
        <is>
          <t>Experiencing cancer : quality of life in treatment / Kirsten Costain Schou, Jenny Hewison.</t>
        </is>
      </c>
      <c r="F380" t="inlineStr">
        <is>
          <t>No</t>
        </is>
      </c>
      <c r="G380" t="inlineStr">
        <is>
          <t>1</t>
        </is>
      </c>
      <c r="H380" t="inlineStr">
        <is>
          <t>No</t>
        </is>
      </c>
      <c r="I380" t="inlineStr">
        <is>
          <t>No</t>
        </is>
      </c>
      <c r="J380" t="inlineStr">
        <is>
          <t>0</t>
        </is>
      </c>
      <c r="K380" t="inlineStr">
        <is>
          <t>Schou, Kirsten Costain, 1964-</t>
        </is>
      </c>
      <c r="L380" t="inlineStr">
        <is>
          <t>Buckingham ; Philadelphia : Open University Press, 1999.</t>
        </is>
      </c>
      <c r="M380" t="inlineStr">
        <is>
          <t>1999</t>
        </is>
      </c>
      <c r="O380" t="inlineStr">
        <is>
          <t>eng</t>
        </is>
      </c>
      <c r="P380" t="inlineStr">
        <is>
          <t>enk</t>
        </is>
      </c>
      <c r="Q380" t="inlineStr">
        <is>
          <t>Facing death</t>
        </is>
      </c>
      <c r="R380" t="inlineStr">
        <is>
          <t xml:space="preserve">QZ </t>
        </is>
      </c>
      <c r="S380" t="n">
        <v>3</v>
      </c>
      <c r="T380" t="n">
        <v>3</v>
      </c>
      <c r="U380" t="inlineStr">
        <is>
          <t>2002-05-23</t>
        </is>
      </c>
      <c r="V380" t="inlineStr">
        <is>
          <t>2002-05-23</t>
        </is>
      </c>
      <c r="W380" t="inlineStr">
        <is>
          <t>1999-09-03</t>
        </is>
      </c>
      <c r="X380" t="inlineStr">
        <is>
          <t>1999-09-03</t>
        </is>
      </c>
      <c r="Y380" t="n">
        <v>168</v>
      </c>
      <c r="Z380" t="n">
        <v>71</v>
      </c>
      <c r="AA380" t="n">
        <v>74</v>
      </c>
      <c r="AB380" t="n">
        <v>1</v>
      </c>
      <c r="AC380" t="n">
        <v>1</v>
      </c>
      <c r="AD380" t="n">
        <v>1</v>
      </c>
      <c r="AE380" t="n">
        <v>1</v>
      </c>
      <c r="AF380" t="n">
        <v>0</v>
      </c>
      <c r="AG380" t="n">
        <v>0</v>
      </c>
      <c r="AH380" t="n">
        <v>1</v>
      </c>
      <c r="AI380" t="n">
        <v>1</v>
      </c>
      <c r="AJ380" t="n">
        <v>1</v>
      </c>
      <c r="AK380" t="n">
        <v>1</v>
      </c>
      <c r="AL380" t="n">
        <v>0</v>
      </c>
      <c r="AM380" t="n">
        <v>0</v>
      </c>
      <c r="AN380" t="n">
        <v>0</v>
      </c>
      <c r="AO380" t="n">
        <v>0</v>
      </c>
      <c r="AP380" t="inlineStr">
        <is>
          <t>No</t>
        </is>
      </c>
      <c r="AQ380" t="inlineStr">
        <is>
          <t>Yes</t>
        </is>
      </c>
      <c r="AR380">
        <f>HYPERLINK("http://catalog.hathitrust.org/Record/004018137","HathiTrust Record")</f>
        <v/>
      </c>
      <c r="AS380">
        <f>HYPERLINK("https://creighton-primo.hosted.exlibrisgroup.com/primo-explore/search?tab=default_tab&amp;search_scope=EVERYTHING&amp;vid=01CRU&amp;lang=en_US&amp;offset=0&amp;query=any,contains,991000583339702656","Catalog Record")</f>
        <v/>
      </c>
      <c r="AT380">
        <f>HYPERLINK("http://www.worldcat.org/oclc/38976555","WorldCat Record")</f>
        <v/>
      </c>
      <c r="AU380" t="inlineStr">
        <is>
          <t>375191413:eng</t>
        </is>
      </c>
      <c r="AV380" t="inlineStr">
        <is>
          <t>38976555</t>
        </is>
      </c>
      <c r="AW380" t="inlineStr">
        <is>
          <t>991000583339702656</t>
        </is>
      </c>
      <c r="AX380" t="inlineStr">
        <is>
          <t>991000583339702656</t>
        </is>
      </c>
      <c r="AY380" t="inlineStr">
        <is>
          <t>2263274840002656</t>
        </is>
      </c>
      <c r="AZ380" t="inlineStr">
        <is>
          <t>BOOK</t>
        </is>
      </c>
      <c r="BB380" t="inlineStr">
        <is>
          <t>9780335198917</t>
        </is>
      </c>
      <c r="BC380" t="inlineStr">
        <is>
          <t>30001004012615</t>
        </is>
      </c>
      <c r="BD380" t="inlineStr">
        <is>
          <t>893367593</t>
        </is>
      </c>
    </row>
    <row r="381">
      <c r="A381" t="inlineStr">
        <is>
          <t>No</t>
        </is>
      </c>
      <c r="B381" t="inlineStr">
        <is>
          <t>QZ266 S399 2004</t>
        </is>
      </c>
      <c r="C381" t="inlineStr">
        <is>
          <t>0                      QZ 0266000S  399         2004</t>
        </is>
      </c>
      <c r="D381" t="inlineStr">
        <is>
          <t>Cancer fitness : exercise programs for cancer patients and survivors / Anna L. Schwartz.</t>
        </is>
      </c>
      <c r="F381" t="inlineStr">
        <is>
          <t>No</t>
        </is>
      </c>
      <c r="G381" t="inlineStr">
        <is>
          <t>1</t>
        </is>
      </c>
      <c r="H381" t="inlineStr">
        <is>
          <t>No</t>
        </is>
      </c>
      <c r="I381" t="inlineStr">
        <is>
          <t>No</t>
        </is>
      </c>
      <c r="J381" t="inlineStr">
        <is>
          <t>0</t>
        </is>
      </c>
      <c r="K381" t="inlineStr">
        <is>
          <t>Schwartz, Anna L.</t>
        </is>
      </c>
      <c r="L381" t="inlineStr">
        <is>
          <t>New York : Simon &amp; Schuster, c2004.</t>
        </is>
      </c>
      <c r="M381" t="inlineStr">
        <is>
          <t>2004</t>
        </is>
      </c>
      <c r="O381" t="inlineStr">
        <is>
          <t>eng</t>
        </is>
      </c>
      <c r="P381" t="inlineStr">
        <is>
          <t>nyu</t>
        </is>
      </c>
      <c r="R381" t="inlineStr">
        <is>
          <t xml:space="preserve">QZ </t>
        </is>
      </c>
      <c r="S381" t="n">
        <v>1</v>
      </c>
      <c r="T381" t="n">
        <v>1</v>
      </c>
      <c r="U381" t="inlineStr">
        <is>
          <t>2005-06-30</t>
        </is>
      </c>
      <c r="V381" t="inlineStr">
        <is>
          <t>2005-06-30</t>
        </is>
      </c>
      <c r="W381" t="inlineStr">
        <is>
          <t>2005-01-27</t>
        </is>
      </c>
      <c r="X381" t="inlineStr">
        <is>
          <t>2005-01-27</t>
        </is>
      </c>
      <c r="Y381" t="n">
        <v>556</v>
      </c>
      <c r="Z381" t="n">
        <v>500</v>
      </c>
      <c r="AA381" t="n">
        <v>531</v>
      </c>
      <c r="AB381" t="n">
        <v>3</v>
      </c>
      <c r="AC381" t="n">
        <v>4</v>
      </c>
      <c r="AD381" t="n">
        <v>3</v>
      </c>
      <c r="AE381" t="n">
        <v>3</v>
      </c>
      <c r="AF381" t="n">
        <v>0</v>
      </c>
      <c r="AG381" t="n">
        <v>0</v>
      </c>
      <c r="AH381" t="n">
        <v>1</v>
      </c>
      <c r="AI381" t="n">
        <v>1</v>
      </c>
      <c r="AJ381" t="n">
        <v>1</v>
      </c>
      <c r="AK381" t="n">
        <v>1</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HYPERLINK("https://creighton-primo.hosted.exlibrisgroup.com/primo-explore/search?tab=default_tab&amp;search_scope=EVERYTHING&amp;vid=01CRU&amp;lang=en_US&amp;offset=0&amp;query=any,contains,991000424779702656","Catalog Record")</f>
        <v/>
      </c>
      <c r="AT381">
        <f>HYPERLINK("http://www.worldcat.org/oclc/54693157","WorldCat Record")</f>
        <v/>
      </c>
      <c r="AU381" t="inlineStr">
        <is>
          <t>14117032:eng</t>
        </is>
      </c>
      <c r="AV381" t="inlineStr">
        <is>
          <t>54693157</t>
        </is>
      </c>
      <c r="AW381" t="inlineStr">
        <is>
          <t>991000424779702656</t>
        </is>
      </c>
      <c r="AX381" t="inlineStr">
        <is>
          <t>991000424779702656</t>
        </is>
      </c>
      <c r="AY381" t="inlineStr">
        <is>
          <t>2259712580002656</t>
        </is>
      </c>
      <c r="AZ381" t="inlineStr">
        <is>
          <t>BOOK</t>
        </is>
      </c>
      <c r="BB381" t="inlineStr">
        <is>
          <t>9780743238014</t>
        </is>
      </c>
      <c r="BC381" t="inlineStr">
        <is>
          <t>30001004926962</t>
        </is>
      </c>
      <c r="BD381" t="inlineStr">
        <is>
          <t>893542307</t>
        </is>
      </c>
    </row>
    <row r="382">
      <c r="A382" t="inlineStr">
        <is>
          <t>No</t>
        </is>
      </c>
      <c r="B382" t="inlineStr">
        <is>
          <t>QZ 266 T398 1990</t>
        </is>
      </c>
      <c r="C382" t="inlineStr">
        <is>
          <t>0                      QZ 0266000T  398         1990</t>
        </is>
      </c>
      <c r="D382" t="inlineStr">
        <is>
          <t>Therapy of advanced melanoma / volume editor, Philip Rümke.</t>
        </is>
      </c>
      <c r="F382" t="inlineStr">
        <is>
          <t>No</t>
        </is>
      </c>
      <c r="G382" t="inlineStr">
        <is>
          <t>1</t>
        </is>
      </c>
      <c r="H382" t="inlineStr">
        <is>
          <t>No</t>
        </is>
      </c>
      <c r="I382" t="inlineStr">
        <is>
          <t>No</t>
        </is>
      </c>
      <c r="J382" t="inlineStr">
        <is>
          <t>0</t>
        </is>
      </c>
      <c r="L382" t="inlineStr">
        <is>
          <t>Basel ; New York : Karger, c1990.</t>
        </is>
      </c>
      <c r="M382" t="inlineStr">
        <is>
          <t>1990</t>
        </is>
      </c>
      <c r="O382" t="inlineStr">
        <is>
          <t>eng</t>
        </is>
      </c>
      <c r="P382" t="inlineStr">
        <is>
          <t xml:space="preserve">sz </t>
        </is>
      </c>
      <c r="Q382" t="inlineStr">
        <is>
          <t>Pigment cell ; vol. 10</t>
        </is>
      </c>
      <c r="R382" t="inlineStr">
        <is>
          <t xml:space="preserve">QZ </t>
        </is>
      </c>
      <c r="S382" t="n">
        <v>4</v>
      </c>
      <c r="T382" t="n">
        <v>4</v>
      </c>
      <c r="U382" t="inlineStr">
        <is>
          <t>1995-03-11</t>
        </is>
      </c>
      <c r="V382" t="inlineStr">
        <is>
          <t>1995-03-11</t>
        </is>
      </c>
      <c r="W382" t="inlineStr">
        <is>
          <t>1991-03-20</t>
        </is>
      </c>
      <c r="X382" t="inlineStr">
        <is>
          <t>1991-03-20</t>
        </is>
      </c>
      <c r="Y382" t="n">
        <v>67</v>
      </c>
      <c r="Z382" t="n">
        <v>42</v>
      </c>
      <c r="AA382" t="n">
        <v>49</v>
      </c>
      <c r="AB382" t="n">
        <v>1</v>
      </c>
      <c r="AC382" t="n">
        <v>1</v>
      </c>
      <c r="AD382" t="n">
        <v>1</v>
      </c>
      <c r="AE382" t="n">
        <v>1</v>
      </c>
      <c r="AF382" t="n">
        <v>0</v>
      </c>
      <c r="AG382" t="n">
        <v>0</v>
      </c>
      <c r="AH382" t="n">
        <v>0</v>
      </c>
      <c r="AI382" t="n">
        <v>0</v>
      </c>
      <c r="AJ382" t="n">
        <v>1</v>
      </c>
      <c r="AK382" t="n">
        <v>1</v>
      </c>
      <c r="AL382" t="n">
        <v>0</v>
      </c>
      <c r="AM382" t="n">
        <v>0</v>
      </c>
      <c r="AN382" t="n">
        <v>0</v>
      </c>
      <c r="AO382" t="n">
        <v>0</v>
      </c>
      <c r="AP382" t="inlineStr">
        <is>
          <t>No</t>
        </is>
      </c>
      <c r="AQ382" t="inlineStr">
        <is>
          <t>Yes</t>
        </is>
      </c>
      <c r="AR382">
        <f>HYPERLINK("http://catalog.hathitrust.org/Record/002181556","HathiTrust Record")</f>
        <v/>
      </c>
      <c r="AS382">
        <f>HYPERLINK("https://creighton-primo.hosted.exlibrisgroup.com/primo-explore/search?tab=default_tab&amp;search_scope=EVERYTHING&amp;vid=01CRU&amp;lang=en_US&amp;offset=0&amp;query=any,contains,991000826919702656","Catalog Record")</f>
        <v/>
      </c>
      <c r="AT382">
        <f>HYPERLINK("http://www.worldcat.org/oclc/21078013","WorldCat Record")</f>
        <v/>
      </c>
      <c r="AU382" t="inlineStr">
        <is>
          <t>3154824:eng</t>
        </is>
      </c>
      <c r="AV382" t="inlineStr">
        <is>
          <t>21078013</t>
        </is>
      </c>
      <c r="AW382" t="inlineStr">
        <is>
          <t>991000826919702656</t>
        </is>
      </c>
      <c r="AX382" t="inlineStr">
        <is>
          <t>991000826919702656</t>
        </is>
      </c>
      <c r="AY382" t="inlineStr">
        <is>
          <t>2272467520002656</t>
        </is>
      </c>
      <c r="AZ382" t="inlineStr">
        <is>
          <t>BOOK</t>
        </is>
      </c>
      <c r="BB382" t="inlineStr">
        <is>
          <t>9783805550321</t>
        </is>
      </c>
      <c r="BC382" t="inlineStr">
        <is>
          <t>30001002089078</t>
        </is>
      </c>
      <c r="BD382" t="inlineStr">
        <is>
          <t>893551787</t>
        </is>
      </c>
    </row>
    <row r="383">
      <c r="A383" t="inlineStr">
        <is>
          <t>No</t>
        </is>
      </c>
      <c r="B383" t="inlineStr">
        <is>
          <t>QZ 267 A628 1999</t>
        </is>
      </c>
      <c r="C383" t="inlineStr">
        <is>
          <t>0                      QZ 0267000A  628         1999</t>
        </is>
      </c>
      <c r="D383" t="inlineStr">
        <is>
          <t>Antiangiogenic agents in cancer therapy / edited by Beverly A. Teicher.</t>
        </is>
      </c>
      <c r="F383" t="inlineStr">
        <is>
          <t>No</t>
        </is>
      </c>
      <c r="G383" t="inlineStr">
        <is>
          <t>1</t>
        </is>
      </c>
      <c r="H383" t="inlineStr">
        <is>
          <t>No</t>
        </is>
      </c>
      <c r="I383" t="inlineStr">
        <is>
          <t>No</t>
        </is>
      </c>
      <c r="J383" t="inlineStr">
        <is>
          <t>1</t>
        </is>
      </c>
      <c r="L383" t="inlineStr">
        <is>
          <t>Totowa, N.J. : Humana Press, c1999.</t>
        </is>
      </c>
      <c r="M383" t="inlineStr">
        <is>
          <t>1999</t>
        </is>
      </c>
      <c r="O383" t="inlineStr">
        <is>
          <t>eng</t>
        </is>
      </c>
      <c r="P383" t="inlineStr">
        <is>
          <t>nju</t>
        </is>
      </c>
      <c r="Q383" t="inlineStr">
        <is>
          <t>Cancer drug discovery and development</t>
        </is>
      </c>
      <c r="R383" t="inlineStr">
        <is>
          <t xml:space="preserve">QZ </t>
        </is>
      </c>
      <c r="S383" t="n">
        <v>21</v>
      </c>
      <c r="T383" t="n">
        <v>21</v>
      </c>
      <c r="U383" t="inlineStr">
        <is>
          <t>2000-11-26</t>
        </is>
      </c>
      <c r="V383" t="inlineStr">
        <is>
          <t>2000-11-26</t>
        </is>
      </c>
      <c r="W383" t="inlineStr">
        <is>
          <t>1999-07-09</t>
        </is>
      </c>
      <c r="X383" t="inlineStr">
        <is>
          <t>1999-07-09</t>
        </is>
      </c>
      <c r="Y383" t="n">
        <v>100</v>
      </c>
      <c r="Z383" t="n">
        <v>75</v>
      </c>
      <c r="AA383" t="n">
        <v>324</v>
      </c>
      <c r="AB383" t="n">
        <v>1</v>
      </c>
      <c r="AC383" t="n">
        <v>2</v>
      </c>
      <c r="AD383" t="n">
        <v>2</v>
      </c>
      <c r="AE383" t="n">
        <v>6</v>
      </c>
      <c r="AF383" t="n">
        <v>0</v>
      </c>
      <c r="AG383" t="n">
        <v>1</v>
      </c>
      <c r="AH383" t="n">
        <v>2</v>
      </c>
      <c r="AI383" t="n">
        <v>3</v>
      </c>
      <c r="AJ383" t="n">
        <v>0</v>
      </c>
      <c r="AK383" t="n">
        <v>4</v>
      </c>
      <c r="AL383" t="n">
        <v>0</v>
      </c>
      <c r="AM383" t="n">
        <v>0</v>
      </c>
      <c r="AN383" t="n">
        <v>0</v>
      </c>
      <c r="AO383" t="n">
        <v>0</v>
      </c>
      <c r="AP383" t="inlineStr">
        <is>
          <t>No</t>
        </is>
      </c>
      <c r="AQ383" t="inlineStr">
        <is>
          <t>Yes</t>
        </is>
      </c>
      <c r="AR383">
        <f>HYPERLINK("http://catalog.hathitrust.org/Record/004018068","HathiTrust Record")</f>
        <v/>
      </c>
      <c r="AS383">
        <f>HYPERLINK("https://creighton-primo.hosted.exlibrisgroup.com/primo-explore/search?tab=default_tab&amp;search_scope=EVERYTHING&amp;vid=01CRU&amp;lang=en_US&amp;offset=0&amp;query=any,contains,991000487579702656","Catalog Record")</f>
        <v/>
      </c>
      <c r="AT383">
        <f>HYPERLINK("http://www.worldcat.org/oclc/40075837","WorldCat Record")</f>
        <v/>
      </c>
      <c r="AU383" t="inlineStr">
        <is>
          <t>1072013781:eng</t>
        </is>
      </c>
      <c r="AV383" t="inlineStr">
        <is>
          <t>40075837</t>
        </is>
      </c>
      <c r="AW383" t="inlineStr">
        <is>
          <t>991000487579702656</t>
        </is>
      </c>
      <c r="AX383" t="inlineStr">
        <is>
          <t>991000487579702656</t>
        </is>
      </c>
      <c r="AY383" t="inlineStr">
        <is>
          <t>2265590630002656</t>
        </is>
      </c>
      <c r="AZ383" t="inlineStr">
        <is>
          <t>BOOK</t>
        </is>
      </c>
      <c r="BB383" t="inlineStr">
        <is>
          <t>9780896036413</t>
        </is>
      </c>
      <c r="BC383" t="inlineStr">
        <is>
          <t>30001004078053</t>
        </is>
      </c>
      <c r="BD383" t="inlineStr">
        <is>
          <t>893365611</t>
        </is>
      </c>
    </row>
    <row r="384">
      <c r="A384" t="inlineStr">
        <is>
          <t>No</t>
        </is>
      </c>
      <c r="B384" t="inlineStr">
        <is>
          <t>QZ 267 B6156 1988</t>
        </is>
      </c>
      <c r="C384" t="inlineStr">
        <is>
          <t>0                      QZ 0267000B  6156        1988</t>
        </is>
      </c>
      <c r="D384" t="inlineStr">
        <is>
          <t>Biological response modifiers and cancer therapy / edited by J.W. Chiao.</t>
        </is>
      </c>
      <c r="E384" t="inlineStr">
        <is>
          <t>V. 40</t>
        </is>
      </c>
      <c r="F384" t="inlineStr">
        <is>
          <t>No</t>
        </is>
      </c>
      <c r="G384" t="inlineStr">
        <is>
          <t>1</t>
        </is>
      </c>
      <c r="H384" t="inlineStr">
        <is>
          <t>No</t>
        </is>
      </c>
      <c r="I384" t="inlineStr">
        <is>
          <t>No</t>
        </is>
      </c>
      <c r="J384" t="inlineStr">
        <is>
          <t>0</t>
        </is>
      </c>
      <c r="L384" t="inlineStr">
        <is>
          <t>New York : Dekker, c1988.</t>
        </is>
      </c>
      <c r="M384" t="inlineStr">
        <is>
          <t>1988</t>
        </is>
      </c>
      <c r="O384" t="inlineStr">
        <is>
          <t>eng</t>
        </is>
      </c>
      <c r="P384" t="inlineStr">
        <is>
          <t>xxu</t>
        </is>
      </c>
      <c r="Q384" t="inlineStr">
        <is>
          <t>Immunology series ; v. 40</t>
        </is>
      </c>
      <c r="R384" t="inlineStr">
        <is>
          <t xml:space="preserve">QZ </t>
        </is>
      </c>
      <c r="S384" t="n">
        <v>11</v>
      </c>
      <c r="T384" t="n">
        <v>11</v>
      </c>
      <c r="U384" t="inlineStr">
        <is>
          <t>1997-04-20</t>
        </is>
      </c>
      <c r="V384" t="inlineStr">
        <is>
          <t>1997-04-20</t>
        </is>
      </c>
      <c r="W384" t="inlineStr">
        <is>
          <t>1989-05-27</t>
        </is>
      </c>
      <c r="X384" t="inlineStr">
        <is>
          <t>1989-05-27</t>
        </is>
      </c>
      <c r="Y384" t="n">
        <v>143</v>
      </c>
      <c r="Z384" t="n">
        <v>116</v>
      </c>
      <c r="AA384" t="n">
        <v>118</v>
      </c>
      <c r="AB384" t="n">
        <v>2</v>
      </c>
      <c r="AC384" t="n">
        <v>2</v>
      </c>
      <c r="AD384" t="n">
        <v>4</v>
      </c>
      <c r="AE384" t="n">
        <v>4</v>
      </c>
      <c r="AF384" t="n">
        <v>0</v>
      </c>
      <c r="AG384" t="n">
        <v>0</v>
      </c>
      <c r="AH384" t="n">
        <v>3</v>
      </c>
      <c r="AI384" t="n">
        <v>3</v>
      </c>
      <c r="AJ384" t="n">
        <v>2</v>
      </c>
      <c r="AK384" t="n">
        <v>2</v>
      </c>
      <c r="AL384" t="n">
        <v>1</v>
      </c>
      <c r="AM384" t="n">
        <v>1</v>
      </c>
      <c r="AN384" t="n">
        <v>0</v>
      </c>
      <c r="AO384" t="n">
        <v>0</v>
      </c>
      <c r="AP384" t="inlineStr">
        <is>
          <t>No</t>
        </is>
      </c>
      <c r="AQ384" t="inlineStr">
        <is>
          <t>Yes</t>
        </is>
      </c>
      <c r="AR384">
        <f>HYPERLINK("http://catalog.hathitrust.org/Record/000929312","HathiTrust Record")</f>
        <v/>
      </c>
      <c r="AS384">
        <f>HYPERLINK("https://creighton-primo.hosted.exlibrisgroup.com/primo-explore/search?tab=default_tab&amp;search_scope=EVERYTHING&amp;vid=01CRU&amp;lang=en_US&amp;offset=0&amp;query=any,contains,991001247609702656","Catalog Record")</f>
        <v/>
      </c>
      <c r="AT384">
        <f>HYPERLINK("http://www.worldcat.org/oclc/17840791","WorldCat Record")</f>
        <v/>
      </c>
      <c r="AU384" t="inlineStr">
        <is>
          <t>16960046:eng</t>
        </is>
      </c>
      <c r="AV384" t="inlineStr">
        <is>
          <t>17840791</t>
        </is>
      </c>
      <c r="AW384" t="inlineStr">
        <is>
          <t>991001247609702656</t>
        </is>
      </c>
      <c r="AX384" t="inlineStr">
        <is>
          <t>991001247609702656</t>
        </is>
      </c>
      <c r="AY384" t="inlineStr">
        <is>
          <t>2264658910002656</t>
        </is>
      </c>
      <c r="AZ384" t="inlineStr">
        <is>
          <t>BOOK</t>
        </is>
      </c>
      <c r="BB384" t="inlineStr">
        <is>
          <t>9780824778606</t>
        </is>
      </c>
      <c r="BC384" t="inlineStr">
        <is>
          <t>30001001677907</t>
        </is>
      </c>
      <c r="BD384" t="inlineStr">
        <is>
          <t>893121303</t>
        </is>
      </c>
    </row>
    <row r="385">
      <c r="A385" t="inlineStr">
        <is>
          <t>No</t>
        </is>
      </c>
      <c r="B385" t="inlineStr">
        <is>
          <t>QZ267 B678n 2001</t>
        </is>
      </c>
      <c r="C385" t="inlineStr">
        <is>
          <t>0                      QZ 0267000B  678n        2001</t>
        </is>
      </c>
      <c r="D385" t="inlineStr">
        <is>
          <t>Natural compounds in cancer therapy / John Boik.</t>
        </is>
      </c>
      <c r="F385" t="inlineStr">
        <is>
          <t>No</t>
        </is>
      </c>
      <c r="G385" t="inlineStr">
        <is>
          <t>1</t>
        </is>
      </c>
      <c r="H385" t="inlineStr">
        <is>
          <t>No</t>
        </is>
      </c>
      <c r="I385" t="inlineStr">
        <is>
          <t>No</t>
        </is>
      </c>
      <c r="J385" t="inlineStr">
        <is>
          <t>0</t>
        </is>
      </c>
      <c r="K385" t="inlineStr">
        <is>
          <t>Boik, John.</t>
        </is>
      </c>
      <c r="L385" t="inlineStr">
        <is>
          <t>Princeton, Minn. : Oregon Medical Press, c2001.</t>
        </is>
      </c>
      <c r="M385" t="inlineStr">
        <is>
          <t>2001</t>
        </is>
      </c>
      <c r="O385" t="inlineStr">
        <is>
          <t>eng</t>
        </is>
      </c>
      <c r="P385" t="inlineStr">
        <is>
          <t>mnu</t>
        </is>
      </c>
      <c r="R385" t="inlineStr">
        <is>
          <t xml:space="preserve">QZ </t>
        </is>
      </c>
      <c r="S385" t="n">
        <v>8</v>
      </c>
      <c r="T385" t="n">
        <v>8</v>
      </c>
      <c r="U385" t="inlineStr">
        <is>
          <t>2009-07-11</t>
        </is>
      </c>
      <c r="V385" t="inlineStr">
        <is>
          <t>2009-07-11</t>
        </is>
      </c>
      <c r="W385" t="inlineStr">
        <is>
          <t>2001-12-14</t>
        </is>
      </c>
      <c r="X385" t="inlineStr">
        <is>
          <t>2001-12-14</t>
        </is>
      </c>
      <c r="Y385" t="n">
        <v>397</v>
      </c>
      <c r="Z385" t="n">
        <v>357</v>
      </c>
      <c r="AA385" t="n">
        <v>362</v>
      </c>
      <c r="AB385" t="n">
        <v>4</v>
      </c>
      <c r="AC385" t="n">
        <v>4</v>
      </c>
      <c r="AD385" t="n">
        <v>13</v>
      </c>
      <c r="AE385" t="n">
        <v>13</v>
      </c>
      <c r="AF385" t="n">
        <v>7</v>
      </c>
      <c r="AG385" t="n">
        <v>7</v>
      </c>
      <c r="AH385" t="n">
        <v>2</v>
      </c>
      <c r="AI385" t="n">
        <v>2</v>
      </c>
      <c r="AJ385" t="n">
        <v>6</v>
      </c>
      <c r="AK385" t="n">
        <v>6</v>
      </c>
      <c r="AL385" t="n">
        <v>2</v>
      </c>
      <c r="AM385" t="n">
        <v>2</v>
      </c>
      <c r="AN385" t="n">
        <v>0</v>
      </c>
      <c r="AO385" t="n">
        <v>0</v>
      </c>
      <c r="AP385" t="inlineStr">
        <is>
          <t>No</t>
        </is>
      </c>
      <c r="AQ385" t="inlineStr">
        <is>
          <t>Yes</t>
        </is>
      </c>
      <c r="AR385">
        <f>HYPERLINK("http://catalog.hathitrust.org/Record/004203959","HathiTrust Record")</f>
        <v/>
      </c>
      <c r="AS385">
        <f>HYPERLINK("https://creighton-primo.hosted.exlibrisgroup.com/primo-explore/search?tab=default_tab&amp;search_scope=EVERYTHING&amp;vid=01CRU&amp;lang=en_US&amp;offset=0&amp;query=any,contains,991000295509702656","Catalog Record")</f>
        <v/>
      </c>
      <c r="AT385">
        <f>HYPERLINK("http://www.worldcat.org/oclc/47039092","WorldCat Record")</f>
        <v/>
      </c>
      <c r="AU385" t="inlineStr">
        <is>
          <t>36344718:eng</t>
        </is>
      </c>
      <c r="AV385" t="inlineStr">
        <is>
          <t>47039092</t>
        </is>
      </c>
      <c r="AW385" t="inlineStr">
        <is>
          <t>991000295509702656</t>
        </is>
      </c>
      <c r="AX385" t="inlineStr">
        <is>
          <t>991000295509702656</t>
        </is>
      </c>
      <c r="AY385" t="inlineStr">
        <is>
          <t>2256635800002656</t>
        </is>
      </c>
      <c r="AZ385" t="inlineStr">
        <is>
          <t>BOOK</t>
        </is>
      </c>
      <c r="BB385" t="inlineStr">
        <is>
          <t>9780964828018</t>
        </is>
      </c>
      <c r="BC385" t="inlineStr">
        <is>
          <t>30001004236131</t>
        </is>
      </c>
      <c r="BD385" t="inlineStr">
        <is>
          <t>893456512</t>
        </is>
      </c>
    </row>
    <row r="386">
      <c r="A386" t="inlineStr">
        <is>
          <t>No</t>
        </is>
      </c>
      <c r="B386" t="inlineStr">
        <is>
          <t>QZ267 C21515 2001</t>
        </is>
      </c>
      <c r="C386" t="inlineStr">
        <is>
          <t>0                      QZ 0267000C  21515       2001</t>
        </is>
      </c>
      <c r="D386" t="inlineStr">
        <is>
          <t>Cancer chemotherapy and biotherapy : principles and practice / edited by Bruce A. Chabner, Dan L. Longo ; with 66 contributing authors.</t>
        </is>
      </c>
      <c r="F386" t="inlineStr">
        <is>
          <t>No</t>
        </is>
      </c>
      <c r="G386" t="inlineStr">
        <is>
          <t>1</t>
        </is>
      </c>
      <c r="H386" t="inlineStr">
        <is>
          <t>No</t>
        </is>
      </c>
      <c r="I386" t="inlineStr">
        <is>
          <t>Yes</t>
        </is>
      </c>
      <c r="J386" t="inlineStr">
        <is>
          <t>0</t>
        </is>
      </c>
      <c r="L386" t="inlineStr">
        <is>
          <t>Philadelphia : Lippincott Williams &amp; Wilkins, c2001.</t>
        </is>
      </c>
      <c r="M386" t="inlineStr">
        <is>
          <t>2001</t>
        </is>
      </c>
      <c r="N386" t="inlineStr">
        <is>
          <t>3rd ed.</t>
        </is>
      </c>
      <c r="O386" t="inlineStr">
        <is>
          <t>eng</t>
        </is>
      </c>
      <c r="P386" t="inlineStr">
        <is>
          <t>pau</t>
        </is>
      </c>
      <c r="R386" t="inlineStr">
        <is>
          <t xml:space="preserve">QZ </t>
        </is>
      </c>
      <c r="S386" t="n">
        <v>2</v>
      </c>
      <c r="T386" t="n">
        <v>2</v>
      </c>
      <c r="U386" t="inlineStr">
        <is>
          <t>2002-12-10</t>
        </is>
      </c>
      <c r="V386" t="inlineStr">
        <is>
          <t>2002-12-10</t>
        </is>
      </c>
      <c r="W386" t="inlineStr">
        <is>
          <t>2002-06-07</t>
        </is>
      </c>
      <c r="X386" t="inlineStr">
        <is>
          <t>2002-06-07</t>
        </is>
      </c>
      <c r="Y386" t="n">
        <v>158</v>
      </c>
      <c r="Z386" t="n">
        <v>121</v>
      </c>
      <c r="AA386" t="n">
        <v>807</v>
      </c>
      <c r="AB386" t="n">
        <v>1</v>
      </c>
      <c r="AC386" t="n">
        <v>9</v>
      </c>
      <c r="AD386" t="n">
        <v>3</v>
      </c>
      <c r="AE386" t="n">
        <v>34</v>
      </c>
      <c r="AF386" t="n">
        <v>1</v>
      </c>
      <c r="AG386" t="n">
        <v>10</v>
      </c>
      <c r="AH386" t="n">
        <v>1</v>
      </c>
      <c r="AI386" t="n">
        <v>11</v>
      </c>
      <c r="AJ386" t="n">
        <v>1</v>
      </c>
      <c r="AK386" t="n">
        <v>10</v>
      </c>
      <c r="AL386" t="n">
        <v>0</v>
      </c>
      <c r="AM386" t="n">
        <v>7</v>
      </c>
      <c r="AN386" t="n">
        <v>0</v>
      </c>
      <c r="AO386" t="n">
        <v>1</v>
      </c>
      <c r="AP386" t="inlineStr">
        <is>
          <t>No</t>
        </is>
      </c>
      <c r="AQ386" t="inlineStr">
        <is>
          <t>No</t>
        </is>
      </c>
      <c r="AS386">
        <f>HYPERLINK("https://creighton-primo.hosted.exlibrisgroup.com/primo-explore/search?tab=default_tab&amp;search_scope=EVERYTHING&amp;vid=01CRU&amp;lang=en_US&amp;offset=0&amp;query=any,contains,991000312739702656","Catalog Record")</f>
        <v/>
      </c>
      <c r="AT386">
        <f>HYPERLINK("http://www.worldcat.org/oclc/47756557","WorldCat Record")</f>
        <v/>
      </c>
      <c r="AU386" t="inlineStr">
        <is>
          <t>1077109710:eng</t>
        </is>
      </c>
      <c r="AV386" t="inlineStr">
        <is>
          <t>47756557</t>
        </is>
      </c>
      <c r="AW386" t="inlineStr">
        <is>
          <t>991000312739702656</t>
        </is>
      </c>
      <c r="AX386" t="inlineStr">
        <is>
          <t>991000312739702656</t>
        </is>
      </c>
      <c r="AY386" t="inlineStr">
        <is>
          <t>2258276670002656</t>
        </is>
      </c>
      <c r="AZ386" t="inlineStr">
        <is>
          <t>BOOK</t>
        </is>
      </c>
      <c r="BB386" t="inlineStr">
        <is>
          <t>9780781722698</t>
        </is>
      </c>
      <c r="BC386" t="inlineStr">
        <is>
          <t>30001004238483</t>
        </is>
      </c>
      <c r="BD386" t="inlineStr">
        <is>
          <t>893553396</t>
        </is>
      </c>
    </row>
    <row r="387">
      <c r="A387" t="inlineStr">
        <is>
          <t>No</t>
        </is>
      </c>
      <c r="B387" t="inlineStr">
        <is>
          <t>QZ267 C21515 2006</t>
        </is>
      </c>
      <c r="C387" t="inlineStr">
        <is>
          <t>0                      QZ 0267000C  21515       2006</t>
        </is>
      </c>
      <c r="D387" t="inlineStr">
        <is>
          <t>Cancer chemotherapy and biotherapy : principles and practice / editors Bruce A. Chabner, Dan L. Longo.</t>
        </is>
      </c>
      <c r="F387" t="inlineStr">
        <is>
          <t>No</t>
        </is>
      </c>
      <c r="G387" t="inlineStr">
        <is>
          <t>1</t>
        </is>
      </c>
      <c r="H387" t="inlineStr">
        <is>
          <t>No</t>
        </is>
      </c>
      <c r="I387" t="inlineStr">
        <is>
          <t>Yes</t>
        </is>
      </c>
      <c r="J387" t="inlineStr">
        <is>
          <t>0</t>
        </is>
      </c>
      <c r="L387" t="inlineStr">
        <is>
          <t>Philadelphia : Lippincott Williams &amp; Wilkins, c2006.</t>
        </is>
      </c>
      <c r="M387" t="inlineStr">
        <is>
          <t>2006</t>
        </is>
      </c>
      <c r="N387" t="inlineStr">
        <is>
          <t>4th ed.</t>
        </is>
      </c>
      <c r="O387" t="inlineStr">
        <is>
          <t>eng</t>
        </is>
      </c>
      <c r="P387" t="inlineStr">
        <is>
          <t>pau</t>
        </is>
      </c>
      <c r="R387" t="inlineStr">
        <is>
          <t xml:space="preserve">QZ </t>
        </is>
      </c>
      <c r="S387" t="n">
        <v>1</v>
      </c>
      <c r="T387" t="n">
        <v>1</v>
      </c>
      <c r="U387" t="inlineStr">
        <is>
          <t>2005-11-22</t>
        </is>
      </c>
      <c r="V387" t="inlineStr">
        <is>
          <t>2005-11-22</t>
        </is>
      </c>
      <c r="W387" t="inlineStr">
        <is>
          <t>2005-11-16</t>
        </is>
      </c>
      <c r="X387" t="inlineStr">
        <is>
          <t>2005-11-16</t>
        </is>
      </c>
      <c r="Y387" t="n">
        <v>208</v>
      </c>
      <c r="Z387" t="n">
        <v>147</v>
      </c>
      <c r="AA387" t="n">
        <v>807</v>
      </c>
      <c r="AB387" t="n">
        <v>1</v>
      </c>
      <c r="AC387" t="n">
        <v>9</v>
      </c>
      <c r="AD387" t="n">
        <v>5</v>
      </c>
      <c r="AE387" t="n">
        <v>34</v>
      </c>
      <c r="AF387" t="n">
        <v>1</v>
      </c>
      <c r="AG387" t="n">
        <v>10</v>
      </c>
      <c r="AH387" t="n">
        <v>3</v>
      </c>
      <c r="AI387" t="n">
        <v>11</v>
      </c>
      <c r="AJ387" t="n">
        <v>3</v>
      </c>
      <c r="AK387" t="n">
        <v>10</v>
      </c>
      <c r="AL387" t="n">
        <v>0</v>
      </c>
      <c r="AM387" t="n">
        <v>7</v>
      </c>
      <c r="AN387" t="n">
        <v>0</v>
      </c>
      <c r="AO387" t="n">
        <v>1</v>
      </c>
      <c r="AP387" t="inlineStr">
        <is>
          <t>No</t>
        </is>
      </c>
      <c r="AQ387" t="inlineStr">
        <is>
          <t>No</t>
        </is>
      </c>
      <c r="AS387">
        <f>HYPERLINK("https://creighton-primo.hosted.exlibrisgroup.com/primo-explore/search?tab=default_tab&amp;search_scope=EVERYTHING&amp;vid=01CRU&amp;lang=en_US&amp;offset=0&amp;query=any,contains,991000449399702656","Catalog Record")</f>
        <v/>
      </c>
      <c r="AT387">
        <f>HYPERLINK("http://www.worldcat.org/oclc/61285522","WorldCat Record")</f>
        <v/>
      </c>
      <c r="AU387" t="inlineStr">
        <is>
          <t>1077109710:eng</t>
        </is>
      </c>
      <c r="AV387" t="inlineStr">
        <is>
          <t>61285522</t>
        </is>
      </c>
      <c r="AW387" t="inlineStr">
        <is>
          <t>991000449399702656</t>
        </is>
      </c>
      <c r="AX387" t="inlineStr">
        <is>
          <t>991000449399702656</t>
        </is>
      </c>
      <c r="AY387" t="inlineStr">
        <is>
          <t>2266925580002656</t>
        </is>
      </c>
      <c r="AZ387" t="inlineStr">
        <is>
          <t>BOOK</t>
        </is>
      </c>
      <c r="BB387" t="inlineStr">
        <is>
          <t>9780781756280</t>
        </is>
      </c>
      <c r="BC387" t="inlineStr">
        <is>
          <t>30001004914547</t>
        </is>
      </c>
      <c r="BD387" t="inlineStr">
        <is>
          <t>893456748</t>
        </is>
      </c>
    </row>
    <row r="388">
      <c r="A388" t="inlineStr">
        <is>
          <t>No</t>
        </is>
      </c>
      <c r="B388" t="inlineStr">
        <is>
          <t>QZ 267 C2168 1989</t>
        </is>
      </c>
      <c r="C388" t="inlineStr">
        <is>
          <t>0                      QZ 0267000C  2168        1989</t>
        </is>
      </c>
      <c r="D388" t="inlineStr">
        <is>
          <t>Cancer chemotherapy : concepts, clinical investigations, and therapeutic advances / edited by F.M. Muggia.</t>
        </is>
      </c>
      <c r="F388" t="inlineStr">
        <is>
          <t>No</t>
        </is>
      </c>
      <c r="G388" t="inlineStr">
        <is>
          <t>1</t>
        </is>
      </c>
      <c r="H388" t="inlineStr">
        <is>
          <t>No</t>
        </is>
      </c>
      <c r="I388" t="inlineStr">
        <is>
          <t>No</t>
        </is>
      </c>
      <c r="J388" t="inlineStr">
        <is>
          <t>0</t>
        </is>
      </c>
      <c r="L388" t="inlineStr">
        <is>
          <t>Boston : Kluwer Academic Publishers, c1989.</t>
        </is>
      </c>
      <c r="M388" t="inlineStr">
        <is>
          <t>1989</t>
        </is>
      </c>
      <c r="O388" t="inlineStr">
        <is>
          <t>eng</t>
        </is>
      </c>
      <c r="P388" t="inlineStr">
        <is>
          <t>xxu</t>
        </is>
      </c>
      <c r="Q388" t="inlineStr">
        <is>
          <t>Cancer treatment and research ; CTAR42</t>
        </is>
      </c>
      <c r="R388" t="inlineStr">
        <is>
          <t xml:space="preserve">QZ </t>
        </is>
      </c>
      <c r="S388" t="n">
        <v>3</v>
      </c>
      <c r="T388" t="n">
        <v>3</v>
      </c>
      <c r="U388" t="inlineStr">
        <is>
          <t>1990-02-05</t>
        </is>
      </c>
      <c r="V388" t="inlineStr">
        <is>
          <t>1990-02-05</t>
        </is>
      </c>
      <c r="W388" t="inlineStr">
        <is>
          <t>1989-05-31</t>
        </is>
      </c>
      <c r="X388" t="inlineStr">
        <is>
          <t>1989-05-31</t>
        </is>
      </c>
      <c r="Y388" t="n">
        <v>82</v>
      </c>
      <c r="Z388" t="n">
        <v>67</v>
      </c>
      <c r="AA388" t="n">
        <v>73</v>
      </c>
      <c r="AB388" t="n">
        <v>1</v>
      </c>
      <c r="AC388" t="n">
        <v>1</v>
      </c>
      <c r="AD388" t="n">
        <v>0</v>
      </c>
      <c r="AE388" t="n">
        <v>0</v>
      </c>
      <c r="AF388" t="n">
        <v>0</v>
      </c>
      <c r="AG388" t="n">
        <v>0</v>
      </c>
      <c r="AH388" t="n">
        <v>0</v>
      </c>
      <c r="AI388" t="n">
        <v>0</v>
      </c>
      <c r="AJ388" t="n">
        <v>0</v>
      </c>
      <c r="AK388" t="n">
        <v>0</v>
      </c>
      <c r="AL388" t="n">
        <v>0</v>
      </c>
      <c r="AM388" t="n">
        <v>0</v>
      </c>
      <c r="AN388" t="n">
        <v>0</v>
      </c>
      <c r="AO388" t="n">
        <v>0</v>
      </c>
      <c r="AP388" t="inlineStr">
        <is>
          <t>No</t>
        </is>
      </c>
      <c r="AQ388" t="inlineStr">
        <is>
          <t>Yes</t>
        </is>
      </c>
      <c r="AR388">
        <f>HYPERLINK("http://catalog.hathitrust.org/Record/001304106","HathiTrust Record")</f>
        <v/>
      </c>
      <c r="AS388">
        <f>HYPERLINK("https://creighton-primo.hosted.exlibrisgroup.com/primo-explore/search?tab=default_tab&amp;search_scope=EVERYTHING&amp;vid=01CRU&amp;lang=en_US&amp;offset=0&amp;query=any,contains,991001247889702656","Catalog Record")</f>
        <v/>
      </c>
      <c r="AT388">
        <f>HYPERLINK("http://www.worldcat.org/oclc/17805289","WorldCat Record")</f>
        <v/>
      </c>
      <c r="AU388" t="inlineStr">
        <is>
          <t>3768613250:eng</t>
        </is>
      </c>
      <c r="AV388" t="inlineStr">
        <is>
          <t>17805289</t>
        </is>
      </c>
      <c r="AW388" t="inlineStr">
        <is>
          <t>991001247889702656</t>
        </is>
      </c>
      <c r="AX388" t="inlineStr">
        <is>
          <t>991001247889702656</t>
        </is>
      </c>
      <c r="AY388" t="inlineStr">
        <is>
          <t>2262985000002656</t>
        </is>
      </c>
      <c r="AZ388" t="inlineStr">
        <is>
          <t>BOOK</t>
        </is>
      </c>
      <c r="BB388" t="inlineStr">
        <is>
          <t>9780898383812</t>
        </is>
      </c>
      <c r="BC388" t="inlineStr">
        <is>
          <t>30001001677998</t>
        </is>
      </c>
      <c r="BD388" t="inlineStr">
        <is>
          <t>893826590</t>
        </is>
      </c>
    </row>
    <row r="389">
      <c r="A389" t="inlineStr">
        <is>
          <t>No</t>
        </is>
      </c>
      <c r="B389" t="inlineStr">
        <is>
          <t>QZ 267 C394b 1959</t>
        </is>
      </c>
      <c r="C389" t="inlineStr">
        <is>
          <t>0                      QZ 0267000C  394b        1959</t>
        </is>
      </c>
      <c r="D389" t="inlineStr">
        <is>
          <t>Biological activities of steroids in relation to cancer : proceedings / edited by Gregory Pincus and Erwin P. Vollmer.</t>
        </is>
      </c>
      <c r="F389" t="inlineStr">
        <is>
          <t>No</t>
        </is>
      </c>
      <c r="G389" t="inlineStr">
        <is>
          <t>1</t>
        </is>
      </c>
      <c r="H389" t="inlineStr">
        <is>
          <t>No</t>
        </is>
      </c>
      <c r="I389" t="inlineStr">
        <is>
          <t>No</t>
        </is>
      </c>
      <c r="J389" t="inlineStr">
        <is>
          <t>0</t>
        </is>
      </c>
      <c r="K389" t="inlineStr">
        <is>
          <t>Conference on the Biological Activities of Steroids in Relation to Cancer (1959 : Vergennes, Vt.)</t>
        </is>
      </c>
      <c r="L389" t="inlineStr">
        <is>
          <t>New York : Academic Press, 1960.</t>
        </is>
      </c>
      <c r="M389" t="inlineStr">
        <is>
          <t>1960</t>
        </is>
      </c>
      <c r="O389" t="inlineStr">
        <is>
          <t>eng</t>
        </is>
      </c>
      <c r="P389" t="inlineStr">
        <is>
          <t>nyu</t>
        </is>
      </c>
      <c r="R389" t="inlineStr">
        <is>
          <t xml:space="preserve">QZ </t>
        </is>
      </c>
      <c r="S389" t="n">
        <v>2</v>
      </c>
      <c r="T389" t="n">
        <v>2</v>
      </c>
      <c r="U389" t="inlineStr">
        <is>
          <t>1997-10-05</t>
        </is>
      </c>
      <c r="V389" t="inlineStr">
        <is>
          <t>1997-10-05</t>
        </is>
      </c>
      <c r="W389" t="inlineStr">
        <is>
          <t>1988-03-24</t>
        </is>
      </c>
      <c r="X389" t="inlineStr">
        <is>
          <t>1988-03-24</t>
        </is>
      </c>
      <c r="Y389" t="n">
        <v>115</v>
      </c>
      <c r="Z389" t="n">
        <v>99</v>
      </c>
      <c r="AA389" t="n">
        <v>101</v>
      </c>
      <c r="AB389" t="n">
        <v>1</v>
      </c>
      <c r="AC389" t="n">
        <v>1</v>
      </c>
      <c r="AD389" t="n">
        <v>4</v>
      </c>
      <c r="AE389" t="n">
        <v>4</v>
      </c>
      <c r="AF389" t="n">
        <v>0</v>
      </c>
      <c r="AG389" t="n">
        <v>0</v>
      </c>
      <c r="AH389" t="n">
        <v>2</v>
      </c>
      <c r="AI389" t="n">
        <v>2</v>
      </c>
      <c r="AJ389" t="n">
        <v>2</v>
      </c>
      <c r="AK389" t="n">
        <v>2</v>
      </c>
      <c r="AL389" t="n">
        <v>0</v>
      </c>
      <c r="AM389" t="n">
        <v>0</v>
      </c>
      <c r="AN389" t="n">
        <v>1</v>
      </c>
      <c r="AO389" t="n">
        <v>1</v>
      </c>
      <c r="AP389" t="inlineStr">
        <is>
          <t>No</t>
        </is>
      </c>
      <c r="AQ389" t="inlineStr">
        <is>
          <t>Yes</t>
        </is>
      </c>
      <c r="AR389">
        <f>HYPERLINK("http://catalog.hathitrust.org/Record/002077221","HathiTrust Record")</f>
        <v/>
      </c>
      <c r="AS389">
        <f>HYPERLINK("https://creighton-primo.hosted.exlibrisgroup.com/primo-explore/search?tab=default_tab&amp;search_scope=EVERYTHING&amp;vid=01CRU&amp;lang=en_US&amp;offset=0&amp;query=any,contains,991001116989702656","Catalog Record")</f>
        <v/>
      </c>
      <c r="AT389">
        <f>HYPERLINK("http://www.worldcat.org/oclc/14606269","WorldCat Record")</f>
        <v/>
      </c>
      <c r="AU389" t="inlineStr">
        <is>
          <t>4020045942:eng</t>
        </is>
      </c>
      <c r="AV389" t="inlineStr">
        <is>
          <t>14606269</t>
        </is>
      </c>
      <c r="AW389" t="inlineStr">
        <is>
          <t>991001116989702656</t>
        </is>
      </c>
      <c r="AX389" t="inlineStr">
        <is>
          <t>991001116989702656</t>
        </is>
      </c>
      <c r="AY389" t="inlineStr">
        <is>
          <t>2263192940002656</t>
        </is>
      </c>
      <c r="AZ389" t="inlineStr">
        <is>
          <t>BOOK</t>
        </is>
      </c>
      <c r="BC389" t="inlineStr">
        <is>
          <t>30001000277568</t>
        </is>
      </c>
      <c r="BD389" t="inlineStr">
        <is>
          <t>893727249</t>
        </is>
      </c>
    </row>
    <row r="390">
      <c r="A390" t="inlineStr">
        <is>
          <t>No</t>
        </is>
      </c>
      <c r="B390" t="inlineStr">
        <is>
          <t>QZ 267 C427p 1982</t>
        </is>
      </c>
      <c r="C390" t="inlineStr">
        <is>
          <t>0                      QZ 0267000C  427p        1982</t>
        </is>
      </c>
      <c r="D390" t="inlineStr">
        <is>
          <t>Pharmacologic principles of cancer treatment / Bruce Chabner.</t>
        </is>
      </c>
      <c r="F390" t="inlineStr">
        <is>
          <t>No</t>
        </is>
      </c>
      <c r="G390" t="inlineStr">
        <is>
          <t>1</t>
        </is>
      </c>
      <c r="H390" t="inlineStr">
        <is>
          <t>No</t>
        </is>
      </c>
      <c r="I390" t="inlineStr">
        <is>
          <t>No</t>
        </is>
      </c>
      <c r="J390" t="inlineStr">
        <is>
          <t>0</t>
        </is>
      </c>
      <c r="K390" t="inlineStr">
        <is>
          <t>Chabner, Bruce.</t>
        </is>
      </c>
      <c r="L390" t="inlineStr">
        <is>
          <t>Philadelphia : Saunders, c1982.</t>
        </is>
      </c>
      <c r="M390" t="inlineStr">
        <is>
          <t>1982</t>
        </is>
      </c>
      <c r="O390" t="inlineStr">
        <is>
          <t>eng</t>
        </is>
      </c>
      <c r="P390" t="inlineStr">
        <is>
          <t>xxu</t>
        </is>
      </c>
      <c r="R390" t="inlineStr">
        <is>
          <t xml:space="preserve">QZ </t>
        </is>
      </c>
      <c r="S390" t="n">
        <v>9</v>
      </c>
      <c r="T390" t="n">
        <v>9</v>
      </c>
      <c r="U390" t="inlineStr">
        <is>
          <t>2009-10-01</t>
        </is>
      </c>
      <c r="V390" t="inlineStr">
        <is>
          <t>2009-10-01</t>
        </is>
      </c>
      <c r="W390" t="inlineStr">
        <is>
          <t>1988-03-13</t>
        </is>
      </c>
      <c r="X390" t="inlineStr">
        <is>
          <t>1988-03-13</t>
        </is>
      </c>
      <c r="Y390" t="n">
        <v>160</v>
      </c>
      <c r="Z390" t="n">
        <v>118</v>
      </c>
      <c r="AA390" t="n">
        <v>120</v>
      </c>
      <c r="AB390" t="n">
        <v>1</v>
      </c>
      <c r="AC390" t="n">
        <v>1</v>
      </c>
      <c r="AD390" t="n">
        <v>2</v>
      </c>
      <c r="AE390" t="n">
        <v>2</v>
      </c>
      <c r="AF390" t="n">
        <v>0</v>
      </c>
      <c r="AG390" t="n">
        <v>0</v>
      </c>
      <c r="AH390" t="n">
        <v>2</v>
      </c>
      <c r="AI390" t="n">
        <v>2</v>
      </c>
      <c r="AJ390" t="n">
        <v>0</v>
      </c>
      <c r="AK390" t="n">
        <v>0</v>
      </c>
      <c r="AL390" t="n">
        <v>0</v>
      </c>
      <c r="AM390" t="n">
        <v>0</v>
      </c>
      <c r="AN390" t="n">
        <v>0</v>
      </c>
      <c r="AO390" t="n">
        <v>0</v>
      </c>
      <c r="AP390" t="inlineStr">
        <is>
          <t>No</t>
        </is>
      </c>
      <c r="AQ390" t="inlineStr">
        <is>
          <t>Yes</t>
        </is>
      </c>
      <c r="AR390">
        <f>HYPERLINK("http://catalog.hathitrust.org/Record/000103382","HathiTrust Record")</f>
        <v/>
      </c>
      <c r="AS390">
        <f>HYPERLINK("https://creighton-primo.hosted.exlibrisgroup.com/primo-explore/search?tab=default_tab&amp;search_scope=EVERYTHING&amp;vid=01CRU&amp;lang=en_US&amp;offset=0&amp;query=any,contains,991001476279702656","Catalog Record")</f>
        <v/>
      </c>
      <c r="AT390">
        <f>HYPERLINK("http://www.worldcat.org/oclc/7796711","WorldCat Record")</f>
        <v/>
      </c>
      <c r="AU390" t="inlineStr">
        <is>
          <t>29891573:eng</t>
        </is>
      </c>
      <c r="AV390" t="inlineStr">
        <is>
          <t>7796711</t>
        </is>
      </c>
      <c r="AW390" t="inlineStr">
        <is>
          <t>991001476279702656</t>
        </is>
      </c>
      <c r="AX390" t="inlineStr">
        <is>
          <t>991001476279702656</t>
        </is>
      </c>
      <c r="AY390" t="inlineStr">
        <is>
          <t>2272542890002656</t>
        </is>
      </c>
      <c r="AZ390" t="inlineStr">
        <is>
          <t>BOOK</t>
        </is>
      </c>
      <c r="BB390" t="inlineStr">
        <is>
          <t>9780721624778</t>
        </is>
      </c>
      <c r="BC390" t="inlineStr">
        <is>
          <t>30001000559379</t>
        </is>
      </c>
      <c r="BD390" t="inlineStr">
        <is>
          <t>893369419</t>
        </is>
      </c>
    </row>
    <row r="391">
      <c r="A391" t="inlineStr">
        <is>
          <t>No</t>
        </is>
      </c>
      <c r="B391" t="inlineStr">
        <is>
          <t>QZ 267 C5185 1987</t>
        </is>
      </c>
      <c r="C391" t="inlineStr">
        <is>
          <t>0                      QZ 0267000C  5185        1987</t>
        </is>
      </c>
      <c r="D391" t="inlineStr">
        <is>
          <t>Chemotherapy of cancer / Stephen K. Carter ... [et al.].</t>
        </is>
      </c>
      <c r="F391" t="inlineStr">
        <is>
          <t>No</t>
        </is>
      </c>
      <c r="G391" t="inlineStr">
        <is>
          <t>1</t>
        </is>
      </c>
      <c r="H391" t="inlineStr">
        <is>
          <t>No</t>
        </is>
      </c>
      <c r="I391" t="inlineStr">
        <is>
          <t>No</t>
        </is>
      </c>
      <c r="J391" t="inlineStr">
        <is>
          <t>0</t>
        </is>
      </c>
      <c r="L391" t="inlineStr">
        <is>
          <t>New York : Wiley, c1987.</t>
        </is>
      </c>
      <c r="M391" t="inlineStr">
        <is>
          <t>1987</t>
        </is>
      </c>
      <c r="N391" t="inlineStr">
        <is>
          <t>3rd ed.</t>
        </is>
      </c>
      <c r="O391" t="inlineStr">
        <is>
          <t>eng</t>
        </is>
      </c>
      <c r="P391" t="inlineStr">
        <is>
          <t>xxu</t>
        </is>
      </c>
      <c r="Q391" t="inlineStr">
        <is>
          <t>A Wiley medical publication.</t>
        </is>
      </c>
      <c r="R391" t="inlineStr">
        <is>
          <t xml:space="preserve">QZ </t>
        </is>
      </c>
      <c r="S391" t="n">
        <v>14</v>
      </c>
      <c r="T391" t="n">
        <v>14</v>
      </c>
      <c r="U391" t="inlineStr">
        <is>
          <t>1999-10-11</t>
        </is>
      </c>
      <c r="V391" t="inlineStr">
        <is>
          <t>1999-10-11</t>
        </is>
      </c>
      <c r="W391" t="inlineStr">
        <is>
          <t>1988-04-02</t>
        </is>
      </c>
      <c r="X391" t="inlineStr">
        <is>
          <t>1988-04-02</t>
        </is>
      </c>
      <c r="Y391" t="n">
        <v>148</v>
      </c>
      <c r="Z391" t="n">
        <v>116</v>
      </c>
      <c r="AA391" t="n">
        <v>285</v>
      </c>
      <c r="AB391" t="n">
        <v>1</v>
      </c>
      <c r="AC391" t="n">
        <v>2</v>
      </c>
      <c r="AD391" t="n">
        <v>2</v>
      </c>
      <c r="AE391" t="n">
        <v>9</v>
      </c>
      <c r="AF391" t="n">
        <v>0</v>
      </c>
      <c r="AG391" t="n">
        <v>3</v>
      </c>
      <c r="AH391" t="n">
        <v>1</v>
      </c>
      <c r="AI391" t="n">
        <v>3</v>
      </c>
      <c r="AJ391" t="n">
        <v>2</v>
      </c>
      <c r="AK391" t="n">
        <v>5</v>
      </c>
      <c r="AL391" t="n">
        <v>0</v>
      </c>
      <c r="AM391" t="n">
        <v>1</v>
      </c>
      <c r="AN391" t="n">
        <v>0</v>
      </c>
      <c r="AO391" t="n">
        <v>0</v>
      </c>
      <c r="AP391" t="inlineStr">
        <is>
          <t>No</t>
        </is>
      </c>
      <c r="AQ391" t="inlineStr">
        <is>
          <t>Yes</t>
        </is>
      </c>
      <c r="AR391">
        <f>HYPERLINK("http://catalog.hathitrust.org/Record/000848377","HathiTrust Record")</f>
        <v/>
      </c>
      <c r="AS391">
        <f>HYPERLINK("https://creighton-primo.hosted.exlibrisgroup.com/primo-explore/search?tab=default_tab&amp;search_scope=EVERYTHING&amp;vid=01CRU&amp;lang=en_US&amp;offset=0&amp;query=any,contains,991001181019702656","Catalog Record")</f>
        <v/>
      </c>
      <c r="AT391">
        <f>HYPERLINK("http://www.worldcat.org/oclc/16094170","WorldCat Record")</f>
        <v/>
      </c>
      <c r="AU391" t="inlineStr">
        <is>
          <t>6615762:eng</t>
        </is>
      </c>
      <c r="AV391" t="inlineStr">
        <is>
          <t>16094170</t>
        </is>
      </c>
      <c r="AW391" t="inlineStr">
        <is>
          <t>991001181019702656</t>
        </is>
      </c>
      <c r="AX391" t="inlineStr">
        <is>
          <t>991001181019702656</t>
        </is>
      </c>
      <c r="AY391" t="inlineStr">
        <is>
          <t>2263772540002656</t>
        </is>
      </c>
      <c r="AZ391" t="inlineStr">
        <is>
          <t>BOOK</t>
        </is>
      </c>
      <c r="BB391" t="inlineStr">
        <is>
          <t>9780471852667</t>
        </is>
      </c>
      <c r="BC391" t="inlineStr">
        <is>
          <t>30001000976987</t>
        </is>
      </c>
      <c r="BD391" t="inlineStr">
        <is>
          <t>893363848</t>
        </is>
      </c>
    </row>
    <row r="392">
      <c r="A392" t="inlineStr">
        <is>
          <t>No</t>
        </is>
      </c>
      <c r="B392" t="inlineStr">
        <is>
          <t>QZ 267 D489 1987</t>
        </is>
      </c>
      <c r="C392" t="inlineStr">
        <is>
          <t>0                      QZ 0267000D  489         1987</t>
        </is>
      </c>
      <c r="D392" t="inlineStr">
        <is>
          <t>Developments in the management of chemotherapy-induced nausea and vomiting : a workshop held at Lake Tahoe, Nevada, April 11, 1987 / chairman: John Laszlo.</t>
        </is>
      </c>
      <c r="F392" t="inlineStr">
        <is>
          <t>No</t>
        </is>
      </c>
      <c r="G392" t="inlineStr">
        <is>
          <t>1</t>
        </is>
      </c>
      <c r="H392" t="inlineStr">
        <is>
          <t>No</t>
        </is>
      </c>
      <c r="I392" t="inlineStr">
        <is>
          <t>No</t>
        </is>
      </c>
      <c r="J392" t="inlineStr">
        <is>
          <t>0</t>
        </is>
      </c>
      <c r="L392" t="inlineStr">
        <is>
          <t>Langhorne, Pa. : Medicine Group USA, c1987.</t>
        </is>
      </c>
      <c r="M392" t="inlineStr">
        <is>
          <t>1987</t>
        </is>
      </c>
      <c r="O392" t="inlineStr">
        <is>
          <t>eng</t>
        </is>
      </c>
      <c r="P392" t="inlineStr">
        <is>
          <t>pau</t>
        </is>
      </c>
      <c r="R392" t="inlineStr">
        <is>
          <t xml:space="preserve">QZ </t>
        </is>
      </c>
      <c r="S392" t="n">
        <v>5</v>
      </c>
      <c r="T392" t="n">
        <v>5</v>
      </c>
      <c r="U392" t="inlineStr">
        <is>
          <t>2002-05-23</t>
        </is>
      </c>
      <c r="V392" t="inlineStr">
        <is>
          <t>2002-05-23</t>
        </is>
      </c>
      <c r="W392" t="inlineStr">
        <is>
          <t>1988-06-23</t>
        </is>
      </c>
      <c r="X392" t="inlineStr">
        <is>
          <t>1988-06-23</t>
        </is>
      </c>
      <c r="Y392" t="n">
        <v>14</v>
      </c>
      <c r="Z392" t="n">
        <v>14</v>
      </c>
      <c r="AA392" t="n">
        <v>14</v>
      </c>
      <c r="AB392" t="n">
        <v>1</v>
      </c>
      <c r="AC392" t="n">
        <v>1</v>
      </c>
      <c r="AD392" t="n">
        <v>0</v>
      </c>
      <c r="AE392" t="n">
        <v>0</v>
      </c>
      <c r="AF392" t="n">
        <v>0</v>
      </c>
      <c r="AG392" t="n">
        <v>0</v>
      </c>
      <c r="AH392" t="n">
        <v>0</v>
      </c>
      <c r="AI392" t="n">
        <v>0</v>
      </c>
      <c r="AJ392" t="n">
        <v>0</v>
      </c>
      <c r="AK392" t="n">
        <v>0</v>
      </c>
      <c r="AL392" t="n">
        <v>0</v>
      </c>
      <c r="AM392" t="n">
        <v>0</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HYPERLINK("https://creighton-primo.hosted.exlibrisgroup.com/primo-explore/search?tab=default_tab&amp;search_scope=EVERYTHING&amp;vid=01CRU&amp;lang=en_US&amp;offset=0&amp;query=any,contains,991001415609702656","Catalog Record")</f>
        <v/>
      </c>
      <c r="AT392">
        <f>HYPERLINK("http://www.worldcat.org/oclc/17005891","WorldCat Record")</f>
        <v/>
      </c>
      <c r="AU392" t="inlineStr">
        <is>
          <t>13189713:eng</t>
        </is>
      </c>
      <c r="AV392" t="inlineStr">
        <is>
          <t>17005891</t>
        </is>
      </c>
      <c r="AW392" t="inlineStr">
        <is>
          <t>991001415609702656</t>
        </is>
      </c>
      <c r="AX392" t="inlineStr">
        <is>
          <t>991001415609702656</t>
        </is>
      </c>
      <c r="AY392" t="inlineStr">
        <is>
          <t>2267922900002656</t>
        </is>
      </c>
      <c r="AZ392" t="inlineStr">
        <is>
          <t>BOOK</t>
        </is>
      </c>
      <c r="BB392" t="inlineStr">
        <is>
          <t>9780944036006</t>
        </is>
      </c>
      <c r="BC392" t="inlineStr">
        <is>
          <t>30001001180431</t>
        </is>
      </c>
      <c r="BD392" t="inlineStr">
        <is>
          <t>893364087</t>
        </is>
      </c>
    </row>
    <row r="393">
      <c r="A393" t="inlineStr">
        <is>
          <t>No</t>
        </is>
      </c>
      <c r="B393" t="inlineStr">
        <is>
          <t>QZ 267 D629 1991</t>
        </is>
      </c>
      <c r="C393" t="inlineStr">
        <is>
          <t>0                      QZ 0267000D  629         1991</t>
        </is>
      </c>
      <c r="D393" t="inlineStr">
        <is>
          <t>DNA topoisomerases in cancer / edited by Milan Potmesil, Kurt W. Kohn, and the editorial board, Leroy F. Liu ... [et al.].</t>
        </is>
      </c>
      <c r="F393" t="inlineStr">
        <is>
          <t>No</t>
        </is>
      </c>
      <c r="G393" t="inlineStr">
        <is>
          <t>1</t>
        </is>
      </c>
      <c r="H393" t="inlineStr">
        <is>
          <t>No</t>
        </is>
      </c>
      <c r="I393" t="inlineStr">
        <is>
          <t>No</t>
        </is>
      </c>
      <c r="J393" t="inlineStr">
        <is>
          <t>0</t>
        </is>
      </c>
      <c r="L393" t="inlineStr">
        <is>
          <t>New York : Oxford University Press, c1991.</t>
        </is>
      </c>
      <c r="M393" t="inlineStr">
        <is>
          <t>1991</t>
        </is>
      </c>
      <c r="O393" t="inlineStr">
        <is>
          <t>eng</t>
        </is>
      </c>
      <c r="P393" t="inlineStr">
        <is>
          <t>xxu</t>
        </is>
      </c>
      <c r="R393" t="inlineStr">
        <is>
          <t xml:space="preserve">QZ </t>
        </is>
      </c>
      <c r="S393" t="n">
        <v>25</v>
      </c>
      <c r="T393" t="n">
        <v>25</v>
      </c>
      <c r="U393" t="inlineStr">
        <is>
          <t>2000-11-26</t>
        </is>
      </c>
      <c r="V393" t="inlineStr">
        <is>
          <t>2000-11-26</t>
        </is>
      </c>
      <c r="W393" t="inlineStr">
        <is>
          <t>1992-04-29</t>
        </is>
      </c>
      <c r="X393" t="inlineStr">
        <is>
          <t>1992-04-29</t>
        </is>
      </c>
      <c r="Y393" t="n">
        <v>93</v>
      </c>
      <c r="Z393" t="n">
        <v>70</v>
      </c>
      <c r="AA393" t="n">
        <v>77</v>
      </c>
      <c r="AB393" t="n">
        <v>1</v>
      </c>
      <c r="AC393" t="n">
        <v>1</v>
      </c>
      <c r="AD393" t="n">
        <v>1</v>
      </c>
      <c r="AE393" t="n">
        <v>1</v>
      </c>
      <c r="AF393" t="n">
        <v>0</v>
      </c>
      <c r="AG393" t="n">
        <v>0</v>
      </c>
      <c r="AH393" t="n">
        <v>0</v>
      </c>
      <c r="AI393" t="n">
        <v>0</v>
      </c>
      <c r="AJ393" t="n">
        <v>1</v>
      </c>
      <c r="AK393" t="n">
        <v>1</v>
      </c>
      <c r="AL393" t="n">
        <v>0</v>
      </c>
      <c r="AM393" t="n">
        <v>0</v>
      </c>
      <c r="AN393" t="n">
        <v>0</v>
      </c>
      <c r="AO393" t="n">
        <v>0</v>
      </c>
      <c r="AP393" t="inlineStr">
        <is>
          <t>No</t>
        </is>
      </c>
      <c r="AQ393" t="inlineStr">
        <is>
          <t>Yes</t>
        </is>
      </c>
      <c r="AR393">
        <f>HYPERLINK("http://catalog.hathitrust.org/Record/002485448","HathiTrust Record")</f>
        <v/>
      </c>
      <c r="AS393">
        <f>HYPERLINK("https://creighton-primo.hosted.exlibrisgroup.com/primo-explore/search?tab=default_tab&amp;search_scope=EVERYTHING&amp;vid=01CRU&amp;lang=en_US&amp;offset=0&amp;query=any,contains,991000496739702656","Catalog Record")</f>
        <v/>
      </c>
      <c r="AT393">
        <f>HYPERLINK("http://www.worldcat.org/oclc/22307089","WorldCat Record")</f>
        <v/>
      </c>
      <c r="AU393" t="inlineStr">
        <is>
          <t>349971185:eng</t>
        </is>
      </c>
      <c r="AV393" t="inlineStr">
        <is>
          <t>22307089</t>
        </is>
      </c>
      <c r="AW393" t="inlineStr">
        <is>
          <t>991000496739702656</t>
        </is>
      </c>
      <c r="AX393" t="inlineStr">
        <is>
          <t>991000496739702656</t>
        </is>
      </c>
      <c r="AY393" t="inlineStr">
        <is>
          <t>2272425130002656</t>
        </is>
      </c>
      <c r="AZ393" t="inlineStr">
        <is>
          <t>BOOK</t>
        </is>
      </c>
      <c r="BB393" t="inlineStr">
        <is>
          <t>9780195061062</t>
        </is>
      </c>
      <c r="BC393" t="inlineStr">
        <is>
          <t>30001002412791</t>
        </is>
      </c>
      <c r="BD393" t="inlineStr">
        <is>
          <t>893827952</t>
        </is>
      </c>
    </row>
    <row r="394">
      <c r="A394" t="inlineStr">
        <is>
          <t>No</t>
        </is>
      </c>
      <c r="B394" t="inlineStr">
        <is>
          <t>QZ 267 D7938 1993</t>
        </is>
      </c>
      <c r="C394" t="inlineStr">
        <is>
          <t>0                      QZ 0267000D  7938        1993</t>
        </is>
      </c>
      <c r="D394" t="inlineStr">
        <is>
          <t>Drug resistance in oncology / edited by Beverly A. Teicher.</t>
        </is>
      </c>
      <c r="F394" t="inlineStr">
        <is>
          <t>No</t>
        </is>
      </c>
      <c r="G394" t="inlineStr">
        <is>
          <t>1</t>
        </is>
      </c>
      <c r="H394" t="inlineStr">
        <is>
          <t>No</t>
        </is>
      </c>
      <c r="I394" t="inlineStr">
        <is>
          <t>No</t>
        </is>
      </c>
      <c r="J394" t="inlineStr">
        <is>
          <t>0</t>
        </is>
      </c>
      <c r="L394" t="inlineStr">
        <is>
          <t>New York : Dekker, c1993.</t>
        </is>
      </c>
      <c r="M394" t="inlineStr">
        <is>
          <t>1993</t>
        </is>
      </c>
      <c r="O394" t="inlineStr">
        <is>
          <t>eng</t>
        </is>
      </c>
      <c r="P394" t="inlineStr">
        <is>
          <t>nyu</t>
        </is>
      </c>
      <c r="R394" t="inlineStr">
        <is>
          <t xml:space="preserve">QZ </t>
        </is>
      </c>
      <c r="S394" t="n">
        <v>4</v>
      </c>
      <c r="T394" t="n">
        <v>4</v>
      </c>
      <c r="U394" t="inlineStr">
        <is>
          <t>1994-05-05</t>
        </is>
      </c>
      <c r="V394" t="inlineStr">
        <is>
          <t>1994-05-05</t>
        </is>
      </c>
      <c r="W394" t="inlineStr">
        <is>
          <t>1993-08-31</t>
        </is>
      </c>
      <c r="X394" t="inlineStr">
        <is>
          <t>1993-08-31</t>
        </is>
      </c>
      <c r="Y394" t="n">
        <v>95</v>
      </c>
      <c r="Z394" t="n">
        <v>71</v>
      </c>
      <c r="AA394" t="n">
        <v>73</v>
      </c>
      <c r="AB394" t="n">
        <v>1</v>
      </c>
      <c r="AC394" t="n">
        <v>1</v>
      </c>
      <c r="AD394" t="n">
        <v>1</v>
      </c>
      <c r="AE394" t="n">
        <v>1</v>
      </c>
      <c r="AF394" t="n">
        <v>0</v>
      </c>
      <c r="AG394" t="n">
        <v>0</v>
      </c>
      <c r="AH394" t="n">
        <v>0</v>
      </c>
      <c r="AI394" t="n">
        <v>0</v>
      </c>
      <c r="AJ394" t="n">
        <v>1</v>
      </c>
      <c r="AK394" t="n">
        <v>1</v>
      </c>
      <c r="AL394" t="n">
        <v>0</v>
      </c>
      <c r="AM394" t="n">
        <v>0</v>
      </c>
      <c r="AN394" t="n">
        <v>0</v>
      </c>
      <c r="AO394" t="n">
        <v>0</v>
      </c>
      <c r="AP394" t="inlineStr">
        <is>
          <t>No</t>
        </is>
      </c>
      <c r="AQ394" t="inlineStr">
        <is>
          <t>Yes</t>
        </is>
      </c>
      <c r="AR394">
        <f>HYPERLINK("http://catalog.hathitrust.org/Record/002633402","HathiTrust Record")</f>
        <v/>
      </c>
      <c r="AS394">
        <f>HYPERLINK("https://creighton-primo.hosted.exlibrisgroup.com/primo-explore/search?tab=default_tab&amp;search_scope=EVERYTHING&amp;vid=01CRU&amp;lang=en_US&amp;offset=0&amp;query=any,contains,991001512329702656","Catalog Record")</f>
        <v/>
      </c>
      <c r="AT394">
        <f>HYPERLINK("http://www.worldcat.org/oclc/27151531","WorldCat Record")</f>
        <v/>
      </c>
      <c r="AU394" t="inlineStr">
        <is>
          <t>55655252:eng</t>
        </is>
      </c>
      <c r="AV394" t="inlineStr">
        <is>
          <t>27151531</t>
        </is>
      </c>
      <c r="AW394" t="inlineStr">
        <is>
          <t>991001512329702656</t>
        </is>
      </c>
      <c r="AX394" t="inlineStr">
        <is>
          <t>991001512329702656</t>
        </is>
      </c>
      <c r="AY394" t="inlineStr">
        <is>
          <t>2269174420002656</t>
        </is>
      </c>
      <c r="AZ394" t="inlineStr">
        <is>
          <t>BOOK</t>
        </is>
      </c>
      <c r="BB394" t="inlineStr">
        <is>
          <t>9780824788049</t>
        </is>
      </c>
      <c r="BC394" t="inlineStr">
        <is>
          <t>30001002601047</t>
        </is>
      </c>
      <c r="BD394" t="inlineStr">
        <is>
          <t>893455867</t>
        </is>
      </c>
    </row>
    <row r="395">
      <c r="A395" t="inlineStr">
        <is>
          <t>No</t>
        </is>
      </c>
      <c r="B395" t="inlineStr">
        <is>
          <t>QZ 267 H149o 1990 v.2</t>
        </is>
      </c>
      <c r="C395" t="inlineStr">
        <is>
          <t>0                      QZ 0267000H  149o        1990                                        v.2</t>
        </is>
      </c>
      <c r="D395" t="inlineStr">
        <is>
          <t>Organometallics in cancer chemotherapy / authors, Ionel Haiduc, Cristian Silvestru.</t>
        </is>
      </c>
      <c r="E395" t="inlineStr">
        <is>
          <t>V. 2</t>
        </is>
      </c>
      <c r="F395" t="inlineStr">
        <is>
          <t>No</t>
        </is>
      </c>
      <c r="G395" t="inlineStr">
        <is>
          <t>1</t>
        </is>
      </c>
      <c r="H395" t="inlineStr">
        <is>
          <t>No</t>
        </is>
      </c>
      <c r="I395" t="inlineStr">
        <is>
          <t>No</t>
        </is>
      </c>
      <c r="J395" t="inlineStr">
        <is>
          <t>0</t>
        </is>
      </c>
      <c r="K395" t="inlineStr">
        <is>
          <t>Haiduc, Ionel.</t>
        </is>
      </c>
      <c r="L395" t="inlineStr">
        <is>
          <t>Boca Raton, FL : CRC Press, c1990.</t>
        </is>
      </c>
      <c r="M395" t="inlineStr">
        <is>
          <t>1990</t>
        </is>
      </c>
      <c r="O395" t="inlineStr">
        <is>
          <t>eng</t>
        </is>
      </c>
      <c r="P395" t="inlineStr">
        <is>
          <t>flu</t>
        </is>
      </c>
      <c r="R395" t="inlineStr">
        <is>
          <t xml:space="preserve">QZ </t>
        </is>
      </c>
      <c r="S395" t="n">
        <v>1</v>
      </c>
      <c r="T395" t="n">
        <v>1</v>
      </c>
      <c r="U395" t="inlineStr">
        <is>
          <t>1991-03-04</t>
        </is>
      </c>
      <c r="V395" t="inlineStr">
        <is>
          <t>1991-03-04</t>
        </is>
      </c>
      <c r="W395" t="inlineStr">
        <is>
          <t>1991-03-02</t>
        </is>
      </c>
      <c r="X395" t="inlineStr">
        <is>
          <t>1991-03-02</t>
        </is>
      </c>
      <c r="Y395" t="n">
        <v>84</v>
      </c>
      <c r="Z395" t="n">
        <v>63</v>
      </c>
      <c r="AA395" t="n">
        <v>63</v>
      </c>
      <c r="AB395" t="n">
        <v>1</v>
      </c>
      <c r="AC395" t="n">
        <v>1</v>
      </c>
      <c r="AD395" t="n">
        <v>2</v>
      </c>
      <c r="AE395" t="n">
        <v>2</v>
      </c>
      <c r="AF395" t="n">
        <v>0</v>
      </c>
      <c r="AG395" t="n">
        <v>0</v>
      </c>
      <c r="AH395" t="n">
        <v>1</v>
      </c>
      <c r="AI395" t="n">
        <v>1</v>
      </c>
      <c r="AJ395" t="n">
        <v>2</v>
      </c>
      <c r="AK395" t="n">
        <v>2</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HYPERLINK("https://creighton-primo.hosted.exlibrisgroup.com/primo-explore/search?tab=default_tab&amp;search_scope=EVERYTHING&amp;vid=01CRU&amp;lang=en_US&amp;offset=0&amp;query=any,contains,991000823579702656","Catalog Record")</f>
        <v/>
      </c>
      <c r="AT395">
        <f>HYPERLINK("http://www.worldcat.org/oclc/18191889","WorldCat Record")</f>
        <v/>
      </c>
      <c r="AU395" t="inlineStr">
        <is>
          <t>3772418617:eng</t>
        </is>
      </c>
      <c r="AV395" t="inlineStr">
        <is>
          <t>18191889</t>
        </is>
      </c>
      <c r="AW395" t="inlineStr">
        <is>
          <t>991000823579702656</t>
        </is>
      </c>
      <c r="AX395" t="inlineStr">
        <is>
          <t>991000823579702656</t>
        </is>
      </c>
      <c r="AY395" t="inlineStr">
        <is>
          <t>2268932400002656</t>
        </is>
      </c>
      <c r="AZ395" t="inlineStr">
        <is>
          <t>BOOK</t>
        </is>
      </c>
      <c r="BB395" t="inlineStr">
        <is>
          <t>9780849358678</t>
        </is>
      </c>
      <c r="BC395" t="inlineStr">
        <is>
          <t>30001002088161</t>
        </is>
      </c>
      <c r="BD395" t="inlineStr">
        <is>
          <t>893731343</t>
        </is>
      </c>
    </row>
    <row r="396">
      <c r="A396" t="inlineStr">
        <is>
          <t>No</t>
        </is>
      </c>
      <c r="B396" t="inlineStr">
        <is>
          <t>QZ 267 I605 1987</t>
        </is>
      </c>
      <c r="C396" t="inlineStr">
        <is>
          <t>0                      QZ 0267000I  605         1987</t>
        </is>
      </c>
      <c r="D396" t="inlineStr">
        <is>
          <t>Adjuvant therapy of cancer V / edited by Sydney E. Salmon.</t>
        </is>
      </c>
      <c r="F396" t="inlineStr">
        <is>
          <t>No</t>
        </is>
      </c>
      <c r="G396" t="inlineStr">
        <is>
          <t>1</t>
        </is>
      </c>
      <c r="H396" t="inlineStr">
        <is>
          <t>No</t>
        </is>
      </c>
      <c r="I396" t="inlineStr">
        <is>
          <t>No</t>
        </is>
      </c>
      <c r="J396" t="inlineStr">
        <is>
          <t>0</t>
        </is>
      </c>
      <c r="K396" t="inlineStr">
        <is>
          <t>International Conference on the Adjuvant Therapy of Cancer (5th : 1987 : Tucson, Ariz.)</t>
        </is>
      </c>
      <c r="L396" t="inlineStr">
        <is>
          <t>Orlando : Grune &amp; Stratton, c1987.</t>
        </is>
      </c>
      <c r="M396" t="inlineStr">
        <is>
          <t>1987</t>
        </is>
      </c>
      <c r="O396" t="inlineStr">
        <is>
          <t>eng</t>
        </is>
      </c>
      <c r="P396" t="inlineStr">
        <is>
          <t>flu</t>
        </is>
      </c>
      <c r="R396" t="inlineStr">
        <is>
          <t xml:space="preserve">QZ </t>
        </is>
      </c>
      <c r="S396" t="n">
        <v>8</v>
      </c>
      <c r="T396" t="n">
        <v>8</v>
      </c>
      <c r="U396" t="inlineStr">
        <is>
          <t>1994-12-09</t>
        </is>
      </c>
      <c r="V396" t="inlineStr">
        <is>
          <t>1994-12-09</t>
        </is>
      </c>
      <c r="W396" t="inlineStr">
        <is>
          <t>1987-12-09</t>
        </is>
      </c>
      <c r="X396" t="inlineStr">
        <is>
          <t>1987-12-09</t>
        </is>
      </c>
      <c r="Y396" t="n">
        <v>78</v>
      </c>
      <c r="Z396" t="n">
        <v>62</v>
      </c>
      <c r="AA396" t="n">
        <v>72</v>
      </c>
      <c r="AB396" t="n">
        <v>1</v>
      </c>
      <c r="AC396" t="n">
        <v>1</v>
      </c>
      <c r="AD396" t="n">
        <v>2</v>
      </c>
      <c r="AE396" t="n">
        <v>2</v>
      </c>
      <c r="AF396" t="n">
        <v>0</v>
      </c>
      <c r="AG396" t="n">
        <v>0</v>
      </c>
      <c r="AH396" t="n">
        <v>1</v>
      </c>
      <c r="AI396" t="n">
        <v>1</v>
      </c>
      <c r="AJ396" t="n">
        <v>2</v>
      </c>
      <c r="AK396" t="n">
        <v>2</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HYPERLINK("https://creighton-primo.hosted.exlibrisgroup.com/primo-explore/search?tab=default_tab&amp;search_scope=EVERYTHING&amp;vid=01CRU&amp;lang=en_US&amp;offset=0&amp;query=any,contains,991001534059702656","Catalog Record")</f>
        <v/>
      </c>
      <c r="AT396">
        <f>HYPERLINK("http://www.worldcat.org/oclc/16407177","WorldCat Record")</f>
        <v/>
      </c>
      <c r="AU396" t="inlineStr">
        <is>
          <t>5090790826:eng</t>
        </is>
      </c>
      <c r="AV396" t="inlineStr">
        <is>
          <t>16407177</t>
        </is>
      </c>
      <c r="AW396" t="inlineStr">
        <is>
          <t>991001534059702656</t>
        </is>
      </c>
      <c r="AX396" t="inlineStr">
        <is>
          <t>991001534059702656</t>
        </is>
      </c>
      <c r="AY396" t="inlineStr">
        <is>
          <t>2265841340002656</t>
        </is>
      </c>
      <c r="AZ396" t="inlineStr">
        <is>
          <t>BOOK</t>
        </is>
      </c>
      <c r="BC396" t="inlineStr">
        <is>
          <t>30001000622318</t>
        </is>
      </c>
      <c r="BD396" t="inlineStr">
        <is>
          <t>893741229</t>
        </is>
      </c>
    </row>
    <row r="397">
      <c r="A397" t="inlineStr">
        <is>
          <t>No</t>
        </is>
      </c>
      <c r="B397" t="inlineStr">
        <is>
          <t>QZ 267 I606t 1987</t>
        </is>
      </c>
      <c r="C397" t="inlineStr">
        <is>
          <t>0                      QZ 0267000I  606t        1987</t>
        </is>
      </c>
      <c r="D397" t="inlineStr">
        <is>
          <t>Tumor necrosis factor/cachectin and related cytokines / International Conference on Tumor Necrosis Factor and Related Cytotoxins, Heidelberg, September 14-18, 1987 ; editors, Benjamin Bonavida ... [et al.].</t>
        </is>
      </c>
      <c r="F397" t="inlineStr">
        <is>
          <t>No</t>
        </is>
      </c>
      <c r="G397" t="inlineStr">
        <is>
          <t>1</t>
        </is>
      </c>
      <c r="H397" t="inlineStr">
        <is>
          <t>No</t>
        </is>
      </c>
      <c r="I397" t="inlineStr">
        <is>
          <t>No</t>
        </is>
      </c>
      <c r="J397" t="inlineStr">
        <is>
          <t>0</t>
        </is>
      </c>
      <c r="K397" t="inlineStr">
        <is>
          <t>International Conference on Tumor Necrosis Factor and Related Cytotoxins (1987 : Heidelberg, Germany)</t>
        </is>
      </c>
      <c r="L397" t="inlineStr">
        <is>
          <t>Basel ; New York : Karger, c1988.</t>
        </is>
      </c>
      <c r="M397" t="inlineStr">
        <is>
          <t>1988</t>
        </is>
      </c>
      <c r="O397" t="inlineStr">
        <is>
          <t>eng</t>
        </is>
      </c>
      <c r="P397" t="inlineStr">
        <is>
          <t xml:space="preserve">sz </t>
        </is>
      </c>
      <c r="R397" t="inlineStr">
        <is>
          <t xml:space="preserve">QZ </t>
        </is>
      </c>
      <c r="S397" t="n">
        <v>9</v>
      </c>
      <c r="T397" t="n">
        <v>9</v>
      </c>
      <c r="U397" t="inlineStr">
        <is>
          <t>1994-01-20</t>
        </is>
      </c>
      <c r="V397" t="inlineStr">
        <is>
          <t>1994-01-20</t>
        </is>
      </c>
      <c r="W397" t="inlineStr">
        <is>
          <t>1989-07-07</t>
        </is>
      </c>
      <c r="X397" t="inlineStr">
        <is>
          <t>1989-07-07</t>
        </is>
      </c>
      <c r="Y397" t="n">
        <v>109</v>
      </c>
      <c r="Z397" t="n">
        <v>69</v>
      </c>
      <c r="AA397" t="n">
        <v>71</v>
      </c>
      <c r="AB397" t="n">
        <v>1</v>
      </c>
      <c r="AC397" t="n">
        <v>1</v>
      </c>
      <c r="AD397" t="n">
        <v>1</v>
      </c>
      <c r="AE397" t="n">
        <v>1</v>
      </c>
      <c r="AF397" t="n">
        <v>0</v>
      </c>
      <c r="AG397" t="n">
        <v>0</v>
      </c>
      <c r="AH397" t="n">
        <v>1</v>
      </c>
      <c r="AI397" t="n">
        <v>1</v>
      </c>
      <c r="AJ397" t="n">
        <v>0</v>
      </c>
      <c r="AK397" t="n">
        <v>0</v>
      </c>
      <c r="AL397" t="n">
        <v>0</v>
      </c>
      <c r="AM397" t="n">
        <v>0</v>
      </c>
      <c r="AN397" t="n">
        <v>0</v>
      </c>
      <c r="AO397" t="n">
        <v>0</v>
      </c>
      <c r="AP397" t="inlineStr">
        <is>
          <t>No</t>
        </is>
      </c>
      <c r="AQ397" t="inlineStr">
        <is>
          <t>Yes</t>
        </is>
      </c>
      <c r="AR397">
        <f>HYPERLINK("http://catalog.hathitrust.org/Record/001086530","HathiTrust Record")</f>
        <v/>
      </c>
      <c r="AS397">
        <f>HYPERLINK("https://creighton-primo.hosted.exlibrisgroup.com/primo-explore/search?tab=default_tab&amp;search_scope=EVERYTHING&amp;vid=01CRU&amp;lang=en_US&amp;offset=0&amp;query=any,contains,991001310709702656","Catalog Record")</f>
        <v/>
      </c>
      <c r="AT397">
        <f>HYPERLINK("http://www.worldcat.org/oclc/17878650","WorldCat Record")</f>
        <v/>
      </c>
      <c r="AU397" t="inlineStr">
        <is>
          <t>353253278:eng</t>
        </is>
      </c>
      <c r="AV397" t="inlineStr">
        <is>
          <t>17878650</t>
        </is>
      </c>
      <c r="AW397" t="inlineStr">
        <is>
          <t>991001310709702656</t>
        </is>
      </c>
      <c r="AX397" t="inlineStr">
        <is>
          <t>991001310709702656</t>
        </is>
      </c>
      <c r="AY397" t="inlineStr">
        <is>
          <t>2257228580002656</t>
        </is>
      </c>
      <c r="AZ397" t="inlineStr">
        <is>
          <t>BOOK</t>
        </is>
      </c>
      <c r="BB397" t="inlineStr">
        <is>
          <t>9783805547550</t>
        </is>
      </c>
      <c r="BC397" t="inlineStr">
        <is>
          <t>30001001750753</t>
        </is>
      </c>
      <c r="BD397" t="inlineStr">
        <is>
          <t>893643450</t>
        </is>
      </c>
    </row>
    <row r="398">
      <c r="A398" t="inlineStr">
        <is>
          <t>No</t>
        </is>
      </c>
      <c r="B398" t="inlineStr">
        <is>
          <t>QZ 267 L657r 1988</t>
        </is>
      </c>
      <c r="C398" t="inlineStr">
        <is>
          <t>0                      QZ 0267000L  657r        1988</t>
        </is>
      </c>
      <c r="D398" t="inlineStr">
        <is>
          <t>Research methods in clinical oncology / Brigid G. Leventhal and Robert E. Wittes.</t>
        </is>
      </c>
      <c r="F398" t="inlineStr">
        <is>
          <t>No</t>
        </is>
      </c>
      <c r="G398" t="inlineStr">
        <is>
          <t>1</t>
        </is>
      </c>
      <c r="H398" t="inlineStr">
        <is>
          <t>No</t>
        </is>
      </c>
      <c r="I398" t="inlineStr">
        <is>
          <t>No</t>
        </is>
      </c>
      <c r="J398" t="inlineStr">
        <is>
          <t>0</t>
        </is>
      </c>
      <c r="K398" t="inlineStr">
        <is>
          <t>Leventhal, Brigid G.</t>
        </is>
      </c>
      <c r="L398" t="inlineStr">
        <is>
          <t>New York : Raven Press, c1988.</t>
        </is>
      </c>
      <c r="M398" t="inlineStr">
        <is>
          <t>1988</t>
        </is>
      </c>
      <c r="O398" t="inlineStr">
        <is>
          <t>eng</t>
        </is>
      </c>
      <c r="P398" t="inlineStr">
        <is>
          <t>xxu</t>
        </is>
      </c>
      <c r="R398" t="inlineStr">
        <is>
          <t xml:space="preserve">QZ </t>
        </is>
      </c>
      <c r="S398" t="n">
        <v>4</v>
      </c>
      <c r="T398" t="n">
        <v>4</v>
      </c>
      <c r="U398" t="inlineStr">
        <is>
          <t>1991-09-16</t>
        </is>
      </c>
      <c r="V398" t="inlineStr">
        <is>
          <t>1991-09-16</t>
        </is>
      </c>
      <c r="W398" t="inlineStr">
        <is>
          <t>1988-08-06</t>
        </is>
      </c>
      <c r="X398" t="inlineStr">
        <is>
          <t>1988-08-06</t>
        </is>
      </c>
      <c r="Y398" t="n">
        <v>109</v>
      </c>
      <c r="Z398" t="n">
        <v>80</v>
      </c>
      <c r="AA398" t="n">
        <v>82</v>
      </c>
      <c r="AB398" t="n">
        <v>1</v>
      </c>
      <c r="AC398" t="n">
        <v>1</v>
      </c>
      <c r="AD398" t="n">
        <v>1</v>
      </c>
      <c r="AE398" t="n">
        <v>1</v>
      </c>
      <c r="AF398" t="n">
        <v>0</v>
      </c>
      <c r="AG398" t="n">
        <v>0</v>
      </c>
      <c r="AH398" t="n">
        <v>0</v>
      </c>
      <c r="AI398" t="n">
        <v>0</v>
      </c>
      <c r="AJ398" t="n">
        <v>1</v>
      </c>
      <c r="AK398" t="n">
        <v>1</v>
      </c>
      <c r="AL398" t="n">
        <v>0</v>
      </c>
      <c r="AM398" t="n">
        <v>0</v>
      </c>
      <c r="AN398" t="n">
        <v>0</v>
      </c>
      <c r="AO398" t="n">
        <v>0</v>
      </c>
      <c r="AP398" t="inlineStr">
        <is>
          <t>No</t>
        </is>
      </c>
      <c r="AQ398" t="inlineStr">
        <is>
          <t>Yes</t>
        </is>
      </c>
      <c r="AR398">
        <f>HYPERLINK("http://catalog.hathitrust.org/Record/000913349","HathiTrust Record")</f>
        <v/>
      </c>
      <c r="AS398">
        <f>HYPERLINK("https://creighton-primo.hosted.exlibrisgroup.com/primo-explore/search?tab=default_tab&amp;search_scope=EVERYTHING&amp;vid=01CRU&amp;lang=en_US&amp;offset=0&amp;query=any,contains,991001421749702656","Catalog Record")</f>
        <v/>
      </c>
      <c r="AT398">
        <f>HYPERLINK("http://www.worldcat.org/oclc/17264333","WorldCat Record")</f>
        <v/>
      </c>
      <c r="AU398" t="inlineStr">
        <is>
          <t>15622123:eng</t>
        </is>
      </c>
      <c r="AV398" t="inlineStr">
        <is>
          <t>17264333</t>
        </is>
      </c>
      <c r="AW398" t="inlineStr">
        <is>
          <t>991001421749702656</t>
        </is>
      </c>
      <c r="AX398" t="inlineStr">
        <is>
          <t>991001421749702656</t>
        </is>
      </c>
      <c r="AY398" t="inlineStr">
        <is>
          <t>2257711250002656</t>
        </is>
      </c>
      <c r="AZ398" t="inlineStr">
        <is>
          <t>BOOK</t>
        </is>
      </c>
      <c r="BB398" t="inlineStr">
        <is>
          <t>9780881673821</t>
        </is>
      </c>
      <c r="BC398" t="inlineStr">
        <is>
          <t>30001001182486</t>
        </is>
      </c>
      <c r="BD398" t="inlineStr">
        <is>
          <t>893374541</t>
        </is>
      </c>
    </row>
    <row r="399">
      <c r="A399" t="inlineStr">
        <is>
          <t>No</t>
        </is>
      </c>
      <c r="B399" t="inlineStr">
        <is>
          <t>QZ 267 M7183 1991</t>
        </is>
      </c>
      <c r="C399" t="inlineStr">
        <is>
          <t>0                      QZ 0267000M  7183        1991</t>
        </is>
      </c>
      <c r="D399" t="inlineStr">
        <is>
          <t>Molecular and cellular biology of multidrug resistance in tumor cells / edited by Igor B. Roninson.</t>
        </is>
      </c>
      <c r="F399" t="inlineStr">
        <is>
          <t>No</t>
        </is>
      </c>
      <c r="G399" t="inlineStr">
        <is>
          <t>1</t>
        </is>
      </c>
      <c r="H399" t="inlineStr">
        <is>
          <t>No</t>
        </is>
      </c>
      <c r="I399" t="inlineStr">
        <is>
          <t>No</t>
        </is>
      </c>
      <c r="J399" t="inlineStr">
        <is>
          <t>0</t>
        </is>
      </c>
      <c r="L399" t="inlineStr">
        <is>
          <t>New York : Plenum Press, c1991.</t>
        </is>
      </c>
      <c r="M399" t="inlineStr">
        <is>
          <t>1991</t>
        </is>
      </c>
      <c r="O399" t="inlineStr">
        <is>
          <t>eng</t>
        </is>
      </c>
      <c r="P399" t="inlineStr">
        <is>
          <t>nyu</t>
        </is>
      </c>
      <c r="R399" t="inlineStr">
        <is>
          <t xml:space="preserve">QZ </t>
        </is>
      </c>
      <c r="S399" t="n">
        <v>4</v>
      </c>
      <c r="T399" t="n">
        <v>4</v>
      </c>
      <c r="U399" t="inlineStr">
        <is>
          <t>2000-08-11</t>
        </is>
      </c>
      <c r="V399" t="inlineStr">
        <is>
          <t>2000-08-11</t>
        </is>
      </c>
      <c r="W399" t="inlineStr">
        <is>
          <t>1991-09-17</t>
        </is>
      </c>
      <c r="X399" t="inlineStr">
        <is>
          <t>1991-09-17</t>
        </is>
      </c>
      <c r="Y399" t="n">
        <v>120</v>
      </c>
      <c r="Z399" t="n">
        <v>74</v>
      </c>
      <c r="AA399" t="n">
        <v>107</v>
      </c>
      <c r="AB399" t="n">
        <v>1</v>
      </c>
      <c r="AC399" t="n">
        <v>1</v>
      </c>
      <c r="AD399" t="n">
        <v>1</v>
      </c>
      <c r="AE399" t="n">
        <v>2</v>
      </c>
      <c r="AF399" t="n">
        <v>0</v>
      </c>
      <c r="AG399" t="n">
        <v>1</v>
      </c>
      <c r="AH399" t="n">
        <v>1</v>
      </c>
      <c r="AI399" t="n">
        <v>1</v>
      </c>
      <c r="AJ399" t="n">
        <v>0</v>
      </c>
      <c r="AK399" t="n">
        <v>1</v>
      </c>
      <c r="AL399" t="n">
        <v>0</v>
      </c>
      <c r="AM399" t="n">
        <v>0</v>
      </c>
      <c r="AN399" t="n">
        <v>0</v>
      </c>
      <c r="AO399" t="n">
        <v>0</v>
      </c>
      <c r="AP399" t="inlineStr">
        <is>
          <t>No</t>
        </is>
      </c>
      <c r="AQ399" t="inlineStr">
        <is>
          <t>Yes</t>
        </is>
      </c>
      <c r="AR399">
        <f>HYPERLINK("http://catalog.hathitrust.org/Record/002466523","HathiTrust Record")</f>
        <v/>
      </c>
      <c r="AS399">
        <f>HYPERLINK("https://creighton-primo.hosted.exlibrisgroup.com/primo-explore/search?tab=default_tab&amp;search_scope=EVERYTHING&amp;vid=01CRU&amp;lang=en_US&amp;offset=0&amp;query=any,contains,991001016129702656","Catalog Record")</f>
        <v/>
      </c>
      <c r="AT399">
        <f>HYPERLINK("http://www.worldcat.org/oclc/22665319","WorldCat Record")</f>
        <v/>
      </c>
      <c r="AU399" t="inlineStr">
        <is>
          <t>24184150:eng</t>
        </is>
      </c>
      <c r="AV399" t="inlineStr">
        <is>
          <t>22665319</t>
        </is>
      </c>
      <c r="AW399" t="inlineStr">
        <is>
          <t>991001016129702656</t>
        </is>
      </c>
      <c r="AX399" t="inlineStr">
        <is>
          <t>991001016129702656</t>
        </is>
      </c>
      <c r="AY399" t="inlineStr">
        <is>
          <t>2257222330002656</t>
        </is>
      </c>
      <c r="AZ399" t="inlineStr">
        <is>
          <t>BOOK</t>
        </is>
      </c>
      <c r="BB399" t="inlineStr">
        <is>
          <t>9780306435478</t>
        </is>
      </c>
      <c r="BC399" t="inlineStr">
        <is>
          <t>30001002240739</t>
        </is>
      </c>
      <c r="BD399" t="inlineStr">
        <is>
          <t>893731602</t>
        </is>
      </c>
    </row>
    <row r="400">
      <c r="A400" t="inlineStr">
        <is>
          <t>No</t>
        </is>
      </c>
      <c r="B400" t="inlineStr">
        <is>
          <t>QZ 267 N532 1985</t>
        </is>
      </c>
      <c r="C400" t="inlineStr">
        <is>
          <t>0                      QZ 0267000N  532         1985</t>
        </is>
      </c>
      <c r="D400" t="inlineStr">
        <is>
          <t>New avenues in developmental cancer chemotherapy / edited by Kenneth R. Harrap, Thomas A. Connors.</t>
        </is>
      </c>
      <c r="F400" t="inlineStr">
        <is>
          <t>No</t>
        </is>
      </c>
      <c r="G400" t="inlineStr">
        <is>
          <t>1</t>
        </is>
      </c>
      <c r="H400" t="inlineStr">
        <is>
          <t>No</t>
        </is>
      </c>
      <c r="I400" t="inlineStr">
        <is>
          <t>No</t>
        </is>
      </c>
      <c r="J400" t="inlineStr">
        <is>
          <t>0</t>
        </is>
      </c>
      <c r="L400" t="inlineStr">
        <is>
          <t>Orlando : Academic Press, c1987.</t>
        </is>
      </c>
      <c r="M400" t="inlineStr">
        <is>
          <t>1987</t>
        </is>
      </c>
      <c r="O400" t="inlineStr">
        <is>
          <t>eng</t>
        </is>
      </c>
      <c r="P400" t="inlineStr">
        <is>
          <t>flu</t>
        </is>
      </c>
      <c r="Q400" t="inlineStr">
        <is>
          <t>Bristol-Myers cancer symposia ; 8</t>
        </is>
      </c>
      <c r="R400" t="inlineStr">
        <is>
          <t xml:space="preserve">QZ </t>
        </is>
      </c>
      <c r="S400" t="n">
        <v>5</v>
      </c>
      <c r="T400" t="n">
        <v>5</v>
      </c>
      <c r="U400" t="inlineStr">
        <is>
          <t>1993-10-12</t>
        </is>
      </c>
      <c r="V400" t="inlineStr">
        <is>
          <t>1993-10-12</t>
        </is>
      </c>
      <c r="W400" t="inlineStr">
        <is>
          <t>1987-12-10</t>
        </is>
      </c>
      <c r="X400" t="inlineStr">
        <is>
          <t>1987-12-10</t>
        </is>
      </c>
      <c r="Y400" t="n">
        <v>99</v>
      </c>
      <c r="Z400" t="n">
        <v>73</v>
      </c>
      <c r="AA400" t="n">
        <v>73</v>
      </c>
      <c r="AB400" t="n">
        <v>0</v>
      </c>
      <c r="AC400" t="n">
        <v>0</v>
      </c>
      <c r="AD400" t="n">
        <v>2</v>
      </c>
      <c r="AE400" t="n">
        <v>2</v>
      </c>
      <c r="AF400" t="n">
        <v>0</v>
      </c>
      <c r="AG400" t="n">
        <v>0</v>
      </c>
      <c r="AH400" t="n">
        <v>1</v>
      </c>
      <c r="AI400" t="n">
        <v>1</v>
      </c>
      <c r="AJ400" t="n">
        <v>1</v>
      </c>
      <c r="AK400" t="n">
        <v>1</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HYPERLINK("https://creighton-primo.hosted.exlibrisgroup.com/primo-explore/search?tab=default_tab&amp;search_scope=EVERYTHING&amp;vid=01CRU&amp;lang=en_US&amp;offset=0&amp;query=any,contains,991001532909702656","Catalog Record")</f>
        <v/>
      </c>
      <c r="AT400">
        <f>HYPERLINK("http://www.worldcat.org/oclc/13945798","WorldCat Record")</f>
        <v/>
      </c>
      <c r="AU400" t="inlineStr">
        <is>
          <t>7923765:eng</t>
        </is>
      </c>
      <c r="AV400" t="inlineStr">
        <is>
          <t>13945798</t>
        </is>
      </c>
      <c r="AW400" t="inlineStr">
        <is>
          <t>991001532909702656</t>
        </is>
      </c>
      <c r="AX400" t="inlineStr">
        <is>
          <t>991001532909702656</t>
        </is>
      </c>
      <c r="AY400" t="inlineStr">
        <is>
          <t>2258982210002656</t>
        </is>
      </c>
      <c r="AZ400" t="inlineStr">
        <is>
          <t>BOOK</t>
        </is>
      </c>
      <c r="BB400" t="inlineStr">
        <is>
          <t>9780123260208</t>
        </is>
      </c>
      <c r="BC400" t="inlineStr">
        <is>
          <t>30001000622078</t>
        </is>
      </c>
      <c r="BD400" t="inlineStr">
        <is>
          <t>893374693</t>
        </is>
      </c>
    </row>
    <row r="401">
      <c r="A401" t="inlineStr">
        <is>
          <t>No</t>
        </is>
      </c>
      <c r="B401" t="inlineStr">
        <is>
          <t>QZ 267 P769 1979</t>
        </is>
      </c>
      <c r="C401" t="inlineStr">
        <is>
          <t>0                      QZ 0267000P  769         1979</t>
        </is>
      </c>
      <c r="D401" t="inlineStr">
        <is>
          <t>Politics, science, and cancer : the Laetrile phenomenon / edited by Gerald E. Markle and James C. Peterson.</t>
        </is>
      </c>
      <c r="F401" t="inlineStr">
        <is>
          <t>No</t>
        </is>
      </c>
      <c r="G401" t="inlineStr">
        <is>
          <t>1</t>
        </is>
      </c>
      <c r="H401" t="inlineStr">
        <is>
          <t>No</t>
        </is>
      </c>
      <c r="I401" t="inlineStr">
        <is>
          <t>No</t>
        </is>
      </c>
      <c r="J401" t="inlineStr">
        <is>
          <t>0</t>
        </is>
      </c>
      <c r="L401" t="inlineStr">
        <is>
          <t>Boulder, Colo. : Westview Press, c1980.</t>
        </is>
      </c>
      <c r="M401" t="inlineStr">
        <is>
          <t>1980</t>
        </is>
      </c>
      <c r="O401" t="inlineStr">
        <is>
          <t>eng</t>
        </is>
      </c>
      <c r="P401" t="inlineStr">
        <is>
          <t>xxu</t>
        </is>
      </c>
      <c r="Q401" t="inlineStr">
        <is>
          <t>AAAS selected symposium ; 46</t>
        </is>
      </c>
      <c r="R401" t="inlineStr">
        <is>
          <t xml:space="preserve">QZ </t>
        </is>
      </c>
      <c r="S401" t="n">
        <v>1</v>
      </c>
      <c r="T401" t="n">
        <v>1</v>
      </c>
      <c r="U401" t="inlineStr">
        <is>
          <t>1990-12-08</t>
        </is>
      </c>
      <c r="V401" t="inlineStr">
        <is>
          <t>1990-12-08</t>
        </is>
      </c>
      <c r="W401" t="inlineStr">
        <is>
          <t>1988-02-19</t>
        </is>
      </c>
      <c r="X401" t="inlineStr">
        <is>
          <t>1988-02-19</t>
        </is>
      </c>
      <c r="Y401" t="n">
        <v>353</v>
      </c>
      <c r="Z401" t="n">
        <v>317</v>
      </c>
      <c r="AA401" t="n">
        <v>324</v>
      </c>
      <c r="AB401" t="n">
        <v>4</v>
      </c>
      <c r="AC401" t="n">
        <v>4</v>
      </c>
      <c r="AD401" t="n">
        <v>18</v>
      </c>
      <c r="AE401" t="n">
        <v>18</v>
      </c>
      <c r="AF401" t="n">
        <v>3</v>
      </c>
      <c r="AG401" t="n">
        <v>3</v>
      </c>
      <c r="AH401" t="n">
        <v>3</v>
      </c>
      <c r="AI401" t="n">
        <v>3</v>
      </c>
      <c r="AJ401" t="n">
        <v>5</v>
      </c>
      <c r="AK401" t="n">
        <v>5</v>
      </c>
      <c r="AL401" t="n">
        <v>3</v>
      </c>
      <c r="AM401" t="n">
        <v>3</v>
      </c>
      <c r="AN401" t="n">
        <v>7</v>
      </c>
      <c r="AO401" t="n">
        <v>7</v>
      </c>
      <c r="AP401" t="inlineStr">
        <is>
          <t>No</t>
        </is>
      </c>
      <c r="AQ401" t="inlineStr">
        <is>
          <t>Yes</t>
        </is>
      </c>
      <c r="AR401">
        <f>HYPERLINK("http://catalog.hathitrust.org/Record/000698855","HathiTrust Record")</f>
        <v/>
      </c>
      <c r="AS401">
        <f>HYPERLINK("https://creighton-primo.hosted.exlibrisgroup.com/primo-explore/search?tab=default_tab&amp;search_scope=EVERYTHING&amp;vid=01CRU&amp;lang=en_US&amp;offset=0&amp;query=any,contains,991000982079702656","Catalog Record")</f>
        <v/>
      </c>
      <c r="AT401">
        <f>HYPERLINK("http://www.worldcat.org/oclc/6222590","WorldCat Record")</f>
        <v/>
      </c>
      <c r="AU401" t="inlineStr">
        <is>
          <t>10677982431:eng</t>
        </is>
      </c>
      <c r="AV401" t="inlineStr">
        <is>
          <t>6222590</t>
        </is>
      </c>
      <c r="AW401" t="inlineStr">
        <is>
          <t>991000982079702656</t>
        </is>
      </c>
      <c r="AX401" t="inlineStr">
        <is>
          <t>991000982079702656</t>
        </is>
      </c>
      <c r="AY401" t="inlineStr">
        <is>
          <t>2257049230002656</t>
        </is>
      </c>
      <c r="AZ401" t="inlineStr">
        <is>
          <t>BOOK</t>
        </is>
      </c>
      <c r="BB401" t="inlineStr">
        <is>
          <t>9780891588542</t>
        </is>
      </c>
      <c r="BC401" t="inlineStr">
        <is>
          <t>30001000213860</t>
        </is>
      </c>
      <c r="BD401" t="inlineStr">
        <is>
          <t>893161594</t>
        </is>
      </c>
    </row>
    <row r="402">
      <c r="A402" t="inlineStr">
        <is>
          <t>No</t>
        </is>
      </c>
      <c r="B402" t="inlineStr">
        <is>
          <t>QZ 267 S439 1992</t>
        </is>
      </c>
      <c r="C402" t="inlineStr">
        <is>
          <t>0                      QZ 0267000S  439         1992</t>
        </is>
      </c>
      <c r="D402" t="inlineStr">
        <is>
          <t>The Search for new anticancer drugs / edited by M.J. Waring and B.A.J. Ponder.</t>
        </is>
      </c>
      <c r="F402" t="inlineStr">
        <is>
          <t>No</t>
        </is>
      </c>
      <c r="G402" t="inlineStr">
        <is>
          <t>1</t>
        </is>
      </c>
      <c r="H402" t="inlineStr">
        <is>
          <t>No</t>
        </is>
      </c>
      <c r="I402" t="inlineStr">
        <is>
          <t>No</t>
        </is>
      </c>
      <c r="J402" t="inlineStr">
        <is>
          <t>0</t>
        </is>
      </c>
      <c r="L402" t="inlineStr">
        <is>
          <t>Dordrecht ; Boston : Kluwer Academic Publishers, c1992.</t>
        </is>
      </c>
      <c r="M402" t="inlineStr">
        <is>
          <t>1992</t>
        </is>
      </c>
      <c r="O402" t="inlineStr">
        <is>
          <t>eng</t>
        </is>
      </c>
      <c r="P402" t="inlineStr">
        <is>
          <t xml:space="preserve">ne </t>
        </is>
      </c>
      <c r="Q402" t="inlineStr">
        <is>
          <t>Cancer biology and medicine ; CABM 03</t>
        </is>
      </c>
      <c r="R402" t="inlineStr">
        <is>
          <t xml:space="preserve">QZ </t>
        </is>
      </c>
      <c r="S402" t="n">
        <v>3</v>
      </c>
      <c r="T402" t="n">
        <v>3</v>
      </c>
      <c r="U402" t="inlineStr">
        <is>
          <t>1994-05-05</t>
        </is>
      </c>
      <c r="V402" t="inlineStr">
        <is>
          <t>1994-05-05</t>
        </is>
      </c>
      <c r="W402" t="inlineStr">
        <is>
          <t>1993-08-31</t>
        </is>
      </c>
      <c r="X402" t="inlineStr">
        <is>
          <t>1993-08-31</t>
        </is>
      </c>
      <c r="Y402" t="n">
        <v>60</v>
      </c>
      <c r="Z402" t="n">
        <v>41</v>
      </c>
      <c r="AA402" t="n">
        <v>66</v>
      </c>
      <c r="AB402" t="n">
        <v>1</v>
      </c>
      <c r="AC402" t="n">
        <v>1</v>
      </c>
      <c r="AD402" t="n">
        <v>0</v>
      </c>
      <c r="AE402" t="n">
        <v>0</v>
      </c>
      <c r="AF402" t="n">
        <v>0</v>
      </c>
      <c r="AG402" t="n">
        <v>0</v>
      </c>
      <c r="AH402" t="n">
        <v>0</v>
      </c>
      <c r="AI402" t="n">
        <v>0</v>
      </c>
      <c r="AJ402" t="n">
        <v>0</v>
      </c>
      <c r="AK402" t="n">
        <v>0</v>
      </c>
      <c r="AL402" t="n">
        <v>0</v>
      </c>
      <c r="AM402" t="n">
        <v>0</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HYPERLINK("https://creighton-primo.hosted.exlibrisgroup.com/primo-explore/search?tab=default_tab&amp;search_scope=EVERYTHING&amp;vid=01CRU&amp;lang=en_US&amp;offset=0&amp;query=any,contains,991001512369702656","Catalog Record")</f>
        <v/>
      </c>
      <c r="AT402">
        <f>HYPERLINK("http://www.worldcat.org/oclc/26218491","WorldCat Record")</f>
        <v/>
      </c>
      <c r="AU402" t="inlineStr">
        <is>
          <t>356004060:eng</t>
        </is>
      </c>
      <c r="AV402" t="inlineStr">
        <is>
          <t>26218491</t>
        </is>
      </c>
      <c r="AW402" t="inlineStr">
        <is>
          <t>991001512369702656</t>
        </is>
      </c>
      <c r="AX402" t="inlineStr">
        <is>
          <t>991001512369702656</t>
        </is>
      </c>
      <c r="AY402" t="inlineStr">
        <is>
          <t>2268252190002656</t>
        </is>
      </c>
      <c r="AZ402" t="inlineStr">
        <is>
          <t>BOOK</t>
        </is>
      </c>
      <c r="BB402" t="inlineStr">
        <is>
          <t>9780792389590</t>
        </is>
      </c>
      <c r="BC402" t="inlineStr">
        <is>
          <t>30001002601054</t>
        </is>
      </c>
      <c r="BD402" t="inlineStr">
        <is>
          <t>893816481</t>
        </is>
      </c>
    </row>
    <row r="403">
      <c r="A403" t="inlineStr">
        <is>
          <t>No</t>
        </is>
      </c>
      <c r="B403" t="inlineStr">
        <is>
          <t>QZ 267 T755 1984</t>
        </is>
      </c>
      <c r="C403" t="inlineStr">
        <is>
          <t>0                      QZ 0267000T  755         1984</t>
        </is>
      </c>
      <c r="D403" t="inlineStr">
        <is>
          <t>Toxicity of chemotherapy / edited by Michael C. Perry, John W. Yarbro.</t>
        </is>
      </c>
      <c r="F403" t="inlineStr">
        <is>
          <t>No</t>
        </is>
      </c>
      <c r="G403" t="inlineStr">
        <is>
          <t>1</t>
        </is>
      </c>
      <c r="H403" t="inlineStr">
        <is>
          <t>No</t>
        </is>
      </c>
      <c r="I403" t="inlineStr">
        <is>
          <t>No</t>
        </is>
      </c>
      <c r="J403" t="inlineStr">
        <is>
          <t>0</t>
        </is>
      </c>
      <c r="L403" t="inlineStr">
        <is>
          <t>Orlando : Grune &amp; Stratton, c1984.</t>
        </is>
      </c>
      <c r="M403" t="inlineStr">
        <is>
          <t>1984</t>
        </is>
      </c>
      <c r="O403" t="inlineStr">
        <is>
          <t>eng</t>
        </is>
      </c>
      <c r="P403" t="inlineStr">
        <is>
          <t>xxu</t>
        </is>
      </c>
      <c r="Q403" t="inlineStr">
        <is>
          <t>Clinical oncology monographs</t>
        </is>
      </c>
      <c r="R403" t="inlineStr">
        <is>
          <t xml:space="preserve">QZ </t>
        </is>
      </c>
      <c r="S403" t="n">
        <v>10</v>
      </c>
      <c r="T403" t="n">
        <v>10</v>
      </c>
      <c r="U403" t="inlineStr">
        <is>
          <t>1994-10-20</t>
        </is>
      </c>
      <c r="V403" t="inlineStr">
        <is>
          <t>1994-10-20</t>
        </is>
      </c>
      <c r="W403" t="inlineStr">
        <is>
          <t>1988-02-19</t>
        </is>
      </c>
      <c r="X403" t="inlineStr">
        <is>
          <t>1988-02-19</t>
        </is>
      </c>
      <c r="Y403" t="n">
        <v>178</v>
      </c>
      <c r="Z403" t="n">
        <v>125</v>
      </c>
      <c r="AA403" t="n">
        <v>128</v>
      </c>
      <c r="AB403" t="n">
        <v>1</v>
      </c>
      <c r="AC403" t="n">
        <v>1</v>
      </c>
      <c r="AD403" t="n">
        <v>3</v>
      </c>
      <c r="AE403" t="n">
        <v>3</v>
      </c>
      <c r="AF403" t="n">
        <v>2</v>
      </c>
      <c r="AG403" t="n">
        <v>2</v>
      </c>
      <c r="AH403" t="n">
        <v>1</v>
      </c>
      <c r="AI403" t="n">
        <v>1</v>
      </c>
      <c r="AJ403" t="n">
        <v>2</v>
      </c>
      <c r="AK403" t="n">
        <v>2</v>
      </c>
      <c r="AL403" t="n">
        <v>0</v>
      </c>
      <c r="AM403" t="n">
        <v>0</v>
      </c>
      <c r="AN403" t="n">
        <v>0</v>
      </c>
      <c r="AO403" t="n">
        <v>0</v>
      </c>
      <c r="AP403" t="inlineStr">
        <is>
          <t>No</t>
        </is>
      </c>
      <c r="AQ403" t="inlineStr">
        <is>
          <t>Yes</t>
        </is>
      </c>
      <c r="AR403">
        <f>HYPERLINK("http://catalog.hathitrust.org/Record/000448151","HathiTrust Record")</f>
        <v/>
      </c>
      <c r="AS403">
        <f>HYPERLINK("https://creighton-primo.hosted.exlibrisgroup.com/primo-explore/search?tab=default_tab&amp;search_scope=EVERYTHING&amp;vid=01CRU&amp;lang=en_US&amp;offset=0&amp;query=any,contains,991000982119702656","Catalog Record")</f>
        <v/>
      </c>
      <c r="AT403">
        <f>HYPERLINK("http://www.worldcat.org/oclc/10533394","WorldCat Record")</f>
        <v/>
      </c>
      <c r="AU403" t="inlineStr">
        <is>
          <t>54498467:eng</t>
        </is>
      </c>
      <c r="AV403" t="inlineStr">
        <is>
          <t>10533394</t>
        </is>
      </c>
      <c r="AW403" t="inlineStr">
        <is>
          <t>991000982119702656</t>
        </is>
      </c>
      <c r="AX403" t="inlineStr">
        <is>
          <t>991000982119702656</t>
        </is>
      </c>
      <c r="AY403" t="inlineStr">
        <is>
          <t>2255841880002656</t>
        </is>
      </c>
      <c r="AZ403" t="inlineStr">
        <is>
          <t>BOOK</t>
        </is>
      </c>
      <c r="BB403" t="inlineStr">
        <is>
          <t>9780808916314</t>
        </is>
      </c>
      <c r="BC403" t="inlineStr">
        <is>
          <t>30001000213894</t>
        </is>
      </c>
      <c r="BD403" t="inlineStr">
        <is>
          <t>893648815</t>
        </is>
      </c>
    </row>
    <row r="404">
      <c r="A404" t="inlineStr">
        <is>
          <t>No</t>
        </is>
      </c>
      <c r="B404" t="inlineStr">
        <is>
          <t>QZ 268 C641 2006</t>
        </is>
      </c>
      <c r="C404" t="inlineStr">
        <is>
          <t>0                      QZ 0268000C  641         2006</t>
        </is>
      </c>
      <c r="D404" t="inlineStr">
        <is>
          <t>Clinical scenarios in surgical oncology / editor, Vijay P. Khatri.</t>
        </is>
      </c>
      <c r="F404" t="inlineStr">
        <is>
          <t>No</t>
        </is>
      </c>
      <c r="G404" t="inlineStr">
        <is>
          <t>1</t>
        </is>
      </c>
      <c r="H404" t="inlineStr">
        <is>
          <t>No</t>
        </is>
      </c>
      <c r="I404" t="inlineStr">
        <is>
          <t>No</t>
        </is>
      </c>
      <c r="J404" t="inlineStr">
        <is>
          <t>0</t>
        </is>
      </c>
      <c r="L404" t="inlineStr">
        <is>
          <t>Philadelphia : Lippincott Williams &amp; Wilkins, c2006.</t>
        </is>
      </c>
      <c r="M404" t="inlineStr">
        <is>
          <t>2006</t>
        </is>
      </c>
      <c r="O404" t="inlineStr">
        <is>
          <t>eng</t>
        </is>
      </c>
      <c r="P404" t="inlineStr">
        <is>
          <t>pau</t>
        </is>
      </c>
      <c r="Q404" t="inlineStr">
        <is>
          <t>Clinical scenarios in surgery series</t>
        </is>
      </c>
      <c r="R404" t="inlineStr">
        <is>
          <t xml:space="preserve">QZ </t>
        </is>
      </c>
      <c r="S404" t="n">
        <v>2</v>
      </c>
      <c r="T404" t="n">
        <v>2</v>
      </c>
      <c r="U404" t="inlineStr">
        <is>
          <t>2008-03-13</t>
        </is>
      </c>
      <c r="V404" t="inlineStr">
        <is>
          <t>2008-03-13</t>
        </is>
      </c>
      <c r="W404" t="inlineStr">
        <is>
          <t>2007-02-09</t>
        </is>
      </c>
      <c r="X404" t="inlineStr">
        <is>
          <t>2007-02-09</t>
        </is>
      </c>
      <c r="Y404" t="n">
        <v>91</v>
      </c>
      <c r="Z404" t="n">
        <v>58</v>
      </c>
      <c r="AA404" t="n">
        <v>432</v>
      </c>
      <c r="AB404" t="n">
        <v>1</v>
      </c>
      <c r="AC404" t="n">
        <v>5</v>
      </c>
      <c r="AD404" t="n">
        <v>1</v>
      </c>
      <c r="AE404" t="n">
        <v>20</v>
      </c>
      <c r="AF404" t="n">
        <v>1</v>
      </c>
      <c r="AG404" t="n">
        <v>7</v>
      </c>
      <c r="AH404" t="n">
        <v>0</v>
      </c>
      <c r="AI404" t="n">
        <v>5</v>
      </c>
      <c r="AJ404" t="n">
        <v>0</v>
      </c>
      <c r="AK404" t="n">
        <v>5</v>
      </c>
      <c r="AL404" t="n">
        <v>0</v>
      </c>
      <c r="AM404" t="n">
        <v>4</v>
      </c>
      <c r="AN404" t="n">
        <v>0</v>
      </c>
      <c r="AO404" t="n">
        <v>1</v>
      </c>
      <c r="AP404" t="inlineStr">
        <is>
          <t>No</t>
        </is>
      </c>
      <c r="AQ404" t="inlineStr">
        <is>
          <t>No</t>
        </is>
      </c>
      <c r="AS404">
        <f>HYPERLINK("https://creighton-primo.hosted.exlibrisgroup.com/primo-explore/search?tab=default_tab&amp;search_scope=EVERYTHING&amp;vid=01CRU&amp;lang=en_US&amp;offset=0&amp;query=any,contains,991000594769702656","Catalog Record")</f>
        <v/>
      </c>
      <c r="AT404">
        <f>HYPERLINK("http://www.worldcat.org/oclc/58534267","WorldCat Record")</f>
        <v/>
      </c>
      <c r="AU404" t="inlineStr">
        <is>
          <t>57160945:eng</t>
        </is>
      </c>
      <c r="AV404" t="inlineStr">
        <is>
          <t>58534267</t>
        </is>
      </c>
      <c r="AW404" t="inlineStr">
        <is>
          <t>991000594769702656</t>
        </is>
      </c>
      <c r="AX404" t="inlineStr">
        <is>
          <t>991000594769702656</t>
        </is>
      </c>
      <c r="AY404" t="inlineStr">
        <is>
          <t>2269951020002656</t>
        </is>
      </c>
      <c r="AZ404" t="inlineStr">
        <is>
          <t>BOOK</t>
        </is>
      </c>
      <c r="BB404" t="inlineStr">
        <is>
          <t>9780781754668</t>
        </is>
      </c>
      <c r="BC404" t="inlineStr">
        <is>
          <t>30001005175064</t>
        </is>
      </c>
      <c r="BD404" t="inlineStr">
        <is>
          <t>893641804</t>
        </is>
      </c>
    </row>
    <row r="405">
      <c r="A405" t="inlineStr">
        <is>
          <t>No</t>
        </is>
      </c>
      <c r="B405" t="inlineStr">
        <is>
          <t>QZ 268 E42c 1989</t>
        </is>
      </c>
      <c r="C405" t="inlineStr">
        <is>
          <t>0                      QZ 0268000E  42c         1989</t>
        </is>
      </c>
      <c r="D405" t="inlineStr">
        <is>
          <t>CRC handbook of surgical oncology / author, E. George Elias.</t>
        </is>
      </c>
      <c r="F405" t="inlineStr">
        <is>
          <t>No</t>
        </is>
      </c>
      <c r="G405" t="inlineStr">
        <is>
          <t>1</t>
        </is>
      </c>
      <c r="H405" t="inlineStr">
        <is>
          <t>No</t>
        </is>
      </c>
      <c r="I405" t="inlineStr">
        <is>
          <t>No</t>
        </is>
      </c>
      <c r="J405" t="inlineStr">
        <is>
          <t>0</t>
        </is>
      </c>
      <c r="K405" t="inlineStr">
        <is>
          <t>Elias, E. George.</t>
        </is>
      </c>
      <c r="L405" t="inlineStr">
        <is>
          <t>Boca Raton, Fla. : CRC Press, c1989.</t>
        </is>
      </c>
      <c r="M405" t="inlineStr">
        <is>
          <t>1989</t>
        </is>
      </c>
      <c r="O405" t="inlineStr">
        <is>
          <t>eng</t>
        </is>
      </c>
      <c r="P405" t="inlineStr">
        <is>
          <t>xxu</t>
        </is>
      </c>
      <c r="R405" t="inlineStr">
        <is>
          <t xml:space="preserve">QZ </t>
        </is>
      </c>
      <c r="S405" t="n">
        <v>3</v>
      </c>
      <c r="T405" t="n">
        <v>3</v>
      </c>
      <c r="U405" t="inlineStr">
        <is>
          <t>2000-03-30</t>
        </is>
      </c>
      <c r="V405" t="inlineStr">
        <is>
          <t>2000-03-30</t>
        </is>
      </c>
      <c r="W405" t="inlineStr">
        <is>
          <t>1989-05-02</t>
        </is>
      </c>
      <c r="X405" t="inlineStr">
        <is>
          <t>1989-05-02</t>
        </is>
      </c>
      <c r="Y405" t="n">
        <v>77</v>
      </c>
      <c r="Z405" t="n">
        <v>56</v>
      </c>
      <c r="AA405" t="n">
        <v>70</v>
      </c>
      <c r="AB405" t="n">
        <v>1</v>
      </c>
      <c r="AC405" t="n">
        <v>1</v>
      </c>
      <c r="AD405" t="n">
        <v>0</v>
      </c>
      <c r="AE405" t="n">
        <v>0</v>
      </c>
      <c r="AF405" t="n">
        <v>0</v>
      </c>
      <c r="AG405" t="n">
        <v>0</v>
      </c>
      <c r="AH405" t="n">
        <v>0</v>
      </c>
      <c r="AI405" t="n">
        <v>0</v>
      </c>
      <c r="AJ405" t="n">
        <v>0</v>
      </c>
      <c r="AK405" t="n">
        <v>0</v>
      </c>
      <c r="AL405" t="n">
        <v>0</v>
      </c>
      <c r="AM405" t="n">
        <v>0</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HYPERLINK("https://creighton-primo.hosted.exlibrisgroup.com/primo-explore/search?tab=default_tab&amp;search_scope=EVERYTHING&amp;vid=01CRU&amp;lang=en_US&amp;offset=0&amp;query=any,contains,991001246919702656","Catalog Record")</f>
        <v/>
      </c>
      <c r="AT405">
        <f>HYPERLINK("http://www.worldcat.org/oclc/17678589","WorldCat Record")</f>
        <v/>
      </c>
      <c r="AU405" t="inlineStr">
        <is>
          <t>152293530:eng</t>
        </is>
      </c>
      <c r="AV405" t="inlineStr">
        <is>
          <t>17678589</t>
        </is>
      </c>
      <c r="AW405" t="inlineStr">
        <is>
          <t>991001246919702656</t>
        </is>
      </c>
      <c r="AX405" t="inlineStr">
        <is>
          <t>991001246919702656</t>
        </is>
      </c>
      <c r="AY405" t="inlineStr">
        <is>
          <t>2259184930002656</t>
        </is>
      </c>
      <c r="AZ405" t="inlineStr">
        <is>
          <t>BOOK</t>
        </is>
      </c>
      <c r="BB405" t="inlineStr">
        <is>
          <t>9780849332777</t>
        </is>
      </c>
      <c r="BC405" t="inlineStr">
        <is>
          <t>30001001677618</t>
        </is>
      </c>
      <c r="BD405" t="inlineStr">
        <is>
          <t>893740895</t>
        </is>
      </c>
    </row>
    <row r="406">
      <c r="A406" t="inlineStr">
        <is>
          <t>No</t>
        </is>
      </c>
      <c r="B406" t="inlineStr">
        <is>
          <t>QZ 268 P964 1991</t>
        </is>
      </c>
      <c r="C406" t="inlineStr">
        <is>
          <t>0                      QZ 0268000P  964         1991</t>
        </is>
      </c>
      <c r="D406" t="inlineStr">
        <is>
          <t>Progress in cancer surgery / edited by John S. Najarian, John P. Delaney.</t>
        </is>
      </c>
      <c r="F406" t="inlineStr">
        <is>
          <t>No</t>
        </is>
      </c>
      <c r="G406" t="inlineStr">
        <is>
          <t>1</t>
        </is>
      </c>
      <c r="H406" t="inlineStr">
        <is>
          <t>No</t>
        </is>
      </c>
      <c r="I406" t="inlineStr">
        <is>
          <t>No</t>
        </is>
      </c>
      <c r="J406" t="inlineStr">
        <is>
          <t>0</t>
        </is>
      </c>
      <c r="K406" t="inlineStr">
        <is>
          <t>Continuation Course in Surgery (54th : 1990 : University of Minnesota. Medical School)</t>
        </is>
      </c>
      <c r="L406" t="inlineStr">
        <is>
          <t>St. Louis : Mosby Year Book, c1991.</t>
        </is>
      </c>
      <c r="M406" t="inlineStr">
        <is>
          <t>1991</t>
        </is>
      </c>
      <c r="O406" t="inlineStr">
        <is>
          <t>eng</t>
        </is>
      </c>
      <c r="P406" t="inlineStr">
        <is>
          <t>mou</t>
        </is>
      </c>
      <c r="R406" t="inlineStr">
        <is>
          <t xml:space="preserve">QZ </t>
        </is>
      </c>
      <c r="S406" t="n">
        <v>4</v>
      </c>
      <c r="T406" t="n">
        <v>4</v>
      </c>
      <c r="U406" t="inlineStr">
        <is>
          <t>1991-10-11</t>
        </is>
      </c>
      <c r="V406" t="inlineStr">
        <is>
          <t>1991-10-11</t>
        </is>
      </c>
      <c r="W406" t="inlineStr">
        <is>
          <t>1991-09-17</t>
        </is>
      </c>
      <c r="X406" t="inlineStr">
        <is>
          <t>1991-09-17</t>
        </is>
      </c>
      <c r="Y406" t="n">
        <v>48</v>
      </c>
      <c r="Z406" t="n">
        <v>39</v>
      </c>
      <c r="AA406" t="n">
        <v>41</v>
      </c>
      <c r="AB406" t="n">
        <v>1</v>
      </c>
      <c r="AC406" t="n">
        <v>1</v>
      </c>
      <c r="AD406" t="n">
        <v>0</v>
      </c>
      <c r="AE406" t="n">
        <v>0</v>
      </c>
      <c r="AF406" t="n">
        <v>0</v>
      </c>
      <c r="AG406" t="n">
        <v>0</v>
      </c>
      <c r="AH406" t="n">
        <v>0</v>
      </c>
      <c r="AI406" t="n">
        <v>0</v>
      </c>
      <c r="AJ406" t="n">
        <v>0</v>
      </c>
      <c r="AK406" t="n">
        <v>0</v>
      </c>
      <c r="AL406" t="n">
        <v>0</v>
      </c>
      <c r="AM406" t="n">
        <v>0</v>
      </c>
      <c r="AN406" t="n">
        <v>0</v>
      </c>
      <c r="AO406" t="n">
        <v>0</v>
      </c>
      <c r="AP406" t="inlineStr">
        <is>
          <t>No</t>
        </is>
      </c>
      <c r="AQ406" t="inlineStr">
        <is>
          <t>Yes</t>
        </is>
      </c>
      <c r="AR406">
        <f>HYPERLINK("http://catalog.hathitrust.org/Record/002466712","HathiTrust Record")</f>
        <v/>
      </c>
      <c r="AS406">
        <f>HYPERLINK("https://creighton-primo.hosted.exlibrisgroup.com/primo-explore/search?tab=default_tab&amp;search_scope=EVERYTHING&amp;vid=01CRU&amp;lang=en_US&amp;offset=0&amp;query=any,contains,991001015649702656","Catalog Record")</f>
        <v/>
      </c>
      <c r="AT406">
        <f>HYPERLINK("http://www.worldcat.org/oclc/23463452","WorldCat Record")</f>
        <v/>
      </c>
      <c r="AU406" t="inlineStr">
        <is>
          <t>24951833:eng</t>
        </is>
      </c>
      <c r="AV406" t="inlineStr">
        <is>
          <t>23463452</t>
        </is>
      </c>
      <c r="AW406" t="inlineStr">
        <is>
          <t>991001015649702656</t>
        </is>
      </c>
      <c r="AX406" t="inlineStr">
        <is>
          <t>991001015649702656</t>
        </is>
      </c>
      <c r="AY406" t="inlineStr">
        <is>
          <t>2256158650002656</t>
        </is>
      </c>
      <c r="AZ406" t="inlineStr">
        <is>
          <t>BOOK</t>
        </is>
      </c>
      <c r="BB406" t="inlineStr">
        <is>
          <t>9780801636257</t>
        </is>
      </c>
      <c r="BC406" t="inlineStr">
        <is>
          <t>30001002240630</t>
        </is>
      </c>
      <c r="BD406" t="inlineStr">
        <is>
          <t>893632658</t>
        </is>
      </c>
    </row>
    <row r="407">
      <c r="A407" t="inlineStr">
        <is>
          <t>No</t>
        </is>
      </c>
      <c r="B407" t="inlineStr">
        <is>
          <t>QZ 268 S9612 1984</t>
        </is>
      </c>
      <c r="C407" t="inlineStr">
        <is>
          <t>0                      QZ 0268000S  9612        1984</t>
        </is>
      </c>
      <c r="D407" t="inlineStr">
        <is>
          <t>Surgical oncology / [edited by] Yosef H. Pilch.</t>
        </is>
      </c>
      <c r="F407" t="inlineStr">
        <is>
          <t>No</t>
        </is>
      </c>
      <c r="G407" t="inlineStr">
        <is>
          <t>1</t>
        </is>
      </c>
      <c r="H407" t="inlineStr">
        <is>
          <t>No</t>
        </is>
      </c>
      <c r="I407" t="inlineStr">
        <is>
          <t>No</t>
        </is>
      </c>
      <c r="J407" t="inlineStr">
        <is>
          <t>0</t>
        </is>
      </c>
      <c r="L407" t="inlineStr">
        <is>
          <t>New York : McGraw-Hill, c1984.</t>
        </is>
      </c>
      <c r="M407" t="inlineStr">
        <is>
          <t>1984</t>
        </is>
      </c>
      <c r="O407" t="inlineStr">
        <is>
          <t>eng</t>
        </is>
      </c>
      <c r="P407" t="inlineStr">
        <is>
          <t>xxu</t>
        </is>
      </c>
      <c r="R407" t="inlineStr">
        <is>
          <t xml:space="preserve">QZ </t>
        </is>
      </c>
      <c r="S407" t="n">
        <v>13</v>
      </c>
      <c r="T407" t="n">
        <v>13</v>
      </c>
      <c r="U407" t="inlineStr">
        <is>
          <t>1994-11-16</t>
        </is>
      </c>
      <c r="V407" t="inlineStr">
        <is>
          <t>1994-11-16</t>
        </is>
      </c>
      <c r="W407" t="inlineStr">
        <is>
          <t>1987-10-03</t>
        </is>
      </c>
      <c r="X407" t="inlineStr">
        <is>
          <t>1987-10-03</t>
        </is>
      </c>
      <c r="Y407" t="n">
        <v>158</v>
      </c>
      <c r="Z407" t="n">
        <v>116</v>
      </c>
      <c r="AA407" t="n">
        <v>116</v>
      </c>
      <c r="AB407" t="n">
        <v>2</v>
      </c>
      <c r="AC407" t="n">
        <v>2</v>
      </c>
      <c r="AD407" t="n">
        <v>1</v>
      </c>
      <c r="AE407" t="n">
        <v>1</v>
      </c>
      <c r="AF407" t="n">
        <v>0</v>
      </c>
      <c r="AG407" t="n">
        <v>0</v>
      </c>
      <c r="AH407" t="n">
        <v>0</v>
      </c>
      <c r="AI407" t="n">
        <v>0</v>
      </c>
      <c r="AJ407" t="n">
        <v>0</v>
      </c>
      <c r="AK407" t="n">
        <v>0</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HYPERLINK("https://creighton-primo.hosted.exlibrisgroup.com/primo-explore/search?tab=default_tab&amp;search_scope=EVERYTHING&amp;vid=01CRU&amp;lang=en_US&amp;offset=0&amp;query=any,contains,991000757189702656","Catalog Record")</f>
        <v/>
      </c>
      <c r="AT407">
        <f>HYPERLINK("http://www.worldcat.org/oclc/9440917","WorldCat Record")</f>
        <v/>
      </c>
      <c r="AU407" t="inlineStr">
        <is>
          <t>54567979:eng</t>
        </is>
      </c>
      <c r="AV407" t="inlineStr">
        <is>
          <t>9440917</t>
        </is>
      </c>
      <c r="AW407" t="inlineStr">
        <is>
          <t>991000757189702656</t>
        </is>
      </c>
      <c r="AX407" t="inlineStr">
        <is>
          <t>991000757189702656</t>
        </is>
      </c>
      <c r="AY407" t="inlineStr">
        <is>
          <t>2263607440002656</t>
        </is>
      </c>
      <c r="AZ407" t="inlineStr">
        <is>
          <t>BOOK</t>
        </is>
      </c>
      <c r="BB407" t="inlineStr">
        <is>
          <t>9780070499973</t>
        </is>
      </c>
      <c r="BC407" t="inlineStr">
        <is>
          <t>30001000053803</t>
        </is>
      </c>
      <c r="BD407" t="inlineStr">
        <is>
          <t>893648081</t>
        </is>
      </c>
    </row>
    <row r="408">
      <c r="A408" t="inlineStr">
        <is>
          <t>No</t>
        </is>
      </c>
      <c r="B408" t="inlineStr">
        <is>
          <t>QZ 268 W979s 1926</t>
        </is>
      </c>
      <c r="C408" t="inlineStr">
        <is>
          <t>0                      QZ 0268000W  979s        1926</t>
        </is>
      </c>
      <c r="D408" t="inlineStr">
        <is>
          <t>Surgery of neoplastic diseases by electrothermic methods / by George A. Wyeth ; preface by Howard A. Kelly.</t>
        </is>
      </c>
      <c r="F408" t="inlineStr">
        <is>
          <t>No</t>
        </is>
      </c>
      <c r="G408" t="inlineStr">
        <is>
          <t>1</t>
        </is>
      </c>
      <c r="H408" t="inlineStr">
        <is>
          <t>No</t>
        </is>
      </c>
      <c r="I408" t="inlineStr">
        <is>
          <t>No</t>
        </is>
      </c>
      <c r="J408" t="inlineStr">
        <is>
          <t>0</t>
        </is>
      </c>
      <c r="K408" t="inlineStr">
        <is>
          <t>Wyeth, George A.</t>
        </is>
      </c>
      <c r="L408" t="inlineStr">
        <is>
          <t>New York : P.B. Hoeber, 1926.</t>
        </is>
      </c>
      <c r="M408" t="inlineStr">
        <is>
          <t>1926</t>
        </is>
      </c>
      <c r="O408" t="inlineStr">
        <is>
          <t>eng</t>
        </is>
      </c>
      <c r="P408" t="inlineStr">
        <is>
          <t>nyu</t>
        </is>
      </c>
      <c r="R408" t="inlineStr">
        <is>
          <t xml:space="preserve">QZ </t>
        </is>
      </c>
      <c r="S408" t="n">
        <v>2</v>
      </c>
      <c r="T408" t="n">
        <v>2</v>
      </c>
      <c r="U408" t="inlineStr">
        <is>
          <t>1994-10-31</t>
        </is>
      </c>
      <c r="V408" t="inlineStr">
        <is>
          <t>1994-10-31</t>
        </is>
      </c>
      <c r="W408" t="inlineStr">
        <is>
          <t>1988-03-26</t>
        </is>
      </c>
      <c r="X408" t="inlineStr">
        <is>
          <t>1988-03-26</t>
        </is>
      </c>
      <c r="Y408" t="n">
        <v>41</v>
      </c>
      <c r="Z408" t="n">
        <v>29</v>
      </c>
      <c r="AA408" t="n">
        <v>30</v>
      </c>
      <c r="AB408" t="n">
        <v>1</v>
      </c>
      <c r="AC408" t="n">
        <v>1</v>
      </c>
      <c r="AD408" t="n">
        <v>0</v>
      </c>
      <c r="AE408" t="n">
        <v>0</v>
      </c>
      <c r="AF408" t="n">
        <v>0</v>
      </c>
      <c r="AG408" t="n">
        <v>0</v>
      </c>
      <c r="AH408" t="n">
        <v>0</v>
      </c>
      <c r="AI408" t="n">
        <v>0</v>
      </c>
      <c r="AJ408" t="n">
        <v>0</v>
      </c>
      <c r="AK408" t="n">
        <v>0</v>
      </c>
      <c r="AL408" t="n">
        <v>0</v>
      </c>
      <c r="AM408" t="n">
        <v>0</v>
      </c>
      <c r="AN408" t="n">
        <v>0</v>
      </c>
      <c r="AO408" t="n">
        <v>0</v>
      </c>
      <c r="AP408" t="inlineStr">
        <is>
          <t>No</t>
        </is>
      </c>
      <c r="AQ408" t="inlineStr">
        <is>
          <t>Yes</t>
        </is>
      </c>
      <c r="AR408">
        <f>HYPERLINK("http://catalog.hathitrust.org/Record/001585402","HathiTrust Record")</f>
        <v/>
      </c>
      <c r="AS408">
        <f>HYPERLINK("https://creighton-primo.hosted.exlibrisgroup.com/primo-explore/search?tab=default_tab&amp;search_scope=EVERYTHING&amp;vid=01CRU&amp;lang=en_US&amp;offset=0&amp;query=any,contains,991000982309702656","Catalog Record")</f>
        <v/>
      </c>
      <c r="AT408">
        <f>HYPERLINK("http://www.worldcat.org/oclc/7115999","WorldCat Record")</f>
        <v/>
      </c>
      <c r="AU408" t="inlineStr">
        <is>
          <t>25770770:eng</t>
        </is>
      </c>
      <c r="AV408" t="inlineStr">
        <is>
          <t>7115999</t>
        </is>
      </c>
      <c r="AW408" t="inlineStr">
        <is>
          <t>991000982309702656</t>
        </is>
      </c>
      <c r="AX408" t="inlineStr">
        <is>
          <t>991000982309702656</t>
        </is>
      </c>
      <c r="AY408" t="inlineStr">
        <is>
          <t>2256760160002656</t>
        </is>
      </c>
      <c r="AZ408" t="inlineStr">
        <is>
          <t>BOOK</t>
        </is>
      </c>
      <c r="BC408" t="inlineStr">
        <is>
          <t>30001000213977</t>
        </is>
      </c>
      <c r="BD408" t="inlineStr">
        <is>
          <t>893363632</t>
        </is>
      </c>
    </row>
    <row r="409">
      <c r="A409" t="inlineStr">
        <is>
          <t>No</t>
        </is>
      </c>
      <c r="B409" t="inlineStr">
        <is>
          <t>QZ 269 C64105 1988</t>
        </is>
      </c>
      <c r="C409" t="inlineStr">
        <is>
          <t>0                      QZ 0269000C  64105       1988</t>
        </is>
      </c>
      <c r="D409" t="inlineStr">
        <is>
          <t>Clinical aspects of neutron capture therapy / edited by Ralph G. Fairchild, Victor P. Bond, and Avril D. Woodhead ; technical editor, Katherine Vivirito.</t>
        </is>
      </c>
      <c r="F409" t="inlineStr">
        <is>
          <t>No</t>
        </is>
      </c>
      <c r="G409" t="inlineStr">
        <is>
          <t>1</t>
        </is>
      </c>
      <c r="H409" t="inlineStr">
        <is>
          <t>No</t>
        </is>
      </c>
      <c r="I409" t="inlineStr">
        <is>
          <t>No</t>
        </is>
      </c>
      <c r="J409" t="inlineStr">
        <is>
          <t>0</t>
        </is>
      </c>
      <c r="L409" t="inlineStr">
        <is>
          <t>New York : Plenum Press, c1989.</t>
        </is>
      </c>
      <c r="M409" t="inlineStr">
        <is>
          <t>1989</t>
        </is>
      </c>
      <c r="O409" t="inlineStr">
        <is>
          <t>eng</t>
        </is>
      </c>
      <c r="P409" t="inlineStr">
        <is>
          <t>nyu</t>
        </is>
      </c>
      <c r="Q409" t="inlineStr">
        <is>
          <t>Basic life sciences ; v. 50</t>
        </is>
      </c>
      <c r="R409" t="inlineStr">
        <is>
          <t xml:space="preserve">QZ </t>
        </is>
      </c>
      <c r="S409" t="n">
        <v>2</v>
      </c>
      <c r="T409" t="n">
        <v>2</v>
      </c>
      <c r="U409" t="inlineStr">
        <is>
          <t>2002-04-01</t>
        </is>
      </c>
      <c r="V409" t="inlineStr">
        <is>
          <t>2002-04-01</t>
        </is>
      </c>
      <c r="W409" t="inlineStr">
        <is>
          <t>1992-04-07</t>
        </is>
      </c>
      <c r="X409" t="inlineStr">
        <is>
          <t>1992-04-07</t>
        </is>
      </c>
      <c r="Y409" t="n">
        <v>103</v>
      </c>
      <c r="Z409" t="n">
        <v>77</v>
      </c>
      <c r="AA409" t="n">
        <v>100</v>
      </c>
      <c r="AB409" t="n">
        <v>1</v>
      </c>
      <c r="AC409" t="n">
        <v>1</v>
      </c>
      <c r="AD409" t="n">
        <v>3</v>
      </c>
      <c r="AE409" t="n">
        <v>4</v>
      </c>
      <c r="AF409" t="n">
        <v>0</v>
      </c>
      <c r="AG409" t="n">
        <v>1</v>
      </c>
      <c r="AH409" t="n">
        <v>1</v>
      </c>
      <c r="AI409" t="n">
        <v>1</v>
      </c>
      <c r="AJ409" t="n">
        <v>2</v>
      </c>
      <c r="AK409" t="n">
        <v>3</v>
      </c>
      <c r="AL409" t="n">
        <v>0</v>
      </c>
      <c r="AM409" t="n">
        <v>0</v>
      </c>
      <c r="AN409" t="n">
        <v>0</v>
      </c>
      <c r="AO409" t="n">
        <v>0</v>
      </c>
      <c r="AP409" t="inlineStr">
        <is>
          <t>No</t>
        </is>
      </c>
      <c r="AQ409" t="inlineStr">
        <is>
          <t>Yes</t>
        </is>
      </c>
      <c r="AR409">
        <f>HYPERLINK("http://catalog.hathitrust.org/Record/001295117","HathiTrust Record")</f>
        <v/>
      </c>
      <c r="AS409">
        <f>HYPERLINK("https://creighton-primo.hosted.exlibrisgroup.com/primo-explore/search?tab=default_tab&amp;search_scope=EVERYTHING&amp;vid=01CRU&amp;lang=en_US&amp;offset=0&amp;query=any,contains,991001300409702656","Catalog Record")</f>
        <v/>
      </c>
      <c r="AT409">
        <f>HYPERLINK("http://www.worldcat.org/oclc/18909466","WorldCat Record")</f>
        <v/>
      </c>
      <c r="AU409" t="inlineStr">
        <is>
          <t>9167107815:eng</t>
        </is>
      </c>
      <c r="AV409" t="inlineStr">
        <is>
          <t>18909466</t>
        </is>
      </c>
      <c r="AW409" t="inlineStr">
        <is>
          <t>991001300409702656</t>
        </is>
      </c>
      <c r="AX409" t="inlineStr">
        <is>
          <t>991001300409702656</t>
        </is>
      </c>
      <c r="AY409" t="inlineStr">
        <is>
          <t>2256431270002656</t>
        </is>
      </c>
      <c r="AZ409" t="inlineStr">
        <is>
          <t>BOOK</t>
        </is>
      </c>
      <c r="BB409" t="inlineStr">
        <is>
          <t>9780306431142</t>
        </is>
      </c>
      <c r="BC409" t="inlineStr">
        <is>
          <t>30001002411553</t>
        </is>
      </c>
      <c r="BD409" t="inlineStr">
        <is>
          <t>893643443</t>
        </is>
      </c>
    </row>
    <row r="410">
      <c r="A410" t="inlineStr">
        <is>
          <t>No</t>
        </is>
      </c>
      <c r="B410" t="inlineStr">
        <is>
          <t>QZ 269 C9758 1996 v.2</t>
        </is>
      </c>
      <c r="C410" t="inlineStr">
        <is>
          <t>0                      QZ 0269000C  9758        1996                                        v.2</t>
        </is>
      </c>
      <c r="D410" t="inlineStr">
        <is>
          <t>Current radiation oncology, volume 2 / edited by Jeffrey S. Tobias and Patrick R.M. Thomas.</t>
        </is>
      </c>
      <c r="E410" t="inlineStr">
        <is>
          <t>V. 2</t>
        </is>
      </c>
      <c r="F410" t="inlineStr">
        <is>
          <t>No</t>
        </is>
      </c>
      <c r="G410" t="inlineStr">
        <is>
          <t>1</t>
        </is>
      </c>
      <c r="H410" t="inlineStr">
        <is>
          <t>No</t>
        </is>
      </c>
      <c r="I410" t="inlineStr">
        <is>
          <t>No</t>
        </is>
      </c>
      <c r="J410" t="inlineStr">
        <is>
          <t>0</t>
        </is>
      </c>
      <c r="L410" t="inlineStr">
        <is>
          <t>London : Edward Arnold, c1996.</t>
        </is>
      </c>
      <c r="M410" t="inlineStr">
        <is>
          <t>1996</t>
        </is>
      </c>
      <c r="O410" t="inlineStr">
        <is>
          <t>eng</t>
        </is>
      </c>
      <c r="P410" t="inlineStr">
        <is>
          <t>enk</t>
        </is>
      </c>
      <c r="R410" t="inlineStr">
        <is>
          <t xml:space="preserve">QZ </t>
        </is>
      </c>
      <c r="S410" t="n">
        <v>2</v>
      </c>
      <c r="T410" t="n">
        <v>2</v>
      </c>
      <c r="U410" t="inlineStr">
        <is>
          <t>1998-01-08</t>
        </is>
      </c>
      <c r="V410" t="inlineStr">
        <is>
          <t>1998-01-08</t>
        </is>
      </c>
      <c r="W410" t="inlineStr">
        <is>
          <t>1997-12-23</t>
        </is>
      </c>
      <c r="X410" t="inlineStr">
        <is>
          <t>1997-12-23</t>
        </is>
      </c>
      <c r="Y410" t="n">
        <v>15</v>
      </c>
      <c r="Z410" t="n">
        <v>6</v>
      </c>
      <c r="AA410" t="n">
        <v>11</v>
      </c>
      <c r="AB410" t="n">
        <v>1</v>
      </c>
      <c r="AC410" t="n">
        <v>1</v>
      </c>
      <c r="AD410" t="n">
        <v>0</v>
      </c>
      <c r="AE410" t="n">
        <v>0</v>
      </c>
      <c r="AF410" t="n">
        <v>0</v>
      </c>
      <c r="AG410" t="n">
        <v>0</v>
      </c>
      <c r="AH410" t="n">
        <v>0</v>
      </c>
      <c r="AI410" t="n">
        <v>0</v>
      </c>
      <c r="AJ410" t="n">
        <v>0</v>
      </c>
      <c r="AK410" t="n">
        <v>0</v>
      </c>
      <c r="AL410" t="n">
        <v>0</v>
      </c>
      <c r="AM410" t="n">
        <v>0</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HYPERLINK("https://creighton-primo.hosted.exlibrisgroup.com/primo-explore/search?tab=default_tab&amp;search_scope=EVERYTHING&amp;vid=01CRU&amp;lang=en_US&amp;offset=0&amp;query=any,contains,991001226219702656","Catalog Record")</f>
        <v/>
      </c>
      <c r="AT410">
        <f>HYPERLINK("http://www.worldcat.org/oclc/34113812","WorldCat Record")</f>
        <v/>
      </c>
      <c r="AU410" t="inlineStr">
        <is>
          <t>10198220054:eng</t>
        </is>
      </c>
      <c r="AV410" t="inlineStr">
        <is>
          <t>34113812</t>
        </is>
      </c>
      <c r="AW410" t="inlineStr">
        <is>
          <t>991001226219702656</t>
        </is>
      </c>
      <c r="AX410" t="inlineStr">
        <is>
          <t>991001226219702656</t>
        </is>
      </c>
      <c r="AY410" t="inlineStr">
        <is>
          <t>2272583830002656</t>
        </is>
      </c>
      <c r="AZ410" t="inlineStr">
        <is>
          <t>BOOK</t>
        </is>
      </c>
      <c r="BB410" t="inlineStr">
        <is>
          <t>9780340613870</t>
        </is>
      </c>
      <c r="BC410" t="inlineStr">
        <is>
          <t>30001003669324</t>
        </is>
      </c>
      <c r="BD410" t="inlineStr">
        <is>
          <t>893648992</t>
        </is>
      </c>
    </row>
    <row r="411">
      <c r="A411" t="inlineStr">
        <is>
          <t>No</t>
        </is>
      </c>
      <c r="B411" t="inlineStr">
        <is>
          <t>QZ 269 I585 1992</t>
        </is>
      </c>
      <c r="C411" t="inlineStr">
        <is>
          <t>0                      QZ 0269000I  585         1992</t>
        </is>
      </c>
      <c r="D411" t="inlineStr">
        <is>
          <t>Intraoperative radiotherapy : clinical experiences and results / contributors, O. Abuchaibe ... [et al.] ; edited by Felipe A. Calvo, Manuel Santos, and Luther W. Brady ; foreword by Luther W. Brady and Hans-Peter Heilmann.</t>
        </is>
      </c>
      <c r="F411" t="inlineStr">
        <is>
          <t>No</t>
        </is>
      </c>
      <c r="G411" t="inlineStr">
        <is>
          <t>1</t>
        </is>
      </c>
      <c r="H411" t="inlineStr">
        <is>
          <t>No</t>
        </is>
      </c>
      <c r="I411" t="inlineStr">
        <is>
          <t>No</t>
        </is>
      </c>
      <c r="J411" t="inlineStr">
        <is>
          <t>0</t>
        </is>
      </c>
      <c r="L411" t="inlineStr">
        <is>
          <t>Berlin ; New York : Springer-Verlag, c1992.</t>
        </is>
      </c>
      <c r="M411" t="inlineStr">
        <is>
          <t>1992</t>
        </is>
      </c>
      <c r="O411" t="inlineStr">
        <is>
          <t>eng</t>
        </is>
      </c>
      <c r="P411" t="inlineStr">
        <is>
          <t xml:space="preserve">gw </t>
        </is>
      </c>
      <c r="Q411" t="inlineStr">
        <is>
          <t>Medical radiology</t>
        </is>
      </c>
      <c r="R411" t="inlineStr">
        <is>
          <t xml:space="preserve">QZ </t>
        </is>
      </c>
      <c r="S411" t="n">
        <v>2</v>
      </c>
      <c r="T411" t="n">
        <v>2</v>
      </c>
      <c r="U411" t="inlineStr">
        <is>
          <t>1992-05-07</t>
        </is>
      </c>
      <c r="V411" t="inlineStr">
        <is>
          <t>1992-05-07</t>
        </is>
      </c>
      <c r="W411" t="inlineStr">
        <is>
          <t>1992-05-07</t>
        </is>
      </c>
      <c r="X411" t="inlineStr">
        <is>
          <t>1992-05-07</t>
        </is>
      </c>
      <c r="Y411" t="n">
        <v>59</v>
      </c>
      <c r="Z411" t="n">
        <v>32</v>
      </c>
      <c r="AA411" t="n">
        <v>59</v>
      </c>
      <c r="AB411" t="n">
        <v>1</v>
      </c>
      <c r="AC411" t="n">
        <v>1</v>
      </c>
      <c r="AD411" t="n">
        <v>0</v>
      </c>
      <c r="AE411" t="n">
        <v>0</v>
      </c>
      <c r="AF411" t="n">
        <v>0</v>
      </c>
      <c r="AG411" t="n">
        <v>0</v>
      </c>
      <c r="AH411" t="n">
        <v>0</v>
      </c>
      <c r="AI411" t="n">
        <v>0</v>
      </c>
      <c r="AJ411" t="n">
        <v>0</v>
      </c>
      <c r="AK411" t="n">
        <v>0</v>
      </c>
      <c r="AL411" t="n">
        <v>0</v>
      </c>
      <c r="AM411" t="n">
        <v>0</v>
      </c>
      <c r="AN411" t="n">
        <v>0</v>
      </c>
      <c r="AO411" t="n">
        <v>0</v>
      </c>
      <c r="AP411" t="inlineStr">
        <is>
          <t>No</t>
        </is>
      </c>
      <c r="AQ411" t="inlineStr">
        <is>
          <t>Yes</t>
        </is>
      </c>
      <c r="AR411">
        <f>HYPERLINK("http://catalog.hathitrust.org/Record/002624607","HathiTrust Record")</f>
        <v/>
      </c>
      <c r="AS411">
        <f>HYPERLINK("https://creighton-primo.hosted.exlibrisgroup.com/primo-explore/search?tab=default_tab&amp;search_scope=EVERYTHING&amp;vid=01CRU&amp;lang=en_US&amp;offset=0&amp;query=any,contains,991001304579702656","Catalog Record")</f>
        <v/>
      </c>
      <c r="AT411">
        <f>HYPERLINK("http://www.worldcat.org/oclc/24247196","WorldCat Record")</f>
        <v/>
      </c>
      <c r="AU411" t="inlineStr">
        <is>
          <t>796607964:eng</t>
        </is>
      </c>
      <c r="AV411" t="inlineStr">
        <is>
          <t>24247196</t>
        </is>
      </c>
      <c r="AW411" t="inlineStr">
        <is>
          <t>991001304579702656</t>
        </is>
      </c>
      <c r="AX411" t="inlineStr">
        <is>
          <t>991001304579702656</t>
        </is>
      </c>
      <c r="AY411" t="inlineStr">
        <is>
          <t>2262065350002656</t>
        </is>
      </c>
      <c r="AZ411" t="inlineStr">
        <is>
          <t>BOOK</t>
        </is>
      </c>
      <c r="BB411" t="inlineStr">
        <is>
          <t>9780387525440</t>
        </is>
      </c>
      <c r="BC411" t="inlineStr">
        <is>
          <t>30001002413146</t>
        </is>
      </c>
      <c r="BD411" t="inlineStr">
        <is>
          <t>893377185</t>
        </is>
      </c>
    </row>
    <row r="412">
      <c r="A412" t="inlineStr">
        <is>
          <t>No</t>
        </is>
      </c>
      <c r="B412" t="inlineStr">
        <is>
          <t>QZ 269 I6165i 1990</t>
        </is>
      </c>
      <c r="C412" t="inlineStr">
        <is>
          <t>0                      QZ 0269000I  6165i       1990</t>
        </is>
      </c>
      <c r="D412" t="inlineStr">
        <is>
          <t>Intraoperative radiation therapy / edited by Mitsuyuki Abe, Masaji Takahashi.</t>
        </is>
      </c>
      <c r="F412" t="inlineStr">
        <is>
          <t>No</t>
        </is>
      </c>
      <c r="G412" t="inlineStr">
        <is>
          <t>1</t>
        </is>
      </c>
      <c r="H412" t="inlineStr">
        <is>
          <t>No</t>
        </is>
      </c>
      <c r="I412" t="inlineStr">
        <is>
          <t>No</t>
        </is>
      </c>
      <c r="J412" t="inlineStr">
        <is>
          <t>0</t>
        </is>
      </c>
      <c r="K412" t="inlineStr">
        <is>
          <t>International Symposium on Intraoperative Radiation Therapy (3rd : 1990 : Kyoto, Japan)</t>
        </is>
      </c>
      <c r="L412" t="inlineStr">
        <is>
          <t>New York : Pergamon, c1991.</t>
        </is>
      </c>
      <c r="M412" t="inlineStr">
        <is>
          <t>1991</t>
        </is>
      </c>
      <c r="O412" t="inlineStr">
        <is>
          <t>eng</t>
        </is>
      </c>
      <c r="P412" t="inlineStr">
        <is>
          <t>enk</t>
        </is>
      </c>
      <c r="R412" t="inlineStr">
        <is>
          <t xml:space="preserve">QZ </t>
        </is>
      </c>
      <c r="S412" t="n">
        <v>2</v>
      </c>
      <c r="T412" t="n">
        <v>2</v>
      </c>
      <c r="U412" t="inlineStr">
        <is>
          <t>1995-01-23</t>
        </is>
      </c>
      <c r="V412" t="inlineStr">
        <is>
          <t>1995-01-23</t>
        </is>
      </c>
      <c r="W412" t="inlineStr">
        <is>
          <t>1992-08-31</t>
        </is>
      </c>
      <c r="X412" t="inlineStr">
        <is>
          <t>1992-08-31</t>
        </is>
      </c>
      <c r="Y412" t="n">
        <v>7</v>
      </c>
      <c r="Z412" t="n">
        <v>4</v>
      </c>
      <c r="AA412" t="n">
        <v>76</v>
      </c>
      <c r="AB412" t="n">
        <v>1</v>
      </c>
      <c r="AC412" t="n">
        <v>1</v>
      </c>
      <c r="AD412" t="n">
        <v>0</v>
      </c>
      <c r="AE412" t="n">
        <v>0</v>
      </c>
      <c r="AF412" t="n">
        <v>0</v>
      </c>
      <c r="AG412" t="n">
        <v>0</v>
      </c>
      <c r="AH412" t="n">
        <v>0</v>
      </c>
      <c r="AI412" t="n">
        <v>0</v>
      </c>
      <c r="AJ412" t="n">
        <v>0</v>
      </c>
      <c r="AK412" t="n">
        <v>0</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HYPERLINK("https://creighton-primo.hosted.exlibrisgroup.com/primo-explore/search?tab=default_tab&amp;search_scope=EVERYTHING&amp;vid=01CRU&amp;lang=en_US&amp;offset=0&amp;query=any,contains,991001342569702656","Catalog Record")</f>
        <v/>
      </c>
      <c r="AT412">
        <f>HYPERLINK("http://www.worldcat.org/oclc/24698055","WorldCat Record")</f>
        <v/>
      </c>
      <c r="AU412" t="inlineStr">
        <is>
          <t>25040479:eng</t>
        </is>
      </c>
      <c r="AV412" t="inlineStr">
        <is>
          <t>24698055</t>
        </is>
      </c>
      <c r="AW412" t="inlineStr">
        <is>
          <t>991001342569702656</t>
        </is>
      </c>
      <c r="AX412" t="inlineStr">
        <is>
          <t>991001342569702656</t>
        </is>
      </c>
      <c r="AY412" t="inlineStr">
        <is>
          <t>2268046520002656</t>
        </is>
      </c>
      <c r="AZ412" t="inlineStr">
        <is>
          <t>BOOK</t>
        </is>
      </c>
      <c r="BB412" t="inlineStr">
        <is>
          <t>9780080407029</t>
        </is>
      </c>
      <c r="BC412" t="inlineStr">
        <is>
          <t>30001002456293</t>
        </is>
      </c>
      <c r="BD412" t="inlineStr">
        <is>
          <t>893546589</t>
        </is>
      </c>
    </row>
    <row r="413">
      <c r="A413" t="inlineStr">
        <is>
          <t>No</t>
        </is>
      </c>
      <c r="B413" t="inlineStr">
        <is>
          <t>QZ 269 I63 1999</t>
        </is>
      </c>
      <c r="C413" t="inlineStr">
        <is>
          <t>0                      QZ 0269000I  63          1999</t>
        </is>
      </c>
      <c r="D413" t="inlineStr">
        <is>
          <t>Intraoperative irradiation : techniques and results / edited by L. Gunderson ... [et al.].</t>
        </is>
      </c>
      <c r="F413" t="inlineStr">
        <is>
          <t>No</t>
        </is>
      </c>
      <c r="G413" t="inlineStr">
        <is>
          <t>1</t>
        </is>
      </c>
      <c r="H413" t="inlineStr">
        <is>
          <t>No</t>
        </is>
      </c>
      <c r="I413" t="inlineStr">
        <is>
          <t>No</t>
        </is>
      </c>
      <c r="J413" t="inlineStr">
        <is>
          <t>1</t>
        </is>
      </c>
      <c r="L413" t="inlineStr">
        <is>
          <t>Totowa, N.J. : Humana Press, c1999.</t>
        </is>
      </c>
      <c r="M413" t="inlineStr">
        <is>
          <t>1999</t>
        </is>
      </c>
      <c r="O413" t="inlineStr">
        <is>
          <t>eng</t>
        </is>
      </c>
      <c r="P413" t="inlineStr">
        <is>
          <t>nju</t>
        </is>
      </c>
      <c r="Q413" t="inlineStr">
        <is>
          <t>Current clinical oncology ; 1</t>
        </is>
      </c>
      <c r="R413" t="inlineStr">
        <is>
          <t xml:space="preserve">QZ </t>
        </is>
      </c>
      <c r="S413" t="n">
        <v>4</v>
      </c>
      <c r="T413" t="n">
        <v>4</v>
      </c>
      <c r="U413" t="inlineStr">
        <is>
          <t>2006-04-26</t>
        </is>
      </c>
      <c r="V413" t="inlineStr">
        <is>
          <t>2006-04-26</t>
        </is>
      </c>
      <c r="W413" t="inlineStr">
        <is>
          <t>1999-09-02</t>
        </is>
      </c>
      <c r="X413" t="inlineStr">
        <is>
          <t>1999-09-02</t>
        </is>
      </c>
      <c r="Y413" t="n">
        <v>53</v>
      </c>
      <c r="Z413" t="n">
        <v>39</v>
      </c>
      <c r="AA413" t="n">
        <v>268</v>
      </c>
      <c r="AB413" t="n">
        <v>1</v>
      </c>
      <c r="AC413" t="n">
        <v>2</v>
      </c>
      <c r="AD413" t="n">
        <v>0</v>
      </c>
      <c r="AE413" t="n">
        <v>6</v>
      </c>
      <c r="AF413" t="n">
        <v>0</v>
      </c>
      <c r="AG413" t="n">
        <v>3</v>
      </c>
      <c r="AH413" t="n">
        <v>0</v>
      </c>
      <c r="AI413" t="n">
        <v>2</v>
      </c>
      <c r="AJ413" t="n">
        <v>0</v>
      </c>
      <c r="AK413" t="n">
        <v>3</v>
      </c>
      <c r="AL413" t="n">
        <v>0</v>
      </c>
      <c r="AM413" t="n">
        <v>0</v>
      </c>
      <c r="AN413" t="n">
        <v>0</v>
      </c>
      <c r="AO413" t="n">
        <v>0</v>
      </c>
      <c r="AP413" t="inlineStr">
        <is>
          <t>No</t>
        </is>
      </c>
      <c r="AQ413" t="inlineStr">
        <is>
          <t>Yes</t>
        </is>
      </c>
      <c r="AR413">
        <f>HYPERLINK("http://catalog.hathitrust.org/Record/004027490","HathiTrust Record")</f>
        <v/>
      </c>
      <c r="AS413">
        <f>HYPERLINK("https://creighton-primo.hosted.exlibrisgroup.com/primo-explore/search?tab=default_tab&amp;search_scope=EVERYTHING&amp;vid=01CRU&amp;lang=en_US&amp;offset=0&amp;query=any,contains,991000797279702656","Catalog Record")</f>
        <v/>
      </c>
      <c r="AT413">
        <f>HYPERLINK("http://www.worldcat.org/oclc/40354774","WorldCat Record")</f>
        <v/>
      </c>
      <c r="AU413" t="inlineStr">
        <is>
          <t>23512125:eng</t>
        </is>
      </c>
      <c r="AV413" t="inlineStr">
        <is>
          <t>40354774</t>
        </is>
      </c>
      <c r="AW413" t="inlineStr">
        <is>
          <t>991000797279702656</t>
        </is>
      </c>
      <c r="AX413" t="inlineStr">
        <is>
          <t>991000797279702656</t>
        </is>
      </c>
      <c r="AY413" t="inlineStr">
        <is>
          <t>2267358090002656</t>
        </is>
      </c>
      <c r="AZ413" t="inlineStr">
        <is>
          <t>BOOK</t>
        </is>
      </c>
      <c r="BB413" t="inlineStr">
        <is>
          <t>9780896035232</t>
        </is>
      </c>
      <c r="BC413" t="inlineStr">
        <is>
          <t>30001004080042</t>
        </is>
      </c>
      <c r="BD413" t="inlineStr">
        <is>
          <t>893283812</t>
        </is>
      </c>
    </row>
    <row r="414">
      <c r="A414" t="inlineStr">
        <is>
          <t>No</t>
        </is>
      </c>
      <c r="B414" t="inlineStr">
        <is>
          <t>QZ 269 L6658 1999</t>
        </is>
      </c>
      <c r="C414" t="inlineStr">
        <is>
          <t>0                      QZ 0269000L  6658        1999</t>
        </is>
      </c>
      <c r="D414" t="inlineStr">
        <is>
          <t>Levitt and Tapley's technological basis of radiation therapy : clinical applications / [edited by] Seymour H. Levitt ... [et al.].</t>
        </is>
      </c>
      <c r="F414" t="inlineStr">
        <is>
          <t>No</t>
        </is>
      </c>
      <c r="G414" t="inlineStr">
        <is>
          <t>1</t>
        </is>
      </c>
      <c r="H414" t="inlineStr">
        <is>
          <t>No</t>
        </is>
      </c>
      <c r="I414" t="inlineStr">
        <is>
          <t>No</t>
        </is>
      </c>
      <c r="J414" t="inlineStr">
        <is>
          <t>0</t>
        </is>
      </c>
      <c r="L414" t="inlineStr">
        <is>
          <t>Philadelphia : Williams &amp; Wilkins, c1999.</t>
        </is>
      </c>
      <c r="M414" t="inlineStr">
        <is>
          <t>1999</t>
        </is>
      </c>
      <c r="N414" t="inlineStr">
        <is>
          <t>3rd ed.</t>
        </is>
      </c>
      <c r="O414" t="inlineStr">
        <is>
          <t>eng</t>
        </is>
      </c>
      <c r="P414" t="inlineStr">
        <is>
          <t>pau</t>
        </is>
      </c>
      <c r="R414" t="inlineStr">
        <is>
          <t xml:space="preserve">QZ </t>
        </is>
      </c>
      <c r="S414" t="n">
        <v>4</v>
      </c>
      <c r="T414" t="n">
        <v>4</v>
      </c>
      <c r="U414" t="inlineStr">
        <is>
          <t>2001-05-03</t>
        </is>
      </c>
      <c r="V414" t="inlineStr">
        <is>
          <t>2001-05-03</t>
        </is>
      </c>
      <c r="W414" t="inlineStr">
        <is>
          <t>2000-03-03</t>
        </is>
      </c>
      <c r="X414" t="inlineStr">
        <is>
          <t>2000-03-03</t>
        </is>
      </c>
      <c r="Y414" t="n">
        <v>102</v>
      </c>
      <c r="Z414" t="n">
        <v>77</v>
      </c>
      <c r="AA414" t="n">
        <v>138</v>
      </c>
      <c r="AB414" t="n">
        <v>1</v>
      </c>
      <c r="AC414" t="n">
        <v>1</v>
      </c>
      <c r="AD414" t="n">
        <v>1</v>
      </c>
      <c r="AE414" t="n">
        <v>1</v>
      </c>
      <c r="AF414" t="n">
        <v>0</v>
      </c>
      <c r="AG414" t="n">
        <v>0</v>
      </c>
      <c r="AH414" t="n">
        <v>0</v>
      </c>
      <c r="AI414" t="n">
        <v>0</v>
      </c>
      <c r="AJ414" t="n">
        <v>1</v>
      </c>
      <c r="AK414" t="n">
        <v>1</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HYPERLINK("https://creighton-primo.hosted.exlibrisgroup.com/primo-explore/search?tab=default_tab&amp;search_scope=EVERYTHING&amp;vid=01CRU&amp;lang=en_US&amp;offset=0&amp;query=any,contains,991001441439702656","Catalog Record")</f>
        <v/>
      </c>
      <c r="AT414">
        <f>HYPERLINK("http://www.worldcat.org/oclc/38856011","WorldCat Record")</f>
        <v/>
      </c>
      <c r="AU414" t="inlineStr">
        <is>
          <t>3856765785:eng</t>
        </is>
      </c>
      <c r="AV414" t="inlineStr">
        <is>
          <t>38856011</t>
        </is>
      </c>
      <c r="AW414" t="inlineStr">
        <is>
          <t>991001441439702656</t>
        </is>
      </c>
      <c r="AX414" t="inlineStr">
        <is>
          <t>991001441439702656</t>
        </is>
      </c>
      <c r="AY414" t="inlineStr">
        <is>
          <t>2254785520002656</t>
        </is>
      </c>
      <c r="AZ414" t="inlineStr">
        <is>
          <t>BOOK</t>
        </is>
      </c>
      <c r="BB414" t="inlineStr">
        <is>
          <t>9780683301236</t>
        </is>
      </c>
      <c r="BC414" t="inlineStr">
        <is>
          <t>30001003882406</t>
        </is>
      </c>
      <c r="BD414" t="inlineStr">
        <is>
          <t>893274180</t>
        </is>
      </c>
    </row>
    <row r="415">
      <c r="A415" t="inlineStr">
        <is>
          <t>No</t>
        </is>
      </c>
      <c r="B415" t="inlineStr">
        <is>
          <t>QZ 269 P957 1997</t>
        </is>
      </c>
      <c r="C415" t="inlineStr">
        <is>
          <t>0                      QZ 0269000P  957         1997</t>
        </is>
      </c>
      <c r="D415" t="inlineStr">
        <is>
          <t>Principles and practice of radiation oncology / [edited by] Carlos A. Perez, Luther W. Brady ; with 103 additional contributors ; assistants to the editors, Connie Povilat, Alice Becker.</t>
        </is>
      </c>
      <c r="F415" t="inlineStr">
        <is>
          <t>No</t>
        </is>
      </c>
      <c r="G415" t="inlineStr">
        <is>
          <t>1</t>
        </is>
      </c>
      <c r="H415" t="inlineStr">
        <is>
          <t>No</t>
        </is>
      </c>
      <c r="I415" t="inlineStr">
        <is>
          <t>Yes</t>
        </is>
      </c>
      <c r="J415" t="inlineStr">
        <is>
          <t>0</t>
        </is>
      </c>
      <c r="L415" t="inlineStr">
        <is>
          <t>Philadelphia : Lippincott-Raven, c1998.</t>
        </is>
      </c>
      <c r="M415" t="inlineStr">
        <is>
          <t>1998</t>
        </is>
      </c>
      <c r="N415" t="inlineStr">
        <is>
          <t>3rd ed.</t>
        </is>
      </c>
      <c r="O415" t="inlineStr">
        <is>
          <t>eng</t>
        </is>
      </c>
      <c r="P415" t="inlineStr">
        <is>
          <t>pau</t>
        </is>
      </c>
      <c r="R415" t="inlineStr">
        <is>
          <t xml:space="preserve">QZ </t>
        </is>
      </c>
      <c r="S415" t="n">
        <v>19</v>
      </c>
      <c r="T415" t="n">
        <v>19</v>
      </c>
      <c r="U415" t="inlineStr">
        <is>
          <t>2001-05-03</t>
        </is>
      </c>
      <c r="V415" t="inlineStr">
        <is>
          <t>2001-05-03</t>
        </is>
      </c>
      <c r="W415" t="inlineStr">
        <is>
          <t>1997-11-19</t>
        </is>
      </c>
      <c r="X415" t="inlineStr">
        <is>
          <t>1997-11-19</t>
        </is>
      </c>
      <c r="Y415" t="n">
        <v>167</v>
      </c>
      <c r="Z415" t="n">
        <v>114</v>
      </c>
      <c r="AA415" t="n">
        <v>677</v>
      </c>
      <c r="AB415" t="n">
        <v>1</v>
      </c>
      <c r="AC415" t="n">
        <v>6</v>
      </c>
      <c r="AD415" t="n">
        <v>1</v>
      </c>
      <c r="AE415" t="n">
        <v>21</v>
      </c>
      <c r="AF415" t="n">
        <v>0</v>
      </c>
      <c r="AG415" t="n">
        <v>6</v>
      </c>
      <c r="AH415" t="n">
        <v>1</v>
      </c>
      <c r="AI415" t="n">
        <v>6</v>
      </c>
      <c r="AJ415" t="n">
        <v>0</v>
      </c>
      <c r="AK415" t="n">
        <v>6</v>
      </c>
      <c r="AL415" t="n">
        <v>0</v>
      </c>
      <c r="AM415" t="n">
        <v>4</v>
      </c>
      <c r="AN415" t="n">
        <v>0</v>
      </c>
      <c r="AO415" t="n">
        <v>1</v>
      </c>
      <c r="AP415" t="inlineStr">
        <is>
          <t>No</t>
        </is>
      </c>
      <c r="AQ415" t="inlineStr">
        <is>
          <t>No</t>
        </is>
      </c>
      <c r="AS415">
        <f>HYPERLINK("https://creighton-primo.hosted.exlibrisgroup.com/primo-explore/search?tab=default_tab&amp;search_scope=EVERYTHING&amp;vid=01CRU&amp;lang=en_US&amp;offset=0&amp;query=any,contains,991001211199702656","Catalog Record")</f>
        <v/>
      </c>
      <c r="AT415">
        <f>HYPERLINK("http://www.worldcat.org/oclc/36512438","WorldCat Record")</f>
        <v/>
      </c>
      <c r="AU415" t="inlineStr">
        <is>
          <t>364510665:eng</t>
        </is>
      </c>
      <c r="AV415" t="inlineStr">
        <is>
          <t>36512438</t>
        </is>
      </c>
      <c r="AW415" t="inlineStr">
        <is>
          <t>991001211199702656</t>
        </is>
      </c>
      <c r="AX415" t="inlineStr">
        <is>
          <t>991001211199702656</t>
        </is>
      </c>
      <c r="AY415" t="inlineStr">
        <is>
          <t>2267591360002656</t>
        </is>
      </c>
      <c r="AZ415" t="inlineStr">
        <is>
          <t>BOOK</t>
        </is>
      </c>
      <c r="BB415" t="inlineStr">
        <is>
          <t>9780397584161</t>
        </is>
      </c>
      <c r="BC415" t="inlineStr">
        <is>
          <t>30001003661925</t>
        </is>
      </c>
      <c r="BD415" t="inlineStr">
        <is>
          <t>893643330</t>
        </is>
      </c>
    </row>
    <row r="416">
      <c r="A416" t="inlineStr">
        <is>
          <t>No</t>
        </is>
      </c>
      <c r="B416" t="inlineStr">
        <is>
          <t>QZ 269 P957 2004</t>
        </is>
      </c>
      <c r="C416" t="inlineStr">
        <is>
          <t>0                      QZ 0269000P  957         2004</t>
        </is>
      </c>
      <c r="D416" t="inlineStr">
        <is>
          <t>Principles and practice of radiation oncology / editors, Carlos A. Perez ... [et al.].</t>
        </is>
      </c>
      <c r="F416" t="inlineStr">
        <is>
          <t>No</t>
        </is>
      </c>
      <c r="G416" t="inlineStr">
        <is>
          <t>1</t>
        </is>
      </c>
      <c r="H416" t="inlineStr">
        <is>
          <t>No</t>
        </is>
      </c>
      <c r="I416" t="inlineStr">
        <is>
          <t>Yes</t>
        </is>
      </c>
      <c r="J416" t="inlineStr">
        <is>
          <t>0</t>
        </is>
      </c>
      <c r="L416" t="inlineStr">
        <is>
          <t>Philadelphia : Lippincott Williams &amp; Wilkins, c2004.</t>
        </is>
      </c>
      <c r="M416" t="inlineStr">
        <is>
          <t>2004</t>
        </is>
      </c>
      <c r="N416" t="inlineStr">
        <is>
          <t>4th ed.</t>
        </is>
      </c>
      <c r="O416" t="inlineStr">
        <is>
          <t>eng</t>
        </is>
      </c>
      <c r="P416" t="inlineStr">
        <is>
          <t>pau</t>
        </is>
      </c>
      <c r="R416" t="inlineStr">
        <is>
          <t xml:space="preserve">QZ </t>
        </is>
      </c>
      <c r="S416" t="n">
        <v>3</v>
      </c>
      <c r="T416" t="n">
        <v>3</v>
      </c>
      <c r="U416" t="inlineStr">
        <is>
          <t>2004-09-09</t>
        </is>
      </c>
      <c r="V416" t="inlineStr">
        <is>
          <t>2004-09-09</t>
        </is>
      </c>
      <c r="W416" t="inlineStr">
        <is>
          <t>2004-09-08</t>
        </is>
      </c>
      <c r="X416" t="inlineStr">
        <is>
          <t>2004-09-08</t>
        </is>
      </c>
      <c r="Y416" t="n">
        <v>223</v>
      </c>
      <c r="Z416" t="n">
        <v>154</v>
      </c>
      <c r="AA416" t="n">
        <v>677</v>
      </c>
      <c r="AB416" t="n">
        <v>1</v>
      </c>
      <c r="AC416" t="n">
        <v>6</v>
      </c>
      <c r="AD416" t="n">
        <v>1</v>
      </c>
      <c r="AE416" t="n">
        <v>21</v>
      </c>
      <c r="AF416" t="n">
        <v>0</v>
      </c>
      <c r="AG416" t="n">
        <v>6</v>
      </c>
      <c r="AH416" t="n">
        <v>0</v>
      </c>
      <c r="AI416" t="n">
        <v>6</v>
      </c>
      <c r="AJ416" t="n">
        <v>1</v>
      </c>
      <c r="AK416" t="n">
        <v>6</v>
      </c>
      <c r="AL416" t="n">
        <v>0</v>
      </c>
      <c r="AM416" t="n">
        <v>4</v>
      </c>
      <c r="AN416" t="n">
        <v>0</v>
      </c>
      <c r="AO416" t="n">
        <v>1</v>
      </c>
      <c r="AP416" t="inlineStr">
        <is>
          <t>No</t>
        </is>
      </c>
      <c r="AQ416" t="inlineStr">
        <is>
          <t>No</t>
        </is>
      </c>
      <c r="AS416">
        <f>HYPERLINK("https://creighton-primo.hosted.exlibrisgroup.com/primo-explore/search?tab=default_tab&amp;search_scope=EVERYTHING&amp;vid=01CRU&amp;lang=en_US&amp;offset=0&amp;query=any,contains,991000384159702656","Catalog Record")</f>
        <v/>
      </c>
      <c r="AT416">
        <f>HYPERLINK("http://www.worldcat.org/oclc/52472066","WorldCat Record")</f>
        <v/>
      </c>
      <c r="AU416" t="inlineStr">
        <is>
          <t>364510665:eng</t>
        </is>
      </c>
      <c r="AV416" t="inlineStr">
        <is>
          <t>52472066</t>
        </is>
      </c>
      <c r="AW416" t="inlineStr">
        <is>
          <t>991000384159702656</t>
        </is>
      </c>
      <c r="AX416" t="inlineStr">
        <is>
          <t>991000384159702656</t>
        </is>
      </c>
      <c r="AY416" t="inlineStr">
        <is>
          <t>2259169800002656</t>
        </is>
      </c>
      <c r="AZ416" t="inlineStr">
        <is>
          <t>BOOK</t>
        </is>
      </c>
      <c r="BB416" t="inlineStr">
        <is>
          <t>9780781735254</t>
        </is>
      </c>
      <c r="BC416" t="inlineStr">
        <is>
          <t>30001004840783</t>
        </is>
      </c>
      <c r="BD416" t="inlineStr">
        <is>
          <t>893732828</t>
        </is>
      </c>
    </row>
    <row r="417">
      <c r="A417" t="inlineStr">
        <is>
          <t>No</t>
        </is>
      </c>
      <c r="B417" t="inlineStr">
        <is>
          <t>QZ269 R12803 2003</t>
        </is>
      </c>
      <c r="C417" t="inlineStr">
        <is>
          <t>0                      QZ 0269000R  12803       2003</t>
        </is>
      </c>
      <c r="D417" t="inlineStr">
        <is>
          <t>Radiation oncology : rationale, technique, results.</t>
        </is>
      </c>
      <c r="F417" t="inlineStr">
        <is>
          <t>No</t>
        </is>
      </c>
      <c r="G417" t="inlineStr">
        <is>
          <t>1</t>
        </is>
      </c>
      <c r="H417" t="inlineStr">
        <is>
          <t>No</t>
        </is>
      </c>
      <c r="I417" t="inlineStr">
        <is>
          <t>No</t>
        </is>
      </c>
      <c r="J417" t="inlineStr">
        <is>
          <t>0</t>
        </is>
      </c>
      <c r="L417" t="inlineStr">
        <is>
          <t>St. Louis : Mosby, c2003.</t>
        </is>
      </c>
      <c r="M417" t="inlineStr">
        <is>
          <t>2003</t>
        </is>
      </c>
      <c r="N417" t="inlineStr">
        <is>
          <t>8th ed. / [edited by] James D. Cox, K. Kian Ang.</t>
        </is>
      </c>
      <c r="O417" t="inlineStr">
        <is>
          <t>eng</t>
        </is>
      </c>
      <c r="P417" t="inlineStr">
        <is>
          <t>mou</t>
        </is>
      </c>
      <c r="R417" t="inlineStr">
        <is>
          <t xml:space="preserve">QZ </t>
        </is>
      </c>
      <c r="S417" t="n">
        <v>9</v>
      </c>
      <c r="T417" t="n">
        <v>9</v>
      </c>
      <c r="U417" t="inlineStr">
        <is>
          <t>2007-08-02</t>
        </is>
      </c>
      <c r="V417" t="inlineStr">
        <is>
          <t>2007-08-02</t>
        </is>
      </c>
      <c r="W417" t="inlineStr">
        <is>
          <t>2003-03-10</t>
        </is>
      </c>
      <c r="X417" t="inlineStr">
        <is>
          <t>2003-03-10</t>
        </is>
      </c>
      <c r="Y417" t="n">
        <v>166</v>
      </c>
      <c r="Z417" t="n">
        <v>125</v>
      </c>
      <c r="AA417" t="n">
        <v>422</v>
      </c>
      <c r="AB417" t="n">
        <v>1</v>
      </c>
      <c r="AC417" t="n">
        <v>2</v>
      </c>
      <c r="AD417" t="n">
        <v>3</v>
      </c>
      <c r="AE417" t="n">
        <v>10</v>
      </c>
      <c r="AF417" t="n">
        <v>1</v>
      </c>
      <c r="AG417" t="n">
        <v>4</v>
      </c>
      <c r="AH417" t="n">
        <v>1</v>
      </c>
      <c r="AI417" t="n">
        <v>3</v>
      </c>
      <c r="AJ417" t="n">
        <v>1</v>
      </c>
      <c r="AK417" t="n">
        <v>4</v>
      </c>
      <c r="AL417" t="n">
        <v>0</v>
      </c>
      <c r="AM417" t="n">
        <v>1</v>
      </c>
      <c r="AN417" t="n">
        <v>0</v>
      </c>
      <c r="AO417" t="n">
        <v>0</v>
      </c>
      <c r="AP417" t="inlineStr">
        <is>
          <t>No</t>
        </is>
      </c>
      <c r="AQ417" t="inlineStr">
        <is>
          <t>Yes</t>
        </is>
      </c>
      <c r="AR417">
        <f>HYPERLINK("http://catalog.hathitrust.org/Record/004306388","HathiTrust Record")</f>
        <v/>
      </c>
      <c r="AS417">
        <f>HYPERLINK("https://creighton-primo.hosted.exlibrisgroup.com/primo-explore/search?tab=default_tab&amp;search_scope=EVERYTHING&amp;vid=01CRU&amp;lang=en_US&amp;offset=0&amp;query=any,contains,991000341009702656","Catalog Record")</f>
        <v/>
      </c>
      <c r="AT417">
        <f>HYPERLINK("http://www.worldcat.org/oclc/50598580","WorldCat Record")</f>
        <v/>
      </c>
      <c r="AU417" t="inlineStr">
        <is>
          <t>1909459562:eng</t>
        </is>
      </c>
      <c r="AV417" t="inlineStr">
        <is>
          <t>50598580</t>
        </is>
      </c>
      <c r="AW417" t="inlineStr">
        <is>
          <t>991000341009702656</t>
        </is>
      </c>
      <c r="AX417" t="inlineStr">
        <is>
          <t>991000341009702656</t>
        </is>
      </c>
      <c r="AY417" t="inlineStr">
        <is>
          <t>2266109620002656</t>
        </is>
      </c>
      <c r="AZ417" t="inlineStr">
        <is>
          <t>BOOK</t>
        </is>
      </c>
      <c r="BB417" t="inlineStr">
        <is>
          <t>9780323012584</t>
        </is>
      </c>
      <c r="BC417" t="inlineStr">
        <is>
          <t>30001004501146</t>
        </is>
      </c>
      <c r="BD417" t="inlineStr">
        <is>
          <t>893629135</t>
        </is>
      </c>
    </row>
    <row r="418">
      <c r="A418" t="inlineStr">
        <is>
          <t>No</t>
        </is>
      </c>
      <c r="B418" t="inlineStr">
        <is>
          <t>QZ 269 R129 1994</t>
        </is>
      </c>
      <c r="C418" t="inlineStr">
        <is>
          <t>0                      QZ 0269000R  129         1994</t>
        </is>
      </c>
      <c r="D418" t="inlineStr">
        <is>
          <t>Radiation oncology : technology and biology / [editors] Peter M. Mauch, Jay S. Loeffler.</t>
        </is>
      </c>
      <c r="F418" t="inlineStr">
        <is>
          <t>No</t>
        </is>
      </c>
      <c r="G418" t="inlineStr">
        <is>
          <t>1</t>
        </is>
      </c>
      <c r="H418" t="inlineStr">
        <is>
          <t>No</t>
        </is>
      </c>
      <c r="I418" t="inlineStr">
        <is>
          <t>No</t>
        </is>
      </c>
      <c r="J418" t="inlineStr">
        <is>
          <t>0</t>
        </is>
      </c>
      <c r="L418" t="inlineStr">
        <is>
          <t>Philadelphia : W.B. Saunders, c1994.</t>
        </is>
      </c>
      <c r="M418" t="inlineStr">
        <is>
          <t>1994</t>
        </is>
      </c>
      <c r="O418" t="inlineStr">
        <is>
          <t>eng</t>
        </is>
      </c>
      <c r="P418" t="inlineStr">
        <is>
          <t>pau</t>
        </is>
      </c>
      <c r="R418" t="inlineStr">
        <is>
          <t xml:space="preserve">QZ </t>
        </is>
      </c>
      <c r="S418" t="n">
        <v>5</v>
      </c>
      <c r="T418" t="n">
        <v>5</v>
      </c>
      <c r="U418" t="inlineStr">
        <is>
          <t>1999-06-10</t>
        </is>
      </c>
      <c r="V418" t="inlineStr">
        <is>
          <t>1999-06-10</t>
        </is>
      </c>
      <c r="W418" t="inlineStr">
        <is>
          <t>1995-01-23</t>
        </is>
      </c>
      <c r="X418" t="inlineStr">
        <is>
          <t>1995-01-23</t>
        </is>
      </c>
      <c r="Y418" t="n">
        <v>134</v>
      </c>
      <c r="Z418" t="n">
        <v>96</v>
      </c>
      <c r="AA418" t="n">
        <v>103</v>
      </c>
      <c r="AB418" t="n">
        <v>1</v>
      </c>
      <c r="AC418" t="n">
        <v>1</v>
      </c>
      <c r="AD418" t="n">
        <v>1</v>
      </c>
      <c r="AE418" t="n">
        <v>1</v>
      </c>
      <c r="AF418" t="n">
        <v>0</v>
      </c>
      <c r="AG418" t="n">
        <v>0</v>
      </c>
      <c r="AH418" t="n">
        <v>1</v>
      </c>
      <c r="AI418" t="n">
        <v>1</v>
      </c>
      <c r="AJ418" t="n">
        <v>1</v>
      </c>
      <c r="AK418" t="n">
        <v>1</v>
      </c>
      <c r="AL418" t="n">
        <v>0</v>
      </c>
      <c r="AM418" t="n">
        <v>0</v>
      </c>
      <c r="AN418" t="n">
        <v>0</v>
      </c>
      <c r="AO418" t="n">
        <v>0</v>
      </c>
      <c r="AP418" t="inlineStr">
        <is>
          <t>No</t>
        </is>
      </c>
      <c r="AQ418" t="inlineStr">
        <is>
          <t>Yes</t>
        </is>
      </c>
      <c r="AR418">
        <f>HYPERLINK("http://catalog.hathitrust.org/Record/002886328","HathiTrust Record")</f>
        <v/>
      </c>
      <c r="AS418">
        <f>HYPERLINK("https://creighton-primo.hosted.exlibrisgroup.com/primo-explore/search?tab=default_tab&amp;search_scope=EVERYTHING&amp;vid=01CRU&amp;lang=en_US&amp;offset=0&amp;query=any,contains,991001393929702656","Catalog Record")</f>
        <v/>
      </c>
      <c r="AT418">
        <f>HYPERLINK("http://www.worldcat.org/oclc/28799841","WorldCat Record")</f>
        <v/>
      </c>
      <c r="AU418" t="inlineStr">
        <is>
          <t>836898934:eng</t>
        </is>
      </c>
      <c r="AV418" t="inlineStr">
        <is>
          <t>28799841</t>
        </is>
      </c>
      <c r="AW418" t="inlineStr">
        <is>
          <t>991001393929702656</t>
        </is>
      </c>
      <c r="AX418" t="inlineStr">
        <is>
          <t>991001393929702656</t>
        </is>
      </c>
      <c r="AY418" t="inlineStr">
        <is>
          <t>2266436190002656</t>
        </is>
      </c>
      <c r="AZ418" t="inlineStr">
        <is>
          <t>BOOK</t>
        </is>
      </c>
      <c r="BB418" t="inlineStr">
        <is>
          <t>9780721667249</t>
        </is>
      </c>
      <c r="BC418" t="inlineStr">
        <is>
          <t>30001003145481</t>
        </is>
      </c>
      <c r="BD418" t="inlineStr">
        <is>
          <t>893134518</t>
        </is>
      </c>
    </row>
    <row r="419">
      <c r="A419" t="inlineStr">
        <is>
          <t>No</t>
        </is>
      </c>
      <c r="B419" t="inlineStr">
        <is>
          <t>QZ 269 T355 1998</t>
        </is>
      </c>
      <c r="C419" t="inlineStr">
        <is>
          <t>0                      QZ 0269000T  355         1998</t>
        </is>
      </c>
      <c r="D419" t="inlineStr">
        <is>
          <t>Textbook of radiation oncology / [edited by] Steven A. Leibel, Theodore L. Phillips.</t>
        </is>
      </c>
      <c r="F419" t="inlineStr">
        <is>
          <t>No</t>
        </is>
      </c>
      <c r="G419" t="inlineStr">
        <is>
          <t>1</t>
        </is>
      </c>
      <c r="H419" t="inlineStr">
        <is>
          <t>No</t>
        </is>
      </c>
      <c r="I419" t="inlineStr">
        <is>
          <t>Yes</t>
        </is>
      </c>
      <c r="J419" t="inlineStr">
        <is>
          <t>0</t>
        </is>
      </c>
      <c r="L419" t="inlineStr">
        <is>
          <t>Philadelphia : Saunders, c1998.</t>
        </is>
      </c>
      <c r="M419" t="inlineStr">
        <is>
          <t>1998</t>
        </is>
      </c>
      <c r="N419" t="inlineStr">
        <is>
          <t>1st ed.</t>
        </is>
      </c>
      <c r="O419" t="inlineStr">
        <is>
          <t>eng</t>
        </is>
      </c>
      <c r="P419" t="inlineStr">
        <is>
          <t>pau</t>
        </is>
      </c>
      <c r="R419" t="inlineStr">
        <is>
          <t xml:space="preserve">QZ </t>
        </is>
      </c>
      <c r="S419" t="n">
        <v>8</v>
      </c>
      <c r="T419" t="n">
        <v>8</v>
      </c>
      <c r="U419" t="inlineStr">
        <is>
          <t>1999-03-04</t>
        </is>
      </c>
      <c r="V419" t="inlineStr">
        <is>
          <t>1999-03-04</t>
        </is>
      </c>
      <c r="W419" t="inlineStr">
        <is>
          <t>1998-08-14</t>
        </is>
      </c>
      <c r="X419" t="inlineStr">
        <is>
          <t>1998-08-14</t>
        </is>
      </c>
      <c r="Y419" t="n">
        <v>133</v>
      </c>
      <c r="Z419" t="n">
        <v>92</v>
      </c>
      <c r="AA419" t="n">
        <v>136</v>
      </c>
      <c r="AB419" t="n">
        <v>2</v>
      </c>
      <c r="AC419" t="n">
        <v>2</v>
      </c>
      <c r="AD419" t="n">
        <v>2</v>
      </c>
      <c r="AE419" t="n">
        <v>3</v>
      </c>
      <c r="AF419" t="n">
        <v>0</v>
      </c>
      <c r="AG419" t="n">
        <v>1</v>
      </c>
      <c r="AH419" t="n">
        <v>1</v>
      </c>
      <c r="AI419" t="n">
        <v>1</v>
      </c>
      <c r="AJ419" t="n">
        <v>0</v>
      </c>
      <c r="AK419" t="n">
        <v>0</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HYPERLINK("https://creighton-primo.hosted.exlibrisgroup.com/primo-explore/search?tab=default_tab&amp;search_scope=EVERYTHING&amp;vid=01CRU&amp;lang=en_US&amp;offset=0&amp;query=any,contains,991001570269702656","Catalog Record")</f>
        <v/>
      </c>
      <c r="AT419">
        <f>HYPERLINK("http://www.worldcat.org/oclc/34115250","WorldCat Record")</f>
        <v/>
      </c>
      <c r="AU419" t="inlineStr">
        <is>
          <t>341649223:eng</t>
        </is>
      </c>
      <c r="AV419" t="inlineStr">
        <is>
          <t>34115250</t>
        </is>
      </c>
      <c r="AW419" t="inlineStr">
        <is>
          <t>991001570269702656</t>
        </is>
      </c>
      <c r="AX419" t="inlineStr">
        <is>
          <t>991001570269702656</t>
        </is>
      </c>
      <c r="AY419" t="inlineStr">
        <is>
          <t>2271460010002656</t>
        </is>
      </c>
      <c r="AZ419" t="inlineStr">
        <is>
          <t>BOOK</t>
        </is>
      </c>
      <c r="BB419" t="inlineStr">
        <is>
          <t>9780721653365</t>
        </is>
      </c>
      <c r="BC419" t="inlineStr">
        <is>
          <t>30001004091254</t>
        </is>
      </c>
      <c r="BD419" t="inlineStr">
        <is>
          <t>893552647</t>
        </is>
      </c>
    </row>
    <row r="420">
      <c r="A420" t="inlineStr">
        <is>
          <t>No</t>
        </is>
      </c>
      <c r="B420" t="inlineStr">
        <is>
          <t>QZ269 T355 2004</t>
        </is>
      </c>
      <c r="C420" t="inlineStr">
        <is>
          <t>0                      QZ 0269000T  355         2004</t>
        </is>
      </c>
      <c r="D420" t="inlineStr">
        <is>
          <t>Textbook of radiation oncology / [edited by] Steven A. Leibel, Theodore L. Phillips.</t>
        </is>
      </c>
      <c r="F420" t="inlineStr">
        <is>
          <t>No</t>
        </is>
      </c>
      <c r="G420" t="inlineStr">
        <is>
          <t>1</t>
        </is>
      </c>
      <c r="H420" t="inlineStr">
        <is>
          <t>No</t>
        </is>
      </c>
      <c r="I420" t="inlineStr">
        <is>
          <t>Yes</t>
        </is>
      </c>
      <c r="J420" t="inlineStr">
        <is>
          <t>0</t>
        </is>
      </c>
      <c r="L420" t="inlineStr">
        <is>
          <t>Philadelphia : Saunders, c2004.</t>
        </is>
      </c>
      <c r="M420" t="inlineStr">
        <is>
          <t>2004</t>
        </is>
      </c>
      <c r="N420" t="inlineStr">
        <is>
          <t>2nd ed.</t>
        </is>
      </c>
      <c r="O420" t="inlineStr">
        <is>
          <t>eng</t>
        </is>
      </c>
      <c r="P420" t="inlineStr">
        <is>
          <t>pau</t>
        </is>
      </c>
      <c r="R420" t="inlineStr">
        <is>
          <t xml:space="preserve">QZ </t>
        </is>
      </c>
      <c r="S420" t="n">
        <v>5</v>
      </c>
      <c r="T420" t="n">
        <v>5</v>
      </c>
      <c r="U420" t="inlineStr">
        <is>
          <t>2006-03-16</t>
        </is>
      </c>
      <c r="V420" t="inlineStr">
        <is>
          <t>2006-03-16</t>
        </is>
      </c>
      <c r="W420" t="inlineStr">
        <is>
          <t>2006-03-13</t>
        </is>
      </c>
      <c r="X420" t="inlineStr">
        <is>
          <t>2006-03-13</t>
        </is>
      </c>
      <c r="Y420" t="n">
        <v>136</v>
      </c>
      <c r="Z420" t="n">
        <v>85</v>
      </c>
      <c r="AA420" t="n">
        <v>136</v>
      </c>
      <c r="AB420" t="n">
        <v>1</v>
      </c>
      <c r="AC420" t="n">
        <v>2</v>
      </c>
      <c r="AD420" t="n">
        <v>1</v>
      </c>
      <c r="AE420" t="n">
        <v>3</v>
      </c>
      <c r="AF420" t="n">
        <v>1</v>
      </c>
      <c r="AG420" t="n">
        <v>1</v>
      </c>
      <c r="AH420" t="n">
        <v>0</v>
      </c>
      <c r="AI420" t="n">
        <v>1</v>
      </c>
      <c r="AJ420" t="n">
        <v>0</v>
      </c>
      <c r="AK420" t="n">
        <v>0</v>
      </c>
      <c r="AL420" t="n">
        <v>0</v>
      </c>
      <c r="AM420" t="n">
        <v>1</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HYPERLINK("https://creighton-primo.hosted.exlibrisgroup.com/primo-explore/search?tab=default_tab&amp;search_scope=EVERYTHING&amp;vid=01CRU&amp;lang=en_US&amp;offset=0&amp;query=any,contains,991000466659702656","Catalog Record")</f>
        <v/>
      </c>
      <c r="AT420">
        <f>HYPERLINK("http://www.worldcat.org/oclc/53926715","WorldCat Record")</f>
        <v/>
      </c>
      <c r="AU420" t="inlineStr">
        <is>
          <t>341649223:eng</t>
        </is>
      </c>
      <c r="AV420" t="inlineStr">
        <is>
          <t>53926715</t>
        </is>
      </c>
      <c r="AW420" t="inlineStr">
        <is>
          <t>991000466659702656</t>
        </is>
      </c>
      <c r="AX420" t="inlineStr">
        <is>
          <t>991000466659702656</t>
        </is>
      </c>
      <c r="AY420" t="inlineStr">
        <is>
          <t>2266728630002656</t>
        </is>
      </c>
      <c r="AZ420" t="inlineStr">
        <is>
          <t>BOOK</t>
        </is>
      </c>
      <c r="BB420" t="inlineStr">
        <is>
          <t>9780721600260</t>
        </is>
      </c>
      <c r="BC420" t="inlineStr">
        <is>
          <t>30001004915262</t>
        </is>
      </c>
      <c r="BD420" t="inlineStr">
        <is>
          <t>893741821</t>
        </is>
      </c>
    </row>
    <row r="421">
      <c r="A421" t="inlineStr">
        <is>
          <t>No</t>
        </is>
      </c>
      <c r="B421" t="inlineStr">
        <is>
          <t>QZ 269 T7843 1998</t>
        </is>
      </c>
      <c r="C421" t="inlineStr">
        <is>
          <t>0                      QZ 0269000T  7843        1998</t>
        </is>
      </c>
      <c r="D421" t="inlineStr">
        <is>
          <t>Treatment planning in radiation oncology / editors, Faiz M. Khan, Roger A. Potish.</t>
        </is>
      </c>
      <c r="F421" t="inlineStr">
        <is>
          <t>No</t>
        </is>
      </c>
      <c r="G421" t="inlineStr">
        <is>
          <t>1</t>
        </is>
      </c>
      <c r="H421" t="inlineStr">
        <is>
          <t>No</t>
        </is>
      </c>
      <c r="I421" t="inlineStr">
        <is>
          <t>No</t>
        </is>
      </c>
      <c r="J421" t="inlineStr">
        <is>
          <t>0</t>
        </is>
      </c>
      <c r="L421" t="inlineStr">
        <is>
          <t>Baltimore : Williams &amp; Wilkins, c1998.</t>
        </is>
      </c>
      <c r="M421" t="inlineStr">
        <is>
          <t>1998</t>
        </is>
      </c>
      <c r="O421" t="inlineStr">
        <is>
          <t>eng</t>
        </is>
      </c>
      <c r="P421" t="inlineStr">
        <is>
          <t>mdu</t>
        </is>
      </c>
      <c r="R421" t="inlineStr">
        <is>
          <t xml:space="preserve">QZ </t>
        </is>
      </c>
      <c r="S421" t="n">
        <v>3</v>
      </c>
      <c r="T421" t="n">
        <v>3</v>
      </c>
      <c r="U421" t="inlineStr">
        <is>
          <t>2008-12-18</t>
        </is>
      </c>
      <c r="V421" t="inlineStr">
        <is>
          <t>2008-12-18</t>
        </is>
      </c>
      <c r="W421" t="inlineStr">
        <is>
          <t>1997-11-19</t>
        </is>
      </c>
      <c r="X421" t="inlineStr">
        <is>
          <t>1997-11-19</t>
        </is>
      </c>
      <c r="Y421" t="n">
        <v>119</v>
      </c>
      <c r="Z421" t="n">
        <v>81</v>
      </c>
      <c r="AA421" t="n">
        <v>561</v>
      </c>
      <c r="AB421" t="n">
        <v>1</v>
      </c>
      <c r="AC421" t="n">
        <v>6</v>
      </c>
      <c r="AD421" t="n">
        <v>1</v>
      </c>
      <c r="AE421" t="n">
        <v>25</v>
      </c>
      <c r="AF421" t="n">
        <v>0</v>
      </c>
      <c r="AG421" t="n">
        <v>7</v>
      </c>
      <c r="AH421" t="n">
        <v>1</v>
      </c>
      <c r="AI421" t="n">
        <v>8</v>
      </c>
      <c r="AJ421" t="n">
        <v>0</v>
      </c>
      <c r="AK421" t="n">
        <v>7</v>
      </c>
      <c r="AL421" t="n">
        <v>0</v>
      </c>
      <c r="AM421" t="n">
        <v>5</v>
      </c>
      <c r="AN421" t="n">
        <v>0</v>
      </c>
      <c r="AO421" t="n">
        <v>1</v>
      </c>
      <c r="AP421" t="inlineStr">
        <is>
          <t>No</t>
        </is>
      </c>
      <c r="AQ421" t="inlineStr">
        <is>
          <t>No</t>
        </is>
      </c>
      <c r="AS421">
        <f>HYPERLINK("https://creighton-primo.hosted.exlibrisgroup.com/primo-explore/search?tab=default_tab&amp;search_scope=EVERYTHING&amp;vid=01CRU&amp;lang=en_US&amp;offset=0&amp;query=any,contains,991001202989702656","Catalog Record")</f>
        <v/>
      </c>
      <c r="AT421">
        <f>HYPERLINK("http://www.worldcat.org/oclc/36470641","WorldCat Record")</f>
        <v/>
      </c>
      <c r="AU421" t="inlineStr">
        <is>
          <t>56155484:eng</t>
        </is>
      </c>
      <c r="AV421" t="inlineStr">
        <is>
          <t>36470641</t>
        </is>
      </c>
      <c r="AW421" t="inlineStr">
        <is>
          <t>991001202989702656</t>
        </is>
      </c>
      <c r="AX421" t="inlineStr">
        <is>
          <t>991001202989702656</t>
        </is>
      </c>
      <c r="AY421" t="inlineStr">
        <is>
          <t>2259733940002656</t>
        </is>
      </c>
      <c r="AZ421" t="inlineStr">
        <is>
          <t>BOOK</t>
        </is>
      </c>
      <c r="BB421" t="inlineStr">
        <is>
          <t>9780683046076</t>
        </is>
      </c>
      <c r="BC421" t="inlineStr">
        <is>
          <t>30001003657857</t>
        </is>
      </c>
      <c r="BD421" t="inlineStr">
        <is>
          <t>893546448</t>
        </is>
      </c>
    </row>
    <row r="422">
      <c r="A422" t="inlineStr">
        <is>
          <t>No</t>
        </is>
      </c>
      <c r="B422" t="inlineStr">
        <is>
          <t>QZ 275 P3713 1999</t>
        </is>
      </c>
      <c r="C422" t="inlineStr">
        <is>
          <t>0                      QZ 0275000P  3713        1999</t>
        </is>
      </c>
      <c r="D422" t="inlineStr">
        <is>
          <t>Pediatric radiation oncology / Edward C. Halperin ... [et al.].</t>
        </is>
      </c>
      <c r="F422" t="inlineStr">
        <is>
          <t>No</t>
        </is>
      </c>
      <c r="G422" t="inlineStr">
        <is>
          <t>1</t>
        </is>
      </c>
      <c r="H422" t="inlineStr">
        <is>
          <t>No</t>
        </is>
      </c>
      <c r="I422" t="inlineStr">
        <is>
          <t>Yes</t>
        </is>
      </c>
      <c r="J422" t="inlineStr">
        <is>
          <t>1</t>
        </is>
      </c>
      <c r="L422" t="inlineStr">
        <is>
          <t>Philadelphia : Lippincott Williams &amp; Wilkins, c1999.</t>
        </is>
      </c>
      <c r="M422" t="inlineStr">
        <is>
          <t>1999</t>
        </is>
      </c>
      <c r="N422" t="inlineStr">
        <is>
          <t>3rd ed.</t>
        </is>
      </c>
      <c r="O422" t="inlineStr">
        <is>
          <t>eng</t>
        </is>
      </c>
      <c r="P422" t="inlineStr">
        <is>
          <t>pau</t>
        </is>
      </c>
      <c r="R422" t="inlineStr">
        <is>
          <t xml:space="preserve">QZ </t>
        </is>
      </c>
      <c r="S422" t="n">
        <v>1</v>
      </c>
      <c r="T422" t="n">
        <v>1</v>
      </c>
      <c r="U422" t="inlineStr">
        <is>
          <t>1999-04-20</t>
        </is>
      </c>
      <c r="V422" t="inlineStr">
        <is>
          <t>1999-04-20</t>
        </is>
      </c>
      <c r="W422" t="inlineStr">
        <is>
          <t>1999-04-16</t>
        </is>
      </c>
      <c r="X422" t="inlineStr">
        <is>
          <t>1999-04-16</t>
        </is>
      </c>
      <c r="Y422" t="n">
        <v>153</v>
      </c>
      <c r="Z422" t="n">
        <v>110</v>
      </c>
      <c r="AA422" t="n">
        <v>956</v>
      </c>
      <c r="AB422" t="n">
        <v>1</v>
      </c>
      <c r="AC422" t="n">
        <v>13</v>
      </c>
      <c r="AD422" t="n">
        <v>2</v>
      </c>
      <c r="AE422" t="n">
        <v>42</v>
      </c>
      <c r="AF422" t="n">
        <v>0</v>
      </c>
      <c r="AG422" t="n">
        <v>11</v>
      </c>
      <c r="AH422" t="n">
        <v>1</v>
      </c>
      <c r="AI422" t="n">
        <v>12</v>
      </c>
      <c r="AJ422" t="n">
        <v>1</v>
      </c>
      <c r="AK422" t="n">
        <v>12</v>
      </c>
      <c r="AL422" t="n">
        <v>0</v>
      </c>
      <c r="AM422" t="n">
        <v>11</v>
      </c>
      <c r="AN422" t="n">
        <v>0</v>
      </c>
      <c r="AO422" t="n">
        <v>2</v>
      </c>
      <c r="AP422" t="inlineStr">
        <is>
          <t>No</t>
        </is>
      </c>
      <c r="AQ422" t="inlineStr">
        <is>
          <t>Yes</t>
        </is>
      </c>
      <c r="AR422">
        <f>HYPERLINK("http://catalog.hathitrust.org/Record/004026098","HathiTrust Record")</f>
        <v/>
      </c>
      <c r="AS422">
        <f>HYPERLINK("https://creighton-primo.hosted.exlibrisgroup.com/primo-explore/search?tab=default_tab&amp;search_scope=EVERYTHING&amp;vid=01CRU&amp;lang=en_US&amp;offset=0&amp;query=any,contains,991001561729702656","Catalog Record")</f>
        <v/>
      </c>
      <c r="AT422">
        <f>HYPERLINK("http://www.worldcat.org/oclc/39655879","WorldCat Record")</f>
        <v/>
      </c>
      <c r="AU422" t="inlineStr">
        <is>
          <t>4926883102:eng</t>
        </is>
      </c>
      <c r="AV422" t="inlineStr">
        <is>
          <t>39655879</t>
        </is>
      </c>
      <c r="AW422" t="inlineStr">
        <is>
          <t>991001561729702656</t>
        </is>
      </c>
      <c r="AX422" t="inlineStr">
        <is>
          <t>991001561729702656</t>
        </is>
      </c>
      <c r="AY422" t="inlineStr">
        <is>
          <t>2267688480002656</t>
        </is>
      </c>
      <c r="AZ422" t="inlineStr">
        <is>
          <t>BOOK</t>
        </is>
      </c>
      <c r="BB422" t="inlineStr">
        <is>
          <t>9780781715003</t>
        </is>
      </c>
      <c r="BC422" t="inlineStr">
        <is>
          <t>30001004071751</t>
        </is>
      </c>
      <c r="BD422" t="inlineStr">
        <is>
          <t>893743901</t>
        </is>
      </c>
    </row>
    <row r="423">
      <c r="A423" t="inlineStr">
        <is>
          <t>No</t>
        </is>
      </c>
      <c r="B423" t="inlineStr">
        <is>
          <t>QZ275 P3713 2005</t>
        </is>
      </c>
      <c r="C423" t="inlineStr">
        <is>
          <t>0                      QZ 0275000P  3713        2005</t>
        </is>
      </c>
      <c r="D423" t="inlineStr">
        <is>
          <t>Pediatric radiation oncology / Edward C. Halperin ... [et al.].</t>
        </is>
      </c>
      <c r="F423" t="inlineStr">
        <is>
          <t>No</t>
        </is>
      </c>
      <c r="G423" t="inlineStr">
        <is>
          <t>1</t>
        </is>
      </c>
      <c r="H423" t="inlineStr">
        <is>
          <t>No</t>
        </is>
      </c>
      <c r="I423" t="inlineStr">
        <is>
          <t>Yes</t>
        </is>
      </c>
      <c r="J423" t="inlineStr">
        <is>
          <t>1</t>
        </is>
      </c>
      <c r="L423" t="inlineStr">
        <is>
          <t>Philadelphia, PA : Lippincott Williams &amp; Wilkins, c2005.</t>
        </is>
      </c>
      <c r="M423" t="inlineStr">
        <is>
          <t>2005</t>
        </is>
      </c>
      <c r="N423" t="inlineStr">
        <is>
          <t>4th ed.</t>
        </is>
      </c>
      <c r="O423" t="inlineStr">
        <is>
          <t>eng</t>
        </is>
      </c>
      <c r="P423" t="inlineStr">
        <is>
          <t>pau</t>
        </is>
      </c>
      <c r="R423" t="inlineStr">
        <is>
          <t xml:space="preserve">QZ </t>
        </is>
      </c>
      <c r="S423" t="n">
        <v>0</v>
      </c>
      <c r="T423" t="n">
        <v>0</v>
      </c>
      <c r="U423" t="inlineStr">
        <is>
          <t>2005-12-01</t>
        </is>
      </c>
      <c r="V423" t="inlineStr">
        <is>
          <t>2005-12-01</t>
        </is>
      </c>
      <c r="W423" t="inlineStr">
        <is>
          <t>2005-11-11</t>
        </is>
      </c>
      <c r="X423" t="inlineStr">
        <is>
          <t>2005-11-11</t>
        </is>
      </c>
      <c r="Y423" t="n">
        <v>140</v>
      </c>
      <c r="Z423" t="n">
        <v>95</v>
      </c>
      <c r="AA423" t="n">
        <v>956</v>
      </c>
      <c r="AB423" t="n">
        <v>1</v>
      </c>
      <c r="AC423" t="n">
        <v>13</v>
      </c>
      <c r="AD423" t="n">
        <v>2</v>
      </c>
      <c r="AE423" t="n">
        <v>42</v>
      </c>
      <c r="AF423" t="n">
        <v>1</v>
      </c>
      <c r="AG423" t="n">
        <v>11</v>
      </c>
      <c r="AH423" t="n">
        <v>0</v>
      </c>
      <c r="AI423" t="n">
        <v>12</v>
      </c>
      <c r="AJ423" t="n">
        <v>1</v>
      </c>
      <c r="AK423" t="n">
        <v>12</v>
      </c>
      <c r="AL423" t="n">
        <v>0</v>
      </c>
      <c r="AM423" t="n">
        <v>11</v>
      </c>
      <c r="AN423" t="n">
        <v>0</v>
      </c>
      <c r="AO423" t="n">
        <v>2</v>
      </c>
      <c r="AP423" t="inlineStr">
        <is>
          <t>No</t>
        </is>
      </c>
      <c r="AQ423" t="inlineStr">
        <is>
          <t>No</t>
        </is>
      </c>
      <c r="AS423">
        <f>HYPERLINK("https://creighton-primo.hosted.exlibrisgroup.com/primo-explore/search?tab=default_tab&amp;search_scope=EVERYTHING&amp;vid=01CRU&amp;lang=en_US&amp;offset=0&amp;query=any,contains,991000448779702656","Catalog Record")</f>
        <v/>
      </c>
      <c r="AT423">
        <f>HYPERLINK("http://www.worldcat.org/oclc/55634442","WorldCat Record")</f>
        <v/>
      </c>
      <c r="AU423" t="inlineStr">
        <is>
          <t>4926883102:eng</t>
        </is>
      </c>
      <c r="AV423" t="inlineStr">
        <is>
          <t>55634442</t>
        </is>
      </c>
      <c r="AW423" t="inlineStr">
        <is>
          <t>991000448779702656</t>
        </is>
      </c>
      <c r="AX423" t="inlineStr">
        <is>
          <t>991000448779702656</t>
        </is>
      </c>
      <c r="AY423" t="inlineStr">
        <is>
          <t>2270091310002656</t>
        </is>
      </c>
      <c r="AZ423" t="inlineStr">
        <is>
          <t>BOOK</t>
        </is>
      </c>
      <c r="BB423" t="inlineStr">
        <is>
          <t>9780781742528</t>
        </is>
      </c>
      <c r="BC423" t="inlineStr">
        <is>
          <t>30001004911154</t>
        </is>
      </c>
      <c r="BD423" t="inlineStr">
        <is>
          <t>893452140</t>
        </is>
      </c>
    </row>
    <row r="424">
      <c r="A424" t="inlineStr">
        <is>
          <t>No</t>
        </is>
      </c>
      <c r="B424" t="inlineStr">
        <is>
          <t>QZ 275 P957 1997</t>
        </is>
      </c>
      <c r="C424" t="inlineStr">
        <is>
          <t>0                      QZ 0275000P  957         1997</t>
        </is>
      </c>
      <c r="D424" t="inlineStr">
        <is>
          <t>Principles and practice of pediatric oncology / edited by Philip A. Pizzo, David G. Poplack ; with 133 contributors.</t>
        </is>
      </c>
      <c r="F424" t="inlineStr">
        <is>
          <t>No</t>
        </is>
      </c>
      <c r="G424" t="inlineStr">
        <is>
          <t>1</t>
        </is>
      </c>
      <c r="H424" t="inlineStr">
        <is>
          <t>No</t>
        </is>
      </c>
      <c r="I424" t="inlineStr">
        <is>
          <t>Yes</t>
        </is>
      </c>
      <c r="J424" t="inlineStr">
        <is>
          <t>1</t>
        </is>
      </c>
      <c r="L424" t="inlineStr">
        <is>
          <t>Philadelphia : Lippincott-Raven, c1997.</t>
        </is>
      </c>
      <c r="M424" t="inlineStr">
        <is>
          <t>1997</t>
        </is>
      </c>
      <c r="N424" t="inlineStr">
        <is>
          <t>3rd ed.</t>
        </is>
      </c>
      <c r="O424" t="inlineStr">
        <is>
          <t>eng</t>
        </is>
      </c>
      <c r="P424" t="inlineStr">
        <is>
          <t>pau</t>
        </is>
      </c>
      <c r="R424" t="inlineStr">
        <is>
          <t xml:space="preserve">QZ </t>
        </is>
      </c>
      <c r="S424" t="n">
        <v>5</v>
      </c>
      <c r="T424" t="n">
        <v>5</v>
      </c>
      <c r="U424" t="inlineStr">
        <is>
          <t>2004-02-15</t>
        </is>
      </c>
      <c r="V424" t="inlineStr">
        <is>
          <t>2004-02-15</t>
        </is>
      </c>
      <c r="W424" t="inlineStr">
        <is>
          <t>1997-04-14</t>
        </is>
      </c>
      <c r="X424" t="inlineStr">
        <is>
          <t>1997-04-14</t>
        </is>
      </c>
      <c r="Y424" t="n">
        <v>192</v>
      </c>
      <c r="Z424" t="n">
        <v>141</v>
      </c>
      <c r="AA424" t="n">
        <v>1108</v>
      </c>
      <c r="AB424" t="n">
        <v>1</v>
      </c>
      <c r="AC424" t="n">
        <v>14</v>
      </c>
      <c r="AD424" t="n">
        <v>2</v>
      </c>
      <c r="AE424" t="n">
        <v>48</v>
      </c>
      <c r="AF424" t="n">
        <v>0</v>
      </c>
      <c r="AG424" t="n">
        <v>14</v>
      </c>
      <c r="AH424" t="n">
        <v>1</v>
      </c>
      <c r="AI424" t="n">
        <v>13</v>
      </c>
      <c r="AJ424" t="n">
        <v>2</v>
      </c>
      <c r="AK424" t="n">
        <v>16</v>
      </c>
      <c r="AL424" t="n">
        <v>0</v>
      </c>
      <c r="AM424" t="n">
        <v>12</v>
      </c>
      <c r="AN424" t="n">
        <v>0</v>
      </c>
      <c r="AO424" t="n">
        <v>2</v>
      </c>
      <c r="AP424" t="inlineStr">
        <is>
          <t>No</t>
        </is>
      </c>
      <c r="AQ424" t="inlineStr">
        <is>
          <t>No</t>
        </is>
      </c>
      <c r="AS424">
        <f>HYPERLINK("https://creighton-primo.hosted.exlibrisgroup.com/primo-explore/search?tab=default_tab&amp;search_scope=EVERYTHING&amp;vid=01CRU&amp;lang=en_US&amp;offset=0&amp;query=any,contains,991001551699702656","Catalog Record")</f>
        <v/>
      </c>
      <c r="AT424">
        <f>HYPERLINK("http://www.worldcat.org/oclc/35360759","WorldCat Record")</f>
        <v/>
      </c>
      <c r="AU424" t="inlineStr">
        <is>
          <t>503714226:eng</t>
        </is>
      </c>
      <c r="AV424" t="inlineStr">
        <is>
          <t>35360759</t>
        </is>
      </c>
      <c r="AW424" t="inlineStr">
        <is>
          <t>991001551699702656</t>
        </is>
      </c>
      <c r="AX424" t="inlineStr">
        <is>
          <t>991001551699702656</t>
        </is>
      </c>
      <c r="AY424" t="inlineStr">
        <is>
          <t>2266815860002656</t>
        </is>
      </c>
      <c r="AZ424" t="inlineStr">
        <is>
          <t>BOOK</t>
        </is>
      </c>
      <c r="BB424" t="inlineStr">
        <is>
          <t>9780397515615</t>
        </is>
      </c>
      <c r="BC424" t="inlineStr">
        <is>
          <t>30001003443621</t>
        </is>
      </c>
      <c r="BD424" t="inlineStr">
        <is>
          <t>893268632</t>
        </is>
      </c>
    </row>
    <row r="425">
      <c r="A425" t="inlineStr">
        <is>
          <t>No</t>
        </is>
      </c>
      <c r="B425" t="inlineStr">
        <is>
          <t>QZ340 K48d 2004</t>
        </is>
      </c>
      <c r="C425" t="inlineStr">
        <is>
          <t>0                      QZ 0340000K  48d         2004</t>
        </is>
      </c>
      <c r="D425" t="inlineStr">
        <is>
          <t>Diagnostic musculoskeletal surgical pathology : clinicoradiologic and cytologic correlations / Scott E. Kilpatrick in collaboration with Jordan B. Renner ; contribution by Andrew Creager.</t>
        </is>
      </c>
      <c r="F425" t="inlineStr">
        <is>
          <t>No</t>
        </is>
      </c>
      <c r="G425" t="inlineStr">
        <is>
          <t>1</t>
        </is>
      </c>
      <c r="H425" t="inlineStr">
        <is>
          <t>No</t>
        </is>
      </c>
      <c r="I425" t="inlineStr">
        <is>
          <t>No</t>
        </is>
      </c>
      <c r="J425" t="inlineStr">
        <is>
          <t>0</t>
        </is>
      </c>
      <c r="K425" t="inlineStr">
        <is>
          <t>Kilpatrick, Scott E.</t>
        </is>
      </c>
      <c r="L425" t="inlineStr">
        <is>
          <t>Philadelphia : W.B. Saunders, c2004.</t>
        </is>
      </c>
      <c r="M425" t="inlineStr">
        <is>
          <t>2004</t>
        </is>
      </c>
      <c r="O425" t="inlineStr">
        <is>
          <t>eng</t>
        </is>
      </c>
      <c r="P425" t="inlineStr">
        <is>
          <t>pau</t>
        </is>
      </c>
      <c r="R425" t="inlineStr">
        <is>
          <t xml:space="preserve">QZ </t>
        </is>
      </c>
      <c r="S425" t="n">
        <v>0</v>
      </c>
      <c r="T425" t="n">
        <v>0</v>
      </c>
      <c r="U425" t="inlineStr">
        <is>
          <t>2006-01-30</t>
        </is>
      </c>
      <c r="V425" t="inlineStr">
        <is>
          <t>2006-01-30</t>
        </is>
      </c>
      <c r="W425" t="inlineStr">
        <is>
          <t>2006-01-23</t>
        </is>
      </c>
      <c r="X425" t="inlineStr">
        <is>
          <t>2006-01-23</t>
        </is>
      </c>
      <c r="Y425" t="n">
        <v>91</v>
      </c>
      <c r="Z425" t="n">
        <v>59</v>
      </c>
      <c r="AA425" t="n">
        <v>66</v>
      </c>
      <c r="AB425" t="n">
        <v>1</v>
      </c>
      <c r="AC425" t="n">
        <v>1</v>
      </c>
      <c r="AD425" t="n">
        <v>2</v>
      </c>
      <c r="AE425" t="n">
        <v>2</v>
      </c>
      <c r="AF425" t="n">
        <v>0</v>
      </c>
      <c r="AG425" t="n">
        <v>0</v>
      </c>
      <c r="AH425" t="n">
        <v>1</v>
      </c>
      <c r="AI425" t="n">
        <v>1</v>
      </c>
      <c r="AJ425" t="n">
        <v>1</v>
      </c>
      <c r="AK425" t="n">
        <v>1</v>
      </c>
      <c r="AL425" t="n">
        <v>0</v>
      </c>
      <c r="AM425" t="n">
        <v>0</v>
      </c>
      <c r="AN425" t="n">
        <v>0</v>
      </c>
      <c r="AO425" t="n">
        <v>0</v>
      </c>
      <c r="AP425" t="inlineStr">
        <is>
          <t>No</t>
        </is>
      </c>
      <c r="AQ425" t="inlineStr">
        <is>
          <t>Yes</t>
        </is>
      </c>
      <c r="AR425">
        <f>HYPERLINK("http://catalog.hathitrust.org/Record/004352365","HathiTrust Record")</f>
        <v/>
      </c>
      <c r="AS425">
        <f>HYPERLINK("https://creighton-primo.hosted.exlibrisgroup.com/primo-explore/search?tab=default_tab&amp;search_scope=EVERYTHING&amp;vid=01CRU&amp;lang=en_US&amp;offset=0&amp;query=any,contains,991000456829702656","Catalog Record")</f>
        <v/>
      </c>
      <c r="AT425">
        <f>HYPERLINK("http://www.worldcat.org/oclc/51336852","WorldCat Record")</f>
        <v/>
      </c>
      <c r="AU425" t="inlineStr">
        <is>
          <t>840712910:eng</t>
        </is>
      </c>
      <c r="AV425" t="inlineStr">
        <is>
          <t>51336852</t>
        </is>
      </c>
      <c r="AW425" t="inlineStr">
        <is>
          <t>991000456829702656</t>
        </is>
      </c>
      <c r="AX425" t="inlineStr">
        <is>
          <t>991000456829702656</t>
        </is>
      </c>
      <c r="AY425" t="inlineStr">
        <is>
          <t>2256659770002656</t>
        </is>
      </c>
      <c r="AZ425" t="inlineStr">
        <is>
          <t>BOOK</t>
        </is>
      </c>
      <c r="BB425" t="inlineStr">
        <is>
          <t>9780721691633</t>
        </is>
      </c>
      <c r="BC425" t="inlineStr">
        <is>
          <t>30001004912483</t>
        </is>
      </c>
      <c r="BD425" t="inlineStr">
        <is>
          <t>893275059</t>
        </is>
      </c>
    </row>
    <row r="426">
      <c r="A426" t="inlineStr">
        <is>
          <t>No</t>
        </is>
      </c>
      <c r="B426" t="inlineStr">
        <is>
          <t>QZ 340 M251 1992</t>
        </is>
      </c>
      <c r="C426" t="inlineStr">
        <is>
          <t>0                      QZ 0340000M  251         1992</t>
        </is>
      </c>
      <c r="D426" t="inlineStr">
        <is>
          <t>Malignant mesothelioma / edited by Douglas W. Henderson ... [et al.] ; with a foreword by J. Christopher Wagner.</t>
        </is>
      </c>
      <c r="F426" t="inlineStr">
        <is>
          <t>No</t>
        </is>
      </c>
      <c r="G426" t="inlineStr">
        <is>
          <t>1</t>
        </is>
      </c>
      <c r="H426" t="inlineStr">
        <is>
          <t>No</t>
        </is>
      </c>
      <c r="I426" t="inlineStr">
        <is>
          <t>No</t>
        </is>
      </c>
      <c r="J426" t="inlineStr">
        <is>
          <t>0</t>
        </is>
      </c>
      <c r="L426" t="inlineStr">
        <is>
          <t>New York : Hemisphere Pub. Corp., c1992.</t>
        </is>
      </c>
      <c r="M426" t="inlineStr">
        <is>
          <t>1992</t>
        </is>
      </c>
      <c r="O426" t="inlineStr">
        <is>
          <t>eng</t>
        </is>
      </c>
      <c r="P426" t="inlineStr">
        <is>
          <t>nyu</t>
        </is>
      </c>
      <c r="Q426" t="inlineStr">
        <is>
          <t>The Cancer series, 1043-9439.</t>
        </is>
      </c>
      <c r="R426" t="inlineStr">
        <is>
          <t xml:space="preserve">QZ </t>
        </is>
      </c>
      <c r="S426" t="n">
        <v>10</v>
      </c>
      <c r="T426" t="n">
        <v>10</v>
      </c>
      <c r="U426" t="inlineStr">
        <is>
          <t>2002-04-21</t>
        </is>
      </c>
      <c r="V426" t="inlineStr">
        <is>
          <t>2002-04-21</t>
        </is>
      </c>
      <c r="W426" t="inlineStr">
        <is>
          <t>1992-02-17</t>
        </is>
      </c>
      <c r="X426" t="inlineStr">
        <is>
          <t>1992-02-17</t>
        </is>
      </c>
      <c r="Y426" t="n">
        <v>93</v>
      </c>
      <c r="Z426" t="n">
        <v>56</v>
      </c>
      <c r="AA426" t="n">
        <v>58</v>
      </c>
      <c r="AB426" t="n">
        <v>1</v>
      </c>
      <c r="AC426" t="n">
        <v>1</v>
      </c>
      <c r="AD426" t="n">
        <v>1</v>
      </c>
      <c r="AE426" t="n">
        <v>1</v>
      </c>
      <c r="AF426" t="n">
        <v>0</v>
      </c>
      <c r="AG426" t="n">
        <v>0</v>
      </c>
      <c r="AH426" t="n">
        <v>0</v>
      </c>
      <c r="AI426" t="n">
        <v>0</v>
      </c>
      <c r="AJ426" t="n">
        <v>1</v>
      </c>
      <c r="AK426" t="n">
        <v>1</v>
      </c>
      <c r="AL426" t="n">
        <v>0</v>
      </c>
      <c r="AM426" t="n">
        <v>0</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HYPERLINK("https://creighton-primo.hosted.exlibrisgroup.com/primo-explore/search?tab=default_tab&amp;search_scope=EVERYTHING&amp;vid=01CRU&amp;lang=en_US&amp;offset=0&amp;query=any,contains,991001036929702656","Catalog Record")</f>
        <v/>
      </c>
      <c r="AT426">
        <f>HYPERLINK("http://www.worldcat.org/oclc/23386705","WorldCat Record")</f>
        <v/>
      </c>
      <c r="AU426" t="inlineStr">
        <is>
          <t>55443475:eng</t>
        </is>
      </c>
      <c r="AV426" t="inlineStr">
        <is>
          <t>23386705</t>
        </is>
      </c>
      <c r="AW426" t="inlineStr">
        <is>
          <t>991001036929702656</t>
        </is>
      </c>
      <c r="AX426" t="inlineStr">
        <is>
          <t>991001036929702656</t>
        </is>
      </c>
      <c r="AY426" t="inlineStr">
        <is>
          <t>2264629080002656</t>
        </is>
      </c>
      <c r="AZ426" t="inlineStr">
        <is>
          <t>BOOK</t>
        </is>
      </c>
      <c r="BC426" t="inlineStr">
        <is>
          <t>30001002244939</t>
        </is>
      </c>
      <c r="BD426" t="inlineStr">
        <is>
          <t>893540960</t>
        </is>
      </c>
    </row>
    <row r="427">
      <c r="A427" t="inlineStr">
        <is>
          <t>No</t>
        </is>
      </c>
      <c r="B427" t="inlineStr">
        <is>
          <t>QZ 350 F866m 1991</t>
        </is>
      </c>
      <c r="C427" t="inlineStr">
        <is>
          <t>0                      QZ 0350000F  866m        1991</t>
        </is>
      </c>
      <c r="D427" t="inlineStr">
        <is>
          <t>Milestones in leukemia research and therapy / Emil J. Freireich, Noreen A. Lemak.</t>
        </is>
      </c>
      <c r="F427" t="inlineStr">
        <is>
          <t>No</t>
        </is>
      </c>
      <c r="G427" t="inlineStr">
        <is>
          <t>1</t>
        </is>
      </c>
      <c r="H427" t="inlineStr">
        <is>
          <t>No</t>
        </is>
      </c>
      <c r="I427" t="inlineStr">
        <is>
          <t>No</t>
        </is>
      </c>
      <c r="J427" t="inlineStr">
        <is>
          <t>0</t>
        </is>
      </c>
      <c r="K427" t="inlineStr">
        <is>
          <t>Freireich, Emil J., 1927-</t>
        </is>
      </c>
      <c r="L427" t="inlineStr">
        <is>
          <t>Baltimore : Johns Hopkins University Press, c1991.</t>
        </is>
      </c>
      <c r="M427" t="inlineStr">
        <is>
          <t>1991</t>
        </is>
      </c>
      <c r="O427" t="inlineStr">
        <is>
          <t>eng</t>
        </is>
      </c>
      <c r="P427" t="inlineStr">
        <is>
          <t>mdu</t>
        </is>
      </c>
      <c r="Q427" t="inlineStr">
        <is>
          <t>The Johns Hopkins series in contemporary medicine and public health.</t>
        </is>
      </c>
      <c r="R427" t="inlineStr">
        <is>
          <t xml:space="preserve">QZ </t>
        </is>
      </c>
      <c r="S427" t="n">
        <v>4</v>
      </c>
      <c r="T427" t="n">
        <v>4</v>
      </c>
      <c r="U427" t="inlineStr">
        <is>
          <t>2003-02-12</t>
        </is>
      </c>
      <c r="V427" t="inlineStr">
        <is>
          <t>2003-02-12</t>
        </is>
      </c>
      <c r="W427" t="inlineStr">
        <is>
          <t>1991-09-19</t>
        </is>
      </c>
      <c r="X427" t="inlineStr">
        <is>
          <t>1991-09-19</t>
        </is>
      </c>
      <c r="Y427" t="n">
        <v>144</v>
      </c>
      <c r="Z427" t="n">
        <v>109</v>
      </c>
      <c r="AA427" t="n">
        <v>116</v>
      </c>
      <c r="AB427" t="n">
        <v>1</v>
      </c>
      <c r="AC427" t="n">
        <v>1</v>
      </c>
      <c r="AD427" t="n">
        <v>3</v>
      </c>
      <c r="AE427" t="n">
        <v>3</v>
      </c>
      <c r="AF427" t="n">
        <v>2</v>
      </c>
      <c r="AG427" t="n">
        <v>2</v>
      </c>
      <c r="AH427" t="n">
        <v>0</v>
      </c>
      <c r="AI427" t="n">
        <v>0</v>
      </c>
      <c r="AJ427" t="n">
        <v>2</v>
      </c>
      <c r="AK427" t="n">
        <v>2</v>
      </c>
      <c r="AL427" t="n">
        <v>0</v>
      </c>
      <c r="AM427" t="n">
        <v>0</v>
      </c>
      <c r="AN427" t="n">
        <v>0</v>
      </c>
      <c r="AO427" t="n">
        <v>0</v>
      </c>
      <c r="AP427" t="inlineStr">
        <is>
          <t>No</t>
        </is>
      </c>
      <c r="AQ427" t="inlineStr">
        <is>
          <t>Yes</t>
        </is>
      </c>
      <c r="AR427">
        <f>HYPERLINK("http://catalog.hathitrust.org/Record/002568176","HathiTrust Record")</f>
        <v/>
      </c>
      <c r="AS427">
        <f>HYPERLINK("https://creighton-primo.hosted.exlibrisgroup.com/primo-explore/search?tab=default_tab&amp;search_scope=EVERYTHING&amp;vid=01CRU&amp;lang=en_US&amp;offset=0&amp;query=any,contains,991001016519702656","Catalog Record")</f>
        <v/>
      </c>
      <c r="AT427">
        <f>HYPERLINK("http://www.worldcat.org/oclc/22451947","WorldCat Record")</f>
        <v/>
      </c>
      <c r="AU427" t="inlineStr">
        <is>
          <t>23888876:eng</t>
        </is>
      </c>
      <c r="AV427" t="inlineStr">
        <is>
          <t>22451947</t>
        </is>
      </c>
      <c r="AW427" t="inlineStr">
        <is>
          <t>991001016519702656</t>
        </is>
      </c>
      <c r="AX427" t="inlineStr">
        <is>
          <t>991001016519702656</t>
        </is>
      </c>
      <c r="AY427" t="inlineStr">
        <is>
          <t>2259759710002656</t>
        </is>
      </c>
      <c r="AZ427" t="inlineStr">
        <is>
          <t>BOOK</t>
        </is>
      </c>
      <c r="BB427" t="inlineStr">
        <is>
          <t>9780801841309</t>
        </is>
      </c>
      <c r="BC427" t="inlineStr">
        <is>
          <t>30001002240770</t>
        </is>
      </c>
      <c r="BD427" t="inlineStr">
        <is>
          <t>893363665</t>
        </is>
      </c>
    </row>
    <row r="428">
      <c r="A428" t="inlineStr">
        <is>
          <t>No</t>
        </is>
      </c>
      <c r="B428" t="inlineStr">
        <is>
          <t>QZ 350 U17r 1987</t>
        </is>
      </c>
      <c r="C428" t="inlineStr">
        <is>
          <t>0                      QZ 0350000U  17r         1987</t>
        </is>
      </c>
      <c r="D428" t="inlineStr">
        <is>
          <t>Recent advances in leukemia and lymphoma : proceedings of a Schering-UCLA Symposium held in Keystone, Colorado, January 25-31, 1987 / editors, Robert Peter Gale, David W. Golde.</t>
        </is>
      </c>
      <c r="F428" t="inlineStr">
        <is>
          <t>No</t>
        </is>
      </c>
      <c r="G428" t="inlineStr">
        <is>
          <t>1</t>
        </is>
      </c>
      <c r="H428" t="inlineStr">
        <is>
          <t>No</t>
        </is>
      </c>
      <c r="I428" t="inlineStr">
        <is>
          <t>No</t>
        </is>
      </c>
      <c r="J428" t="inlineStr">
        <is>
          <t>0</t>
        </is>
      </c>
      <c r="K428" t="inlineStr">
        <is>
          <t>UCLA Symposium on Recent Advances in Leukemia and Lymphoma (1987 : Keystone, Colo.)</t>
        </is>
      </c>
      <c r="L428" t="inlineStr">
        <is>
          <t>New York : Liss, c1987.</t>
        </is>
      </c>
      <c r="M428" t="inlineStr">
        <is>
          <t>1987</t>
        </is>
      </c>
      <c r="O428" t="inlineStr">
        <is>
          <t>eng</t>
        </is>
      </c>
      <c r="P428" t="inlineStr">
        <is>
          <t>xxu</t>
        </is>
      </c>
      <c r="Q428" t="inlineStr">
        <is>
          <t>UCLA symposia on molecular and cellular biology ; new ser., v. 61</t>
        </is>
      </c>
      <c r="R428" t="inlineStr">
        <is>
          <t xml:space="preserve">QZ </t>
        </is>
      </c>
      <c r="S428" t="n">
        <v>12</v>
      </c>
      <c r="T428" t="n">
        <v>12</v>
      </c>
      <c r="U428" t="inlineStr">
        <is>
          <t>1994-11-04</t>
        </is>
      </c>
      <c r="V428" t="inlineStr">
        <is>
          <t>1994-11-04</t>
        </is>
      </c>
      <c r="W428" t="inlineStr">
        <is>
          <t>1988-04-15</t>
        </is>
      </c>
      <c r="X428" t="inlineStr">
        <is>
          <t>1988-04-15</t>
        </is>
      </c>
      <c r="Y428" t="n">
        <v>122</v>
      </c>
      <c r="Z428" t="n">
        <v>97</v>
      </c>
      <c r="AA428" t="n">
        <v>99</v>
      </c>
      <c r="AB428" t="n">
        <v>1</v>
      </c>
      <c r="AC428" t="n">
        <v>1</v>
      </c>
      <c r="AD428" t="n">
        <v>3</v>
      </c>
      <c r="AE428" t="n">
        <v>3</v>
      </c>
      <c r="AF428" t="n">
        <v>0</v>
      </c>
      <c r="AG428" t="n">
        <v>0</v>
      </c>
      <c r="AH428" t="n">
        <v>1</v>
      </c>
      <c r="AI428" t="n">
        <v>1</v>
      </c>
      <c r="AJ428" t="n">
        <v>3</v>
      </c>
      <c r="AK428" t="n">
        <v>3</v>
      </c>
      <c r="AL428" t="n">
        <v>0</v>
      </c>
      <c r="AM428" t="n">
        <v>0</v>
      </c>
      <c r="AN428" t="n">
        <v>0</v>
      </c>
      <c r="AO428" t="n">
        <v>0</v>
      </c>
      <c r="AP428" t="inlineStr">
        <is>
          <t>No</t>
        </is>
      </c>
      <c r="AQ428" t="inlineStr">
        <is>
          <t>Yes</t>
        </is>
      </c>
      <c r="AR428">
        <f>HYPERLINK("http://catalog.hathitrust.org/Record/000914832","HathiTrust Record")</f>
        <v/>
      </c>
      <c r="AS428">
        <f>HYPERLINK("https://creighton-primo.hosted.exlibrisgroup.com/primo-explore/search?tab=default_tab&amp;search_scope=EVERYTHING&amp;vid=01CRU&amp;lang=en_US&amp;offset=0&amp;query=any,contains,991001181409702656","Catalog Record")</f>
        <v/>
      </c>
      <c r="AT428">
        <f>HYPERLINK("http://www.worldcat.org/oclc/16525423","WorldCat Record")</f>
        <v/>
      </c>
      <c r="AU428" t="inlineStr">
        <is>
          <t>12455623:eng</t>
        </is>
      </c>
      <c r="AV428" t="inlineStr">
        <is>
          <t>16525423</t>
        </is>
      </c>
      <c r="AW428" t="inlineStr">
        <is>
          <t>991001181409702656</t>
        </is>
      </c>
      <c r="AX428" t="inlineStr">
        <is>
          <t>991001181409702656</t>
        </is>
      </c>
      <c r="AY428" t="inlineStr">
        <is>
          <t>2263956480002656</t>
        </is>
      </c>
      <c r="AZ428" t="inlineStr">
        <is>
          <t>BOOK</t>
        </is>
      </c>
      <c r="BB428" t="inlineStr">
        <is>
          <t>9780845126608</t>
        </is>
      </c>
      <c r="BC428" t="inlineStr">
        <is>
          <t>30001000977076</t>
        </is>
      </c>
      <c r="BD428" t="inlineStr">
        <is>
          <t>893541092</t>
        </is>
      </c>
    </row>
    <row r="429">
      <c r="A429" t="inlineStr">
        <is>
          <t>No</t>
        </is>
      </c>
      <c r="B429" t="inlineStr">
        <is>
          <t>QZ 380 N494 1990</t>
        </is>
      </c>
      <c r="C429" t="inlineStr">
        <is>
          <t>0                      QZ 0380000N  494         1990</t>
        </is>
      </c>
      <c r="D429" t="inlineStr">
        <is>
          <t>Neurofibromatosis : a handbook for patients, families, and health-care professionals / edited by Allan E. Rubenstein and Bruce R. Korf.</t>
        </is>
      </c>
      <c r="F429" t="inlineStr">
        <is>
          <t>No</t>
        </is>
      </c>
      <c r="G429" t="inlineStr">
        <is>
          <t>1</t>
        </is>
      </c>
      <c r="H429" t="inlineStr">
        <is>
          <t>No</t>
        </is>
      </c>
      <c r="I429" t="inlineStr">
        <is>
          <t>No</t>
        </is>
      </c>
      <c r="J429" t="inlineStr">
        <is>
          <t>1</t>
        </is>
      </c>
      <c r="L429" t="inlineStr">
        <is>
          <t>New York : Thieme Medical Publishers, c1990.</t>
        </is>
      </c>
      <c r="M429" t="inlineStr">
        <is>
          <t>1990</t>
        </is>
      </c>
      <c r="O429" t="inlineStr">
        <is>
          <t>eng</t>
        </is>
      </c>
      <c r="P429" t="inlineStr">
        <is>
          <t>nyu</t>
        </is>
      </c>
      <c r="R429" t="inlineStr">
        <is>
          <t xml:space="preserve">QZ </t>
        </is>
      </c>
      <c r="S429" t="n">
        <v>16</v>
      </c>
      <c r="T429" t="n">
        <v>16</v>
      </c>
      <c r="U429" t="inlineStr">
        <is>
          <t>2005-10-06</t>
        </is>
      </c>
      <c r="V429" t="inlineStr">
        <is>
          <t>2005-10-06</t>
        </is>
      </c>
      <c r="W429" t="inlineStr">
        <is>
          <t>1990-11-02</t>
        </is>
      </c>
      <c r="X429" t="inlineStr">
        <is>
          <t>1990-11-02</t>
        </is>
      </c>
      <c r="Y429" t="n">
        <v>101</v>
      </c>
      <c r="Z429" t="n">
        <v>73</v>
      </c>
      <c r="AA429" t="n">
        <v>299</v>
      </c>
      <c r="AB429" t="n">
        <v>1</v>
      </c>
      <c r="AC429" t="n">
        <v>2</v>
      </c>
      <c r="AD429" t="n">
        <v>1</v>
      </c>
      <c r="AE429" t="n">
        <v>8</v>
      </c>
      <c r="AF429" t="n">
        <v>0</v>
      </c>
      <c r="AG429" t="n">
        <v>2</v>
      </c>
      <c r="AH429" t="n">
        <v>0</v>
      </c>
      <c r="AI429" t="n">
        <v>3</v>
      </c>
      <c r="AJ429" t="n">
        <v>1</v>
      </c>
      <c r="AK429" t="n">
        <v>4</v>
      </c>
      <c r="AL429" t="n">
        <v>0</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HYPERLINK("https://creighton-primo.hosted.exlibrisgroup.com/primo-explore/search?tab=default_tab&amp;search_scope=EVERYTHING&amp;vid=01CRU&amp;lang=en_US&amp;offset=0&amp;query=any,contains,991000774719702656","Catalog Record")</f>
        <v/>
      </c>
      <c r="AT429">
        <f>HYPERLINK("http://www.worldcat.org/oclc/21038605","WorldCat Record")</f>
        <v/>
      </c>
      <c r="AU429" t="inlineStr">
        <is>
          <t>356131117:eng</t>
        </is>
      </c>
      <c r="AV429" t="inlineStr">
        <is>
          <t>21038605</t>
        </is>
      </c>
      <c r="AW429" t="inlineStr">
        <is>
          <t>991000774719702656</t>
        </is>
      </c>
      <c r="AX429" t="inlineStr">
        <is>
          <t>991000774719702656</t>
        </is>
      </c>
      <c r="AY429" t="inlineStr">
        <is>
          <t>2256515610002656</t>
        </is>
      </c>
      <c r="AZ429" t="inlineStr">
        <is>
          <t>BOOK</t>
        </is>
      </c>
      <c r="BB429" t="inlineStr">
        <is>
          <t>9780865771543</t>
        </is>
      </c>
      <c r="BC429" t="inlineStr">
        <is>
          <t>30001002062919</t>
        </is>
      </c>
      <c r="BD429" t="inlineStr">
        <is>
          <t>893357534</t>
        </is>
      </c>
    </row>
    <row r="430">
      <c r="A430" t="inlineStr">
        <is>
          <t>No</t>
        </is>
      </c>
      <c r="B430" t="inlineStr">
        <is>
          <t>QZ380 R961 2006</t>
        </is>
      </c>
      <c r="C430" t="inlineStr">
        <is>
          <t>0                      QZ 0380000R  961         2006</t>
        </is>
      </c>
      <c r="D430" t="inlineStr">
        <is>
          <t>Russell &amp; Rubinstein's pathology of tumors of the nervous system.</t>
        </is>
      </c>
      <c r="F430" t="inlineStr">
        <is>
          <t>No</t>
        </is>
      </c>
      <c r="G430" t="inlineStr">
        <is>
          <t>1</t>
        </is>
      </c>
      <c r="H430" t="inlineStr">
        <is>
          <t>No</t>
        </is>
      </c>
      <c r="I430" t="inlineStr">
        <is>
          <t>No</t>
        </is>
      </c>
      <c r="J430" t="inlineStr">
        <is>
          <t>0</t>
        </is>
      </c>
      <c r="L430" t="inlineStr">
        <is>
          <t>London : Hodder Arnold, 2006.</t>
        </is>
      </c>
      <c r="M430" t="inlineStr">
        <is>
          <t>2006</t>
        </is>
      </c>
      <c r="N430" t="inlineStr">
        <is>
          <t>7th ed. / [edited by] Roger E. McLendon, Marc K. Rosenblum, Darell D. Bigner.</t>
        </is>
      </c>
      <c r="O430" t="inlineStr">
        <is>
          <t>eng</t>
        </is>
      </c>
      <c r="P430" t="inlineStr">
        <is>
          <t>enk</t>
        </is>
      </c>
      <c r="R430" t="inlineStr">
        <is>
          <t xml:space="preserve">QZ </t>
        </is>
      </c>
      <c r="S430" t="n">
        <v>0</v>
      </c>
      <c r="T430" t="n">
        <v>0</v>
      </c>
      <c r="U430" t="inlineStr">
        <is>
          <t>2007-05-08</t>
        </is>
      </c>
      <c r="V430" t="inlineStr">
        <is>
          <t>2007-05-08</t>
        </is>
      </c>
      <c r="W430" t="inlineStr">
        <is>
          <t>2007-02-02</t>
        </is>
      </c>
      <c r="X430" t="inlineStr">
        <is>
          <t>2007-02-02</t>
        </is>
      </c>
      <c r="Y430" t="n">
        <v>96</v>
      </c>
      <c r="Z430" t="n">
        <v>64</v>
      </c>
      <c r="AA430" t="n">
        <v>134</v>
      </c>
      <c r="AB430" t="n">
        <v>1</v>
      </c>
      <c r="AC430" t="n">
        <v>1</v>
      </c>
      <c r="AD430" t="n">
        <v>3</v>
      </c>
      <c r="AE430" t="n">
        <v>4</v>
      </c>
      <c r="AF430" t="n">
        <v>1</v>
      </c>
      <c r="AG430" t="n">
        <v>1</v>
      </c>
      <c r="AH430" t="n">
        <v>1</v>
      </c>
      <c r="AI430" t="n">
        <v>1</v>
      </c>
      <c r="AJ430" t="n">
        <v>1</v>
      </c>
      <c r="AK430" t="n">
        <v>2</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HYPERLINK("https://creighton-primo.hosted.exlibrisgroup.com/primo-explore/search?tab=default_tab&amp;search_scope=EVERYTHING&amp;vid=01CRU&amp;lang=en_US&amp;offset=0&amp;query=any,contains,991000589729702656","Catalog Record")</f>
        <v/>
      </c>
      <c r="AT430">
        <f>HYPERLINK("http://www.worldcat.org/oclc/64957584","WorldCat Record")</f>
        <v/>
      </c>
      <c r="AU430" t="inlineStr">
        <is>
          <t>3856013420:eng</t>
        </is>
      </c>
      <c r="AV430" t="inlineStr">
        <is>
          <t>64957584</t>
        </is>
      </c>
      <c r="AW430" t="inlineStr">
        <is>
          <t>991000589729702656</t>
        </is>
      </c>
      <c r="AX430" t="inlineStr">
        <is>
          <t>991000589729702656</t>
        </is>
      </c>
      <c r="AY430" t="inlineStr">
        <is>
          <t>2258639360002656</t>
        </is>
      </c>
      <c r="AZ430" t="inlineStr">
        <is>
          <t>BOOK</t>
        </is>
      </c>
      <c r="BB430" t="inlineStr">
        <is>
          <t>9780340810071</t>
        </is>
      </c>
      <c r="BC430" t="inlineStr">
        <is>
          <t>30001005193067</t>
        </is>
      </c>
      <c r="BD430" t="inlineStr">
        <is>
          <t>893159406</t>
        </is>
      </c>
    </row>
    <row r="431">
      <c r="A431" t="inlineStr">
        <is>
          <t>No</t>
        </is>
      </c>
      <c r="B431" t="inlineStr">
        <is>
          <t>QZ 380 T784 1988</t>
        </is>
      </c>
      <c r="C431" t="inlineStr">
        <is>
          <t>0                      QZ 0380000T  784         1988</t>
        </is>
      </c>
      <c r="D431" t="inlineStr">
        <is>
          <t>Treatment of glioma : with 137 figures / Jiro Suzuki (ed.).</t>
        </is>
      </c>
      <c r="F431" t="inlineStr">
        <is>
          <t>No</t>
        </is>
      </c>
      <c r="G431" t="inlineStr">
        <is>
          <t>1</t>
        </is>
      </c>
      <c r="H431" t="inlineStr">
        <is>
          <t>No</t>
        </is>
      </c>
      <c r="I431" t="inlineStr">
        <is>
          <t>No</t>
        </is>
      </c>
      <c r="J431" t="inlineStr">
        <is>
          <t>0</t>
        </is>
      </c>
      <c r="L431" t="inlineStr">
        <is>
          <t>Tokyo ; New York : Springer-Verlag, c1988.</t>
        </is>
      </c>
      <c r="M431" t="inlineStr">
        <is>
          <t>1988</t>
        </is>
      </c>
      <c r="O431" t="inlineStr">
        <is>
          <t>eng</t>
        </is>
      </c>
      <c r="P431" t="inlineStr">
        <is>
          <t xml:space="preserve">ja </t>
        </is>
      </c>
      <c r="R431" t="inlineStr">
        <is>
          <t xml:space="preserve">QZ </t>
        </is>
      </c>
      <c r="S431" t="n">
        <v>3</v>
      </c>
      <c r="T431" t="n">
        <v>3</v>
      </c>
      <c r="U431" t="inlineStr">
        <is>
          <t>1990-02-19</t>
        </is>
      </c>
      <c r="V431" t="inlineStr">
        <is>
          <t>1990-02-19</t>
        </is>
      </c>
      <c r="W431" t="inlineStr">
        <is>
          <t>1988-12-14</t>
        </is>
      </c>
      <c r="X431" t="inlineStr">
        <is>
          <t>1988-12-14</t>
        </is>
      </c>
      <c r="Y431" t="n">
        <v>52</v>
      </c>
      <c r="Z431" t="n">
        <v>40</v>
      </c>
      <c r="AA431" t="n">
        <v>63</v>
      </c>
      <c r="AB431" t="n">
        <v>1</v>
      </c>
      <c r="AC431" t="n">
        <v>1</v>
      </c>
      <c r="AD431" t="n">
        <v>1</v>
      </c>
      <c r="AE431" t="n">
        <v>1</v>
      </c>
      <c r="AF431" t="n">
        <v>0</v>
      </c>
      <c r="AG431" t="n">
        <v>0</v>
      </c>
      <c r="AH431" t="n">
        <v>0</v>
      </c>
      <c r="AI431" t="n">
        <v>0</v>
      </c>
      <c r="AJ431" t="n">
        <v>1</v>
      </c>
      <c r="AK431" t="n">
        <v>1</v>
      </c>
      <c r="AL431" t="n">
        <v>0</v>
      </c>
      <c r="AM431" t="n">
        <v>0</v>
      </c>
      <c r="AN431" t="n">
        <v>0</v>
      </c>
      <c r="AO431" t="n">
        <v>0</v>
      </c>
      <c r="AP431" t="inlineStr">
        <is>
          <t>No</t>
        </is>
      </c>
      <c r="AQ431" t="inlineStr">
        <is>
          <t>Yes</t>
        </is>
      </c>
      <c r="AR431">
        <f>HYPERLINK("http://catalog.hathitrust.org/Record/000916566","HathiTrust Record")</f>
        <v/>
      </c>
      <c r="AS431">
        <f>HYPERLINK("https://creighton-primo.hosted.exlibrisgroup.com/primo-explore/search?tab=default_tab&amp;search_scope=EVERYTHING&amp;vid=01CRU&amp;lang=en_US&amp;offset=0&amp;query=any,contains,991001103519702656","Catalog Record")</f>
        <v/>
      </c>
      <c r="AT431">
        <f>HYPERLINK("http://www.worldcat.org/oclc/17675442","WorldCat Record")</f>
        <v/>
      </c>
      <c r="AU431" t="inlineStr">
        <is>
          <t>102413053:eng</t>
        </is>
      </c>
      <c r="AV431" t="inlineStr">
        <is>
          <t>17675442</t>
        </is>
      </c>
      <c r="AW431" t="inlineStr">
        <is>
          <t>991001103519702656</t>
        </is>
      </c>
      <c r="AX431" t="inlineStr">
        <is>
          <t>991001103519702656</t>
        </is>
      </c>
      <c r="AY431" t="inlineStr">
        <is>
          <t>2262295550002656</t>
        </is>
      </c>
      <c r="AZ431" t="inlineStr">
        <is>
          <t>BOOK</t>
        </is>
      </c>
      <c r="BB431" t="inlineStr">
        <is>
          <t>9780387700298</t>
        </is>
      </c>
      <c r="BC431" t="inlineStr">
        <is>
          <t>30001001610213</t>
        </is>
      </c>
      <c r="BD431" t="inlineStr">
        <is>
          <t>893287227</t>
        </is>
      </c>
    </row>
    <row r="432">
      <c r="A432" t="inlineStr">
        <is>
          <t>No</t>
        </is>
      </c>
      <c r="B432" t="inlineStr">
        <is>
          <t>QZ 380 T812e 1923</t>
        </is>
      </c>
      <c r="C432" t="inlineStr">
        <is>
          <t>0                      QZ 0380000T  812e        1923</t>
        </is>
      </c>
      <c r="D432" t="inlineStr">
        <is>
          <t>The elephant man and other reminiscences / by Sir Frederick Treves, bart ...</t>
        </is>
      </c>
      <c r="F432" t="inlineStr">
        <is>
          <t>No</t>
        </is>
      </c>
      <c r="G432" t="inlineStr">
        <is>
          <t>1</t>
        </is>
      </c>
      <c r="H432" t="inlineStr">
        <is>
          <t>No</t>
        </is>
      </c>
      <c r="I432" t="inlineStr">
        <is>
          <t>No</t>
        </is>
      </c>
      <c r="J432" t="inlineStr">
        <is>
          <t>0</t>
        </is>
      </c>
      <c r="K432" t="inlineStr">
        <is>
          <t>Treves, Frederick, 1853-1923.</t>
        </is>
      </c>
      <c r="L432" t="inlineStr">
        <is>
          <t>New York : Henry Holt, [1923].</t>
        </is>
      </c>
      <c r="M432" t="inlineStr">
        <is>
          <t>1923</t>
        </is>
      </c>
      <c r="O432" t="inlineStr">
        <is>
          <t>eng</t>
        </is>
      </c>
      <c r="P432" t="inlineStr">
        <is>
          <t>|||</t>
        </is>
      </c>
      <c r="R432" t="inlineStr">
        <is>
          <t xml:space="preserve">QZ </t>
        </is>
      </c>
      <c r="S432" t="n">
        <v>17</v>
      </c>
      <c r="T432" t="n">
        <v>17</v>
      </c>
      <c r="U432" t="inlineStr">
        <is>
          <t>2009-04-06</t>
        </is>
      </c>
      <c r="V432" t="inlineStr">
        <is>
          <t>2009-04-06</t>
        </is>
      </c>
      <c r="W432" t="inlineStr">
        <is>
          <t>1988-02-22</t>
        </is>
      </c>
      <c r="X432" t="inlineStr">
        <is>
          <t>1988-02-22</t>
        </is>
      </c>
      <c r="Y432" t="n">
        <v>92</v>
      </c>
      <c r="Z432" t="n">
        <v>50</v>
      </c>
      <c r="AA432" t="n">
        <v>132</v>
      </c>
      <c r="AB432" t="n">
        <v>2</v>
      </c>
      <c r="AC432" t="n">
        <v>2</v>
      </c>
      <c r="AD432" t="n">
        <v>1</v>
      </c>
      <c r="AE432" t="n">
        <v>4</v>
      </c>
      <c r="AF432" t="n">
        <v>0</v>
      </c>
      <c r="AG432" t="n">
        <v>1</v>
      </c>
      <c r="AH432" t="n">
        <v>0</v>
      </c>
      <c r="AI432" t="n">
        <v>1</v>
      </c>
      <c r="AJ432" t="n">
        <v>0</v>
      </c>
      <c r="AK432" t="n">
        <v>3</v>
      </c>
      <c r="AL432" t="n">
        <v>1</v>
      </c>
      <c r="AM432" t="n">
        <v>1</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HYPERLINK("https://creighton-primo.hosted.exlibrisgroup.com/primo-explore/search?tab=default_tab&amp;search_scope=EVERYTHING&amp;vid=01CRU&amp;lang=en_US&amp;offset=0&amp;query=any,contains,991000982489702656","Catalog Record")</f>
        <v/>
      </c>
      <c r="AT432">
        <f>HYPERLINK("http://www.worldcat.org/oclc/1546705","WorldCat Record")</f>
        <v/>
      </c>
      <c r="AU432" t="inlineStr">
        <is>
          <t>2451201:eng</t>
        </is>
      </c>
      <c r="AV432" t="inlineStr">
        <is>
          <t>1546705</t>
        </is>
      </c>
      <c r="AW432" t="inlineStr">
        <is>
          <t>991000982489702656</t>
        </is>
      </c>
      <c r="AX432" t="inlineStr">
        <is>
          <t>991000982489702656</t>
        </is>
      </c>
      <c r="AY432" t="inlineStr">
        <is>
          <t>2271463580002656</t>
        </is>
      </c>
      <c r="AZ432" t="inlineStr">
        <is>
          <t>BOOK</t>
        </is>
      </c>
      <c r="BC432" t="inlineStr">
        <is>
          <t>30001000214223</t>
        </is>
      </c>
      <c r="BD432" t="inlineStr">
        <is>
          <t>893727148</t>
        </is>
      </c>
    </row>
    <row r="433">
      <c r="A433" t="inlineStr">
        <is>
          <t>No</t>
        </is>
      </c>
      <c r="B433" t="inlineStr">
        <is>
          <t>QZ 380 W537L 2003</t>
        </is>
      </c>
      <c r="C433" t="inlineStr">
        <is>
          <t>0                      QZ 0380000W  537L        2003</t>
        </is>
      </c>
      <c r="D433" t="inlineStr">
        <is>
          <t>Local therapies for glioma : present status and future developments / edited by M. Westphal, J.-C. Tonn, and Z. Ram.</t>
        </is>
      </c>
      <c r="F433" t="inlineStr">
        <is>
          <t>No</t>
        </is>
      </c>
      <c r="G433" t="inlineStr">
        <is>
          <t>1</t>
        </is>
      </c>
      <c r="H433" t="inlineStr">
        <is>
          <t>No</t>
        </is>
      </c>
      <c r="I433" t="inlineStr">
        <is>
          <t>No</t>
        </is>
      </c>
      <c r="J433" t="inlineStr">
        <is>
          <t>0</t>
        </is>
      </c>
      <c r="L433" t="inlineStr">
        <is>
          <t>Wein ; New York : Springer, c2003.</t>
        </is>
      </c>
      <c r="M433" t="inlineStr">
        <is>
          <t>2003</t>
        </is>
      </c>
      <c r="O433" t="inlineStr">
        <is>
          <t>eng</t>
        </is>
      </c>
      <c r="P433" t="inlineStr">
        <is>
          <t xml:space="preserve">gw </t>
        </is>
      </c>
      <c r="Q433" t="inlineStr">
        <is>
          <t>Acta neurochirurgica. Supplement, 0065-1419 ; 88</t>
        </is>
      </c>
      <c r="R433" t="inlineStr">
        <is>
          <t xml:space="preserve">QZ </t>
        </is>
      </c>
      <c r="S433" t="n">
        <v>0</v>
      </c>
      <c r="T433" t="n">
        <v>0</v>
      </c>
      <c r="U433" t="inlineStr">
        <is>
          <t>2004-09-14</t>
        </is>
      </c>
      <c r="V433" t="inlineStr">
        <is>
          <t>2004-09-14</t>
        </is>
      </c>
      <c r="W433" t="inlineStr">
        <is>
          <t>2004-09-14</t>
        </is>
      </c>
      <c r="X433" t="inlineStr">
        <is>
          <t>2004-09-14</t>
        </is>
      </c>
      <c r="Y433" t="n">
        <v>46</v>
      </c>
      <c r="Z433" t="n">
        <v>28</v>
      </c>
      <c r="AA433" t="n">
        <v>56</v>
      </c>
      <c r="AB433" t="n">
        <v>1</v>
      </c>
      <c r="AC433" t="n">
        <v>1</v>
      </c>
      <c r="AD433" t="n">
        <v>0</v>
      </c>
      <c r="AE433" t="n">
        <v>2</v>
      </c>
      <c r="AF433" t="n">
        <v>0</v>
      </c>
      <c r="AG433" t="n">
        <v>1</v>
      </c>
      <c r="AH433" t="n">
        <v>0</v>
      </c>
      <c r="AI433" t="n">
        <v>1</v>
      </c>
      <c r="AJ433" t="n">
        <v>0</v>
      </c>
      <c r="AK433" t="n">
        <v>1</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HYPERLINK("https://creighton-primo.hosted.exlibrisgroup.com/primo-explore/search?tab=default_tab&amp;search_scope=EVERYTHING&amp;vid=01CRU&amp;lang=en_US&amp;offset=0&amp;query=any,contains,991000389129702656","Catalog Record")</f>
        <v/>
      </c>
      <c r="AT433">
        <f>HYPERLINK("http://www.worldcat.org/oclc/53268962","WorldCat Record")</f>
        <v/>
      </c>
      <c r="AU433" t="inlineStr">
        <is>
          <t>905481295:eng</t>
        </is>
      </c>
      <c r="AV433" t="inlineStr">
        <is>
          <t>53268962</t>
        </is>
      </c>
      <c r="AW433" t="inlineStr">
        <is>
          <t>991000389129702656</t>
        </is>
      </c>
      <c r="AX433" t="inlineStr">
        <is>
          <t>991000389129702656</t>
        </is>
      </c>
      <c r="AY433" t="inlineStr">
        <is>
          <t>2261054860002656</t>
        </is>
      </c>
      <c r="AZ433" t="inlineStr">
        <is>
          <t>BOOK</t>
        </is>
      </c>
      <c r="BB433" t="inlineStr">
        <is>
          <t>9783211403556</t>
        </is>
      </c>
      <c r="BC433" t="inlineStr">
        <is>
          <t>30001004921021</t>
        </is>
      </c>
      <c r="BD433" t="inlineStr">
        <is>
          <t>893817064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