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368"/>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RA1057.55 .D637 1993</t>
        </is>
      </c>
      <c r="C2" t="inlineStr">
        <is>
          <t>0                      RA 1057550D  637         1993</t>
        </is>
      </c>
      <c r="D2" t="inlineStr">
        <is>
          <t>DNA fingerprinting : state of the science / edited by S.D.J. Pena ... [et al.].</t>
        </is>
      </c>
      <c r="F2" t="inlineStr">
        <is>
          <t>No</t>
        </is>
      </c>
      <c r="G2" t="inlineStr">
        <is>
          <t>1</t>
        </is>
      </c>
      <c r="H2" t="inlineStr">
        <is>
          <t>No</t>
        </is>
      </c>
      <c r="I2" t="inlineStr">
        <is>
          <t>No</t>
        </is>
      </c>
      <c r="J2" t="inlineStr">
        <is>
          <t>0</t>
        </is>
      </c>
      <c r="L2" t="inlineStr">
        <is>
          <t>Basel ; Boston : Birkhäuser Verlag, c1993.</t>
        </is>
      </c>
      <c r="M2" t="inlineStr">
        <is>
          <t>1993</t>
        </is>
      </c>
      <c r="O2" t="inlineStr">
        <is>
          <t>eng</t>
        </is>
      </c>
      <c r="P2" t="inlineStr">
        <is>
          <t xml:space="preserve">sz </t>
        </is>
      </c>
      <c r="Q2" t="inlineStr">
        <is>
          <t>EXS ; 67</t>
        </is>
      </c>
      <c r="R2" t="inlineStr">
        <is>
          <t xml:space="preserve">RA </t>
        </is>
      </c>
      <c r="S2" t="n">
        <v>34</v>
      </c>
      <c r="T2" t="n">
        <v>34</v>
      </c>
      <c r="U2" t="inlineStr">
        <is>
          <t>2001-04-06</t>
        </is>
      </c>
      <c r="V2" t="inlineStr">
        <is>
          <t>2001-04-06</t>
        </is>
      </c>
      <c r="W2" t="inlineStr">
        <is>
          <t>1994-05-17</t>
        </is>
      </c>
      <c r="X2" t="inlineStr">
        <is>
          <t>1994-05-17</t>
        </is>
      </c>
      <c r="Y2" t="n">
        <v>223</v>
      </c>
      <c r="Z2" t="n">
        <v>135</v>
      </c>
      <c r="AA2" t="n">
        <v>155</v>
      </c>
      <c r="AB2" t="n">
        <v>1</v>
      </c>
      <c r="AC2" t="n">
        <v>1</v>
      </c>
      <c r="AD2" t="n">
        <v>2</v>
      </c>
      <c r="AE2" t="n">
        <v>2</v>
      </c>
      <c r="AF2" t="n">
        <v>1</v>
      </c>
      <c r="AG2" t="n">
        <v>1</v>
      </c>
      <c r="AH2" t="n">
        <v>1</v>
      </c>
      <c r="AI2" t="n">
        <v>1</v>
      </c>
      <c r="AJ2" t="n">
        <v>1</v>
      </c>
      <c r="AK2" t="n">
        <v>1</v>
      </c>
      <c r="AL2" t="n">
        <v>0</v>
      </c>
      <c r="AM2" t="n">
        <v>0</v>
      </c>
      <c r="AN2" t="n">
        <v>0</v>
      </c>
      <c r="AO2" t="n">
        <v>0</v>
      </c>
      <c r="AP2" t="inlineStr">
        <is>
          <t>No</t>
        </is>
      </c>
      <c r="AQ2" t="inlineStr">
        <is>
          <t>Yes</t>
        </is>
      </c>
      <c r="AR2">
        <f>HYPERLINK("http://catalog.hathitrust.org/Record/002952175","HathiTrust Record")</f>
        <v/>
      </c>
      <c r="AS2">
        <f>HYPERLINK("https://creighton-primo.hosted.exlibrisgroup.com/primo-explore/search?tab=default_tab&amp;search_scope=EVERYTHING&amp;vid=01CRU&amp;lang=en_US&amp;offset=0&amp;query=any,contains,991002192309702656","Catalog Record")</f>
        <v/>
      </c>
      <c r="AT2">
        <f>HYPERLINK("http://www.worldcat.org/oclc/28184829","WorldCat Record")</f>
        <v/>
      </c>
      <c r="AU2" t="inlineStr">
        <is>
          <t>889673628:eng</t>
        </is>
      </c>
      <c r="AV2" t="inlineStr">
        <is>
          <t>28184829</t>
        </is>
      </c>
      <c r="AW2" t="inlineStr">
        <is>
          <t>991002192309702656</t>
        </is>
      </c>
      <c r="AX2" t="inlineStr">
        <is>
          <t>991002192309702656</t>
        </is>
      </c>
      <c r="AY2" t="inlineStr">
        <is>
          <t>2267343030002656</t>
        </is>
      </c>
      <c r="AZ2" t="inlineStr">
        <is>
          <t>BOOK</t>
        </is>
      </c>
      <c r="BB2" t="inlineStr">
        <is>
          <t>9780817627812</t>
        </is>
      </c>
      <c r="BC2" t="inlineStr">
        <is>
          <t>32285001897114</t>
        </is>
      </c>
      <c r="BD2" t="inlineStr">
        <is>
          <t>893226561</t>
        </is>
      </c>
    </row>
    <row r="3">
      <c r="A3" t="inlineStr">
        <is>
          <t>No</t>
        </is>
      </c>
      <c r="B3" t="inlineStr">
        <is>
          <t>RA1063.3 .W36</t>
        </is>
      </c>
      <c r="C3" t="inlineStr">
        <is>
          <t>0                      RA 1063300W  36</t>
        </is>
      </c>
      <c r="D3" t="inlineStr">
        <is>
          <t>Brain death : ethical considerations / by Douglas N. Walton.</t>
        </is>
      </c>
      <c r="F3" t="inlineStr">
        <is>
          <t>No</t>
        </is>
      </c>
      <c r="G3" t="inlineStr">
        <is>
          <t>1</t>
        </is>
      </c>
      <c r="H3" t="inlineStr">
        <is>
          <t>Yes</t>
        </is>
      </c>
      <c r="I3" t="inlineStr">
        <is>
          <t>No</t>
        </is>
      </c>
      <c r="J3" t="inlineStr">
        <is>
          <t>0</t>
        </is>
      </c>
      <c r="K3" t="inlineStr">
        <is>
          <t>Walton, Douglas N.</t>
        </is>
      </c>
      <c r="L3" t="inlineStr">
        <is>
          <t>West Lafayette, Ind. : Purdue University, 1980.</t>
        </is>
      </c>
      <c r="M3" t="inlineStr">
        <is>
          <t>1980</t>
        </is>
      </c>
      <c r="O3" t="inlineStr">
        <is>
          <t>eng</t>
        </is>
      </c>
      <c r="P3" t="inlineStr">
        <is>
          <t>inu</t>
        </is>
      </c>
      <c r="Q3" t="inlineStr">
        <is>
          <t>Science and society ; v. 5</t>
        </is>
      </c>
      <c r="R3" t="inlineStr">
        <is>
          <t xml:space="preserve">RA </t>
        </is>
      </c>
      <c r="S3" t="n">
        <v>0</v>
      </c>
      <c r="T3" t="n">
        <v>8</v>
      </c>
      <c r="V3" t="inlineStr">
        <is>
          <t>2005-10-31</t>
        </is>
      </c>
      <c r="W3" t="inlineStr">
        <is>
          <t>1993-03-31</t>
        </is>
      </c>
      <c r="X3" t="inlineStr">
        <is>
          <t>1993-03-31</t>
        </is>
      </c>
      <c r="Y3" t="n">
        <v>467</v>
      </c>
      <c r="Z3" t="n">
        <v>425</v>
      </c>
      <c r="AA3" t="n">
        <v>431</v>
      </c>
      <c r="AB3" t="n">
        <v>3</v>
      </c>
      <c r="AC3" t="n">
        <v>3</v>
      </c>
      <c r="AD3" t="n">
        <v>26</v>
      </c>
      <c r="AE3" t="n">
        <v>26</v>
      </c>
      <c r="AF3" t="n">
        <v>7</v>
      </c>
      <c r="AG3" t="n">
        <v>7</v>
      </c>
      <c r="AH3" t="n">
        <v>4</v>
      </c>
      <c r="AI3" t="n">
        <v>4</v>
      </c>
      <c r="AJ3" t="n">
        <v>8</v>
      </c>
      <c r="AK3" t="n">
        <v>8</v>
      </c>
      <c r="AL3" t="n">
        <v>1</v>
      </c>
      <c r="AM3" t="n">
        <v>1</v>
      </c>
      <c r="AN3" t="n">
        <v>10</v>
      </c>
      <c r="AO3" t="n">
        <v>10</v>
      </c>
      <c r="AP3" t="inlineStr">
        <is>
          <t>No</t>
        </is>
      </c>
      <c r="AQ3" t="inlineStr">
        <is>
          <t>Yes</t>
        </is>
      </c>
      <c r="AR3">
        <f>HYPERLINK("http://catalog.hathitrust.org/Record/009913757","HathiTrust Record")</f>
        <v/>
      </c>
      <c r="AS3">
        <f>HYPERLINK("https://creighton-primo.hosted.exlibrisgroup.com/primo-explore/search?tab=default_tab&amp;search_scope=EVERYTHING&amp;vid=01CRU&amp;lang=en_US&amp;offset=0&amp;query=any,contains,991001806409702656","Catalog Record")</f>
        <v/>
      </c>
      <c r="AT3">
        <f>HYPERLINK("http://www.worldcat.org/oclc/6734793","WorldCat Record")</f>
        <v/>
      </c>
      <c r="AU3" t="inlineStr">
        <is>
          <t>906251010:eng</t>
        </is>
      </c>
      <c r="AV3" t="inlineStr">
        <is>
          <t>6734793</t>
        </is>
      </c>
      <c r="AW3" t="inlineStr">
        <is>
          <t>991001806409702656</t>
        </is>
      </c>
      <c r="AX3" t="inlineStr">
        <is>
          <t>991001806409702656</t>
        </is>
      </c>
      <c r="AY3" t="inlineStr">
        <is>
          <t>2268572260002656</t>
        </is>
      </c>
      <c r="AZ3" t="inlineStr">
        <is>
          <t>BOOK</t>
        </is>
      </c>
      <c r="BB3" t="inlineStr">
        <is>
          <t>9780931682124</t>
        </is>
      </c>
      <c r="BC3" t="inlineStr">
        <is>
          <t>32285001595387</t>
        </is>
      </c>
      <c r="BD3" t="inlineStr">
        <is>
          <t>893529245</t>
        </is>
      </c>
    </row>
    <row r="4">
      <c r="A4" t="inlineStr">
        <is>
          <t>No</t>
        </is>
      </c>
      <c r="B4" t="inlineStr">
        <is>
          <t>RA1063.45 .S47 1986</t>
        </is>
      </c>
      <c r="C4" t="inlineStr">
        <is>
          <t>0                      RA 1063450S  47          1986</t>
        </is>
      </c>
      <c r="D4" t="inlineStr">
        <is>
          <t>A manual of forensic entomology / by Kenneth G.V. Smith.</t>
        </is>
      </c>
      <c r="F4" t="inlineStr">
        <is>
          <t>No</t>
        </is>
      </c>
      <c r="G4" t="inlineStr">
        <is>
          <t>1</t>
        </is>
      </c>
      <c r="H4" t="inlineStr">
        <is>
          <t>No</t>
        </is>
      </c>
      <c r="I4" t="inlineStr">
        <is>
          <t>No</t>
        </is>
      </c>
      <c r="J4" t="inlineStr">
        <is>
          <t>0</t>
        </is>
      </c>
      <c r="K4" t="inlineStr">
        <is>
          <t>Smith, Kenneth G. V.</t>
        </is>
      </c>
      <c r="L4" t="inlineStr">
        <is>
          <t>Ithaca, N.Y. : Cornell University Press, 1986.</t>
        </is>
      </c>
      <c r="M4" t="inlineStr">
        <is>
          <t>1986</t>
        </is>
      </c>
      <c r="O4" t="inlineStr">
        <is>
          <t>eng</t>
        </is>
      </c>
      <c r="P4" t="inlineStr">
        <is>
          <t>nyu</t>
        </is>
      </c>
      <c r="R4" t="inlineStr">
        <is>
          <t xml:space="preserve">RA </t>
        </is>
      </c>
      <c r="S4" t="n">
        <v>15</v>
      </c>
      <c r="T4" t="n">
        <v>15</v>
      </c>
      <c r="U4" t="inlineStr">
        <is>
          <t>2005-01-26</t>
        </is>
      </c>
      <c r="V4" t="inlineStr">
        <is>
          <t>2005-01-26</t>
        </is>
      </c>
      <c r="W4" t="inlineStr">
        <is>
          <t>1993-01-21</t>
        </is>
      </c>
      <c r="X4" t="inlineStr">
        <is>
          <t>1993-01-21</t>
        </is>
      </c>
      <c r="Y4" t="n">
        <v>195</v>
      </c>
      <c r="Z4" t="n">
        <v>168</v>
      </c>
      <c r="AA4" t="n">
        <v>203</v>
      </c>
      <c r="AB4" t="n">
        <v>4</v>
      </c>
      <c r="AC4" t="n">
        <v>4</v>
      </c>
      <c r="AD4" t="n">
        <v>8</v>
      </c>
      <c r="AE4" t="n">
        <v>8</v>
      </c>
      <c r="AF4" t="n">
        <v>2</v>
      </c>
      <c r="AG4" t="n">
        <v>2</v>
      </c>
      <c r="AH4" t="n">
        <v>0</v>
      </c>
      <c r="AI4" t="n">
        <v>0</v>
      </c>
      <c r="AJ4" t="n">
        <v>2</v>
      </c>
      <c r="AK4" t="n">
        <v>2</v>
      </c>
      <c r="AL4" t="n">
        <v>3</v>
      </c>
      <c r="AM4" t="n">
        <v>3</v>
      </c>
      <c r="AN4" t="n">
        <v>1</v>
      </c>
      <c r="AO4" t="n">
        <v>1</v>
      </c>
      <c r="AP4" t="inlineStr">
        <is>
          <t>No</t>
        </is>
      </c>
      <c r="AQ4" t="inlineStr">
        <is>
          <t>No</t>
        </is>
      </c>
      <c r="AS4">
        <f>HYPERLINK("https://creighton-primo.hosted.exlibrisgroup.com/primo-explore/search?tab=default_tab&amp;search_scope=EVERYTHING&amp;vid=01CRU&amp;lang=en_US&amp;offset=0&amp;query=any,contains,991000870439702656","Catalog Record")</f>
        <v/>
      </c>
      <c r="AT4">
        <f>HYPERLINK("http://www.worldcat.org/oclc/13792217","WorldCat Record")</f>
        <v/>
      </c>
      <c r="AU4" t="inlineStr">
        <is>
          <t>7841950:eng</t>
        </is>
      </c>
      <c r="AV4" t="inlineStr">
        <is>
          <t>13792217</t>
        </is>
      </c>
      <c r="AW4" t="inlineStr">
        <is>
          <t>991000870439702656</t>
        </is>
      </c>
      <c r="AX4" t="inlineStr">
        <is>
          <t>991000870439702656</t>
        </is>
      </c>
      <c r="AY4" t="inlineStr">
        <is>
          <t>2272732490002656</t>
        </is>
      </c>
      <c r="AZ4" t="inlineStr">
        <is>
          <t>BOOK</t>
        </is>
      </c>
      <c r="BB4" t="inlineStr">
        <is>
          <t>9780801419270</t>
        </is>
      </c>
      <c r="BC4" t="inlineStr">
        <is>
          <t>32285001447712</t>
        </is>
      </c>
      <c r="BD4" t="inlineStr">
        <is>
          <t>893897293</t>
        </is>
      </c>
    </row>
    <row r="5">
      <c r="A5" t="inlineStr">
        <is>
          <t>No</t>
        </is>
      </c>
      <c r="B5" t="inlineStr">
        <is>
          <t>RA1085 .H37 1978</t>
        </is>
      </c>
      <c r="C5" t="inlineStr">
        <is>
          <t>0                      RA 1085000H  37          1978</t>
        </is>
      </c>
      <c r="D5" t="inlineStr">
        <is>
          <t>Fire from heaven : a study of spontaneous combustion in human beings / Michael Harrison.</t>
        </is>
      </c>
      <c r="F5" t="inlineStr">
        <is>
          <t>No</t>
        </is>
      </c>
      <c r="G5" t="inlineStr">
        <is>
          <t>1</t>
        </is>
      </c>
      <c r="H5" t="inlineStr">
        <is>
          <t>No</t>
        </is>
      </c>
      <c r="I5" t="inlineStr">
        <is>
          <t>No</t>
        </is>
      </c>
      <c r="J5" t="inlineStr">
        <is>
          <t>0</t>
        </is>
      </c>
      <c r="K5" t="inlineStr">
        <is>
          <t>Harrison, Michael, 1907-1991</t>
        </is>
      </c>
      <c r="L5" t="inlineStr">
        <is>
          <t>New York : Methuen, 1978.</t>
        </is>
      </c>
      <c r="M5" t="inlineStr">
        <is>
          <t>1978</t>
        </is>
      </c>
      <c r="O5" t="inlineStr">
        <is>
          <t>eng</t>
        </is>
      </c>
      <c r="P5" t="inlineStr">
        <is>
          <t>nyu</t>
        </is>
      </c>
      <c r="R5" t="inlineStr">
        <is>
          <t xml:space="preserve">RA </t>
        </is>
      </c>
      <c r="S5" t="n">
        <v>5</v>
      </c>
      <c r="T5" t="n">
        <v>5</v>
      </c>
      <c r="U5" t="inlineStr">
        <is>
          <t>2005-02-08</t>
        </is>
      </c>
      <c r="V5" t="inlineStr">
        <is>
          <t>2005-02-08</t>
        </is>
      </c>
      <c r="W5" t="inlineStr">
        <is>
          <t>1992-11-10</t>
        </is>
      </c>
      <c r="X5" t="inlineStr">
        <is>
          <t>1992-11-10</t>
        </is>
      </c>
      <c r="Y5" t="n">
        <v>217</v>
      </c>
      <c r="Z5" t="n">
        <v>206</v>
      </c>
      <c r="AA5" t="n">
        <v>221</v>
      </c>
      <c r="AB5" t="n">
        <v>2</v>
      </c>
      <c r="AC5" t="n">
        <v>2</v>
      </c>
      <c r="AD5" t="n">
        <v>0</v>
      </c>
      <c r="AE5" t="n">
        <v>0</v>
      </c>
      <c r="AF5" t="n">
        <v>0</v>
      </c>
      <c r="AG5" t="n">
        <v>0</v>
      </c>
      <c r="AH5" t="n">
        <v>0</v>
      </c>
      <c r="AI5" t="n">
        <v>0</v>
      </c>
      <c r="AJ5" t="n">
        <v>0</v>
      </c>
      <c r="AK5" t="n">
        <v>0</v>
      </c>
      <c r="AL5" t="n">
        <v>0</v>
      </c>
      <c r="AM5" t="n">
        <v>0</v>
      </c>
      <c r="AN5" t="n">
        <v>0</v>
      </c>
      <c r="AO5" t="n">
        <v>0</v>
      </c>
      <c r="AP5" t="inlineStr">
        <is>
          <t>No</t>
        </is>
      </c>
      <c r="AQ5" t="inlineStr">
        <is>
          <t>No</t>
        </is>
      </c>
      <c r="AS5">
        <f>HYPERLINK("https://creighton-primo.hosted.exlibrisgroup.com/primo-explore/search?tab=default_tab&amp;search_scope=EVERYTHING&amp;vid=01CRU&amp;lang=en_US&amp;offset=0&amp;query=any,contains,991004480359702656","Catalog Record")</f>
        <v/>
      </c>
      <c r="AT5">
        <f>HYPERLINK("http://www.worldcat.org/oclc/3627263","WorldCat Record")</f>
        <v/>
      </c>
      <c r="AU5" t="inlineStr">
        <is>
          <t>3943948171:eng</t>
        </is>
      </c>
      <c r="AV5" t="inlineStr">
        <is>
          <t>3627263</t>
        </is>
      </c>
      <c r="AW5" t="inlineStr">
        <is>
          <t>991004480359702656</t>
        </is>
      </c>
      <c r="AX5" t="inlineStr">
        <is>
          <t>991004480359702656</t>
        </is>
      </c>
      <c r="AY5" t="inlineStr">
        <is>
          <t>2269317110002656</t>
        </is>
      </c>
      <c r="AZ5" t="inlineStr">
        <is>
          <t>BOOK</t>
        </is>
      </c>
      <c r="BB5" t="inlineStr">
        <is>
          <t>9780458933303</t>
        </is>
      </c>
      <c r="BC5" t="inlineStr">
        <is>
          <t>32285001383933</t>
        </is>
      </c>
      <c r="BD5" t="inlineStr">
        <is>
          <t>893532437</t>
        </is>
      </c>
    </row>
    <row r="6">
      <c r="A6" t="inlineStr">
        <is>
          <t>No</t>
        </is>
      </c>
      <c r="B6" t="inlineStr">
        <is>
          <t>RA1122.5 .O18</t>
        </is>
      </c>
      <c r="C6" t="inlineStr">
        <is>
          <t>0                      RA 1122500O  18</t>
        </is>
      </c>
      <c r="D6" t="inlineStr">
        <is>
          <t>The battered child : recognition in primary care / Neil O'Doherty.</t>
        </is>
      </c>
      <c r="F6" t="inlineStr">
        <is>
          <t>No</t>
        </is>
      </c>
      <c r="G6" t="inlineStr">
        <is>
          <t>1</t>
        </is>
      </c>
      <c r="H6" t="inlineStr">
        <is>
          <t>No</t>
        </is>
      </c>
      <c r="I6" t="inlineStr">
        <is>
          <t>No</t>
        </is>
      </c>
      <c r="J6" t="inlineStr">
        <is>
          <t>0</t>
        </is>
      </c>
      <c r="K6" t="inlineStr">
        <is>
          <t>O'Doherty, Neil.</t>
        </is>
      </c>
      <c r="L6" t="inlineStr">
        <is>
          <t>London : Baillière Tindall, 1982.</t>
        </is>
      </c>
      <c r="M6" t="inlineStr">
        <is>
          <t>1982</t>
        </is>
      </c>
      <c r="O6" t="inlineStr">
        <is>
          <t>eng</t>
        </is>
      </c>
      <c r="P6" t="inlineStr">
        <is>
          <t>xxk</t>
        </is>
      </c>
      <c r="R6" t="inlineStr">
        <is>
          <t xml:space="preserve">RA </t>
        </is>
      </c>
      <c r="S6" t="n">
        <v>5</v>
      </c>
      <c r="T6" t="n">
        <v>5</v>
      </c>
      <c r="U6" t="inlineStr">
        <is>
          <t>1996-04-27</t>
        </is>
      </c>
      <c r="V6" t="inlineStr">
        <is>
          <t>1996-04-27</t>
        </is>
      </c>
      <c r="W6" t="inlineStr">
        <is>
          <t>1991-12-09</t>
        </is>
      </c>
      <c r="X6" t="inlineStr">
        <is>
          <t>1991-12-09</t>
        </is>
      </c>
      <c r="Y6" t="n">
        <v>194</v>
      </c>
      <c r="Z6" t="n">
        <v>117</v>
      </c>
      <c r="AA6" t="n">
        <v>117</v>
      </c>
      <c r="AB6" t="n">
        <v>1</v>
      </c>
      <c r="AC6" t="n">
        <v>1</v>
      </c>
      <c r="AD6" t="n">
        <v>1</v>
      </c>
      <c r="AE6" t="n">
        <v>1</v>
      </c>
      <c r="AF6" t="n">
        <v>1</v>
      </c>
      <c r="AG6" t="n">
        <v>1</v>
      </c>
      <c r="AH6" t="n">
        <v>0</v>
      </c>
      <c r="AI6" t="n">
        <v>0</v>
      </c>
      <c r="AJ6" t="n">
        <v>0</v>
      </c>
      <c r="AK6" t="n">
        <v>0</v>
      </c>
      <c r="AL6" t="n">
        <v>0</v>
      </c>
      <c r="AM6" t="n">
        <v>0</v>
      </c>
      <c r="AN6" t="n">
        <v>0</v>
      </c>
      <c r="AO6" t="n">
        <v>0</v>
      </c>
      <c r="AP6" t="inlineStr">
        <is>
          <t>No</t>
        </is>
      </c>
      <c r="AQ6" t="inlineStr">
        <is>
          <t>No</t>
        </is>
      </c>
      <c r="AS6">
        <f>HYPERLINK("https://creighton-primo.hosted.exlibrisgroup.com/primo-explore/search?tab=default_tab&amp;search_scope=EVERYTHING&amp;vid=01CRU&amp;lang=en_US&amp;offset=0&amp;query=any,contains,991005250259702656","Catalog Record")</f>
        <v/>
      </c>
      <c r="AT6">
        <f>HYPERLINK("http://www.worldcat.org/oclc/8764766","WorldCat Record")</f>
        <v/>
      </c>
      <c r="AU6" t="inlineStr">
        <is>
          <t>375543692:eng</t>
        </is>
      </c>
      <c r="AV6" t="inlineStr">
        <is>
          <t>8764766</t>
        </is>
      </c>
      <c r="AW6" t="inlineStr">
        <is>
          <t>991005250259702656</t>
        </is>
      </c>
      <c r="AX6" t="inlineStr">
        <is>
          <t>991005250259702656</t>
        </is>
      </c>
      <c r="AY6" t="inlineStr">
        <is>
          <t>2262479660002656</t>
        </is>
      </c>
      <c r="AZ6" t="inlineStr">
        <is>
          <t>BOOK</t>
        </is>
      </c>
      <c r="BB6" t="inlineStr">
        <is>
          <t>9780702007347</t>
        </is>
      </c>
      <c r="BC6" t="inlineStr">
        <is>
          <t>32285000872563</t>
        </is>
      </c>
      <c r="BD6" t="inlineStr">
        <is>
          <t>893338806</t>
        </is>
      </c>
    </row>
    <row r="7">
      <c r="A7" t="inlineStr">
        <is>
          <t>No</t>
        </is>
      </c>
      <c r="B7" t="inlineStr">
        <is>
          <t>RA1122.8 .B73 1985</t>
        </is>
      </c>
      <c r="C7" t="inlineStr">
        <is>
          <t>0                      RA 1122800B  73          1985</t>
        </is>
      </c>
      <c r="D7" t="inlineStr">
        <is>
          <t>The Breaking of bodies and minds : torture, psychiatric abuse, and the health professions / edited by Eric Stover and Elena O. Nightingale.</t>
        </is>
      </c>
      <c r="F7" t="inlineStr">
        <is>
          <t>No</t>
        </is>
      </c>
      <c r="G7" t="inlineStr">
        <is>
          <t>1</t>
        </is>
      </c>
      <c r="H7" t="inlineStr">
        <is>
          <t>Yes</t>
        </is>
      </c>
      <c r="I7" t="inlineStr">
        <is>
          <t>No</t>
        </is>
      </c>
      <c r="J7" t="inlineStr">
        <is>
          <t>0</t>
        </is>
      </c>
      <c r="L7" t="inlineStr">
        <is>
          <t>New York : Freeman, c1985.</t>
        </is>
      </c>
      <c r="M7" t="inlineStr">
        <is>
          <t>1985</t>
        </is>
      </c>
      <c r="O7" t="inlineStr">
        <is>
          <t>eng</t>
        </is>
      </c>
      <c r="P7" t="inlineStr">
        <is>
          <t>nyu</t>
        </is>
      </c>
      <c r="R7" t="inlineStr">
        <is>
          <t xml:space="preserve">RA </t>
        </is>
      </c>
      <c r="S7" t="n">
        <v>5</v>
      </c>
      <c r="T7" t="n">
        <v>5</v>
      </c>
      <c r="U7" t="inlineStr">
        <is>
          <t>1996-05-13</t>
        </is>
      </c>
      <c r="V7" t="inlineStr">
        <is>
          <t>1996-05-13</t>
        </is>
      </c>
      <c r="W7" t="inlineStr">
        <is>
          <t>1991-08-01</t>
        </is>
      </c>
      <c r="X7" t="inlineStr">
        <is>
          <t>1991-08-01</t>
        </is>
      </c>
      <c r="Y7" t="n">
        <v>596</v>
      </c>
      <c r="Z7" t="n">
        <v>476</v>
      </c>
      <c r="AA7" t="n">
        <v>484</v>
      </c>
      <c r="AB7" t="n">
        <v>4</v>
      </c>
      <c r="AC7" t="n">
        <v>4</v>
      </c>
      <c r="AD7" t="n">
        <v>18</v>
      </c>
      <c r="AE7" t="n">
        <v>18</v>
      </c>
      <c r="AF7" t="n">
        <v>5</v>
      </c>
      <c r="AG7" t="n">
        <v>5</v>
      </c>
      <c r="AH7" t="n">
        <v>3</v>
      </c>
      <c r="AI7" t="n">
        <v>3</v>
      </c>
      <c r="AJ7" t="n">
        <v>11</v>
      </c>
      <c r="AK7" t="n">
        <v>11</v>
      </c>
      <c r="AL7" t="n">
        <v>1</v>
      </c>
      <c r="AM7" t="n">
        <v>1</v>
      </c>
      <c r="AN7" t="n">
        <v>4</v>
      </c>
      <c r="AO7" t="n">
        <v>4</v>
      </c>
      <c r="AP7" t="inlineStr">
        <is>
          <t>No</t>
        </is>
      </c>
      <c r="AQ7" t="inlineStr">
        <is>
          <t>No</t>
        </is>
      </c>
      <c r="AS7">
        <f>HYPERLINK("https://creighton-primo.hosted.exlibrisgroup.com/primo-explore/search?tab=default_tab&amp;search_scope=EVERYTHING&amp;vid=01CRU&amp;lang=en_US&amp;offset=0&amp;query=any,contains,991000601119702656","Catalog Record")</f>
        <v/>
      </c>
      <c r="AT7">
        <f>HYPERLINK("http://www.worldcat.org/oclc/11841381","WorldCat Record")</f>
        <v/>
      </c>
      <c r="AU7" t="inlineStr">
        <is>
          <t>889423523:eng</t>
        </is>
      </c>
      <c r="AV7" t="inlineStr">
        <is>
          <t>11841381</t>
        </is>
      </c>
      <c r="AW7" t="inlineStr">
        <is>
          <t>991000601119702656</t>
        </is>
      </c>
      <c r="AX7" t="inlineStr">
        <is>
          <t>991000601119702656</t>
        </is>
      </c>
      <c r="AY7" t="inlineStr">
        <is>
          <t>2266175910002656</t>
        </is>
      </c>
      <c r="AZ7" t="inlineStr">
        <is>
          <t>BOOK</t>
        </is>
      </c>
      <c r="BB7" t="inlineStr">
        <is>
          <t>9780716717331</t>
        </is>
      </c>
      <c r="BC7" t="inlineStr">
        <is>
          <t>32285000663798</t>
        </is>
      </c>
      <c r="BD7" t="inlineStr">
        <is>
          <t>893784371</t>
        </is>
      </c>
    </row>
    <row r="8">
      <c r="A8" t="inlineStr">
        <is>
          <t>No</t>
        </is>
      </c>
      <c r="B8" t="inlineStr">
        <is>
          <t>RA1141 .G74 1988</t>
        </is>
      </c>
      <c r="C8" t="inlineStr">
        <is>
          <t>0                      RA 1141000G  74          1988</t>
        </is>
      </c>
      <c r="D8" t="inlineStr">
        <is>
          <t>Rape : the evidential examination and management of the adult female victim / William M. Green.</t>
        </is>
      </c>
      <c r="F8" t="inlineStr">
        <is>
          <t>No</t>
        </is>
      </c>
      <c r="G8" t="inlineStr">
        <is>
          <t>1</t>
        </is>
      </c>
      <c r="H8" t="inlineStr">
        <is>
          <t>No</t>
        </is>
      </c>
      <c r="I8" t="inlineStr">
        <is>
          <t>No</t>
        </is>
      </c>
      <c r="J8" t="inlineStr">
        <is>
          <t>0</t>
        </is>
      </c>
      <c r="K8" t="inlineStr">
        <is>
          <t>Green, William M.</t>
        </is>
      </c>
      <c r="L8" t="inlineStr">
        <is>
          <t>Lexington, Mass. : Lexington Books, c1988.</t>
        </is>
      </c>
      <c r="M8" t="inlineStr">
        <is>
          <t>1988</t>
        </is>
      </c>
      <c r="O8" t="inlineStr">
        <is>
          <t>eng</t>
        </is>
      </c>
      <c r="P8" t="inlineStr">
        <is>
          <t>mau</t>
        </is>
      </c>
      <c r="R8" t="inlineStr">
        <is>
          <t xml:space="preserve">RA </t>
        </is>
      </c>
      <c r="S8" t="n">
        <v>8</v>
      </c>
      <c r="T8" t="n">
        <v>8</v>
      </c>
      <c r="U8" t="inlineStr">
        <is>
          <t>1996-10-29</t>
        </is>
      </c>
      <c r="V8" t="inlineStr">
        <is>
          <t>1996-10-29</t>
        </is>
      </c>
      <c r="W8" t="inlineStr">
        <is>
          <t>1992-03-06</t>
        </is>
      </c>
      <c r="X8" t="inlineStr">
        <is>
          <t>1992-03-06</t>
        </is>
      </c>
      <c r="Y8" t="n">
        <v>399</v>
      </c>
      <c r="Z8" t="n">
        <v>356</v>
      </c>
      <c r="AA8" t="n">
        <v>363</v>
      </c>
      <c r="AB8" t="n">
        <v>5</v>
      </c>
      <c r="AC8" t="n">
        <v>5</v>
      </c>
      <c r="AD8" t="n">
        <v>17</v>
      </c>
      <c r="AE8" t="n">
        <v>17</v>
      </c>
      <c r="AF8" t="n">
        <v>2</v>
      </c>
      <c r="AG8" t="n">
        <v>2</v>
      </c>
      <c r="AH8" t="n">
        <v>2</v>
      </c>
      <c r="AI8" t="n">
        <v>2</v>
      </c>
      <c r="AJ8" t="n">
        <v>4</v>
      </c>
      <c r="AK8" t="n">
        <v>4</v>
      </c>
      <c r="AL8" t="n">
        <v>4</v>
      </c>
      <c r="AM8" t="n">
        <v>4</v>
      </c>
      <c r="AN8" t="n">
        <v>7</v>
      </c>
      <c r="AO8" t="n">
        <v>7</v>
      </c>
      <c r="AP8" t="inlineStr">
        <is>
          <t>No</t>
        </is>
      </c>
      <c r="AQ8" t="inlineStr">
        <is>
          <t>Yes</t>
        </is>
      </c>
      <c r="AR8">
        <f>HYPERLINK("http://catalog.hathitrust.org/Record/001545292","HathiTrust Record")</f>
        <v/>
      </c>
      <c r="AS8">
        <f>HYPERLINK("https://creighton-primo.hosted.exlibrisgroup.com/primo-explore/search?tab=default_tab&amp;search_scope=EVERYTHING&amp;vid=01CRU&amp;lang=en_US&amp;offset=0&amp;query=any,contains,991001302749702656","Catalog Record")</f>
        <v/>
      </c>
      <c r="AT8">
        <f>HYPERLINK("http://www.worldcat.org/oclc/18072033","WorldCat Record")</f>
        <v/>
      </c>
      <c r="AU8" t="inlineStr">
        <is>
          <t>196536782:eng</t>
        </is>
      </c>
      <c r="AV8" t="inlineStr">
        <is>
          <t>18072033</t>
        </is>
      </c>
      <c r="AW8" t="inlineStr">
        <is>
          <t>991001302749702656</t>
        </is>
      </c>
      <c r="AX8" t="inlineStr">
        <is>
          <t>991001302749702656</t>
        </is>
      </c>
      <c r="AY8" t="inlineStr">
        <is>
          <t>2267065660002656</t>
        </is>
      </c>
      <c r="AZ8" t="inlineStr">
        <is>
          <t>BOOK</t>
        </is>
      </c>
      <c r="BB8" t="inlineStr">
        <is>
          <t>9780669194128</t>
        </is>
      </c>
      <c r="BC8" t="inlineStr">
        <is>
          <t>32285000938943</t>
        </is>
      </c>
      <c r="BD8" t="inlineStr">
        <is>
          <t>893797472</t>
        </is>
      </c>
    </row>
    <row r="9">
      <c r="A9" t="inlineStr">
        <is>
          <t>No</t>
        </is>
      </c>
      <c r="B9" t="inlineStr">
        <is>
          <t>RA1148 .P79 1986</t>
        </is>
      </c>
      <c r="C9" t="inlineStr">
        <is>
          <t>0                      RA 1148000P  79          1986</t>
        </is>
      </c>
      <c r="D9" t="inlineStr">
        <is>
          <t>Psychology in product liability and personal injury litigation / edited by Martin I. Kurke, Robert G. Meyer.</t>
        </is>
      </c>
      <c r="F9" t="inlineStr">
        <is>
          <t>No</t>
        </is>
      </c>
      <c r="G9" t="inlineStr">
        <is>
          <t>1</t>
        </is>
      </c>
      <c r="H9" t="inlineStr">
        <is>
          <t>No</t>
        </is>
      </c>
      <c r="I9" t="inlineStr">
        <is>
          <t>No</t>
        </is>
      </c>
      <c r="J9" t="inlineStr">
        <is>
          <t>0</t>
        </is>
      </c>
      <c r="L9" t="inlineStr">
        <is>
          <t>Washington : Hemisphere Pub. Corp., c1986.</t>
        </is>
      </c>
      <c r="M9" t="inlineStr">
        <is>
          <t>1986</t>
        </is>
      </c>
      <c r="O9" t="inlineStr">
        <is>
          <t>eng</t>
        </is>
      </c>
      <c r="P9" t="inlineStr">
        <is>
          <t>dcu</t>
        </is>
      </c>
      <c r="R9" t="inlineStr">
        <is>
          <t xml:space="preserve">RA </t>
        </is>
      </c>
      <c r="S9" t="n">
        <v>1</v>
      </c>
      <c r="T9" t="n">
        <v>1</v>
      </c>
      <c r="U9" t="inlineStr">
        <is>
          <t>1993-11-02</t>
        </is>
      </c>
      <c r="V9" t="inlineStr">
        <is>
          <t>1993-11-02</t>
        </is>
      </c>
      <c r="W9" t="inlineStr">
        <is>
          <t>1993-03-17</t>
        </is>
      </c>
      <c r="X9" t="inlineStr">
        <is>
          <t>1993-03-17</t>
        </is>
      </c>
      <c r="Y9" t="n">
        <v>184</v>
      </c>
      <c r="Z9" t="n">
        <v>170</v>
      </c>
      <c r="AA9" t="n">
        <v>171</v>
      </c>
      <c r="AB9" t="n">
        <v>1</v>
      </c>
      <c r="AC9" t="n">
        <v>1</v>
      </c>
      <c r="AD9" t="n">
        <v>11</v>
      </c>
      <c r="AE9" t="n">
        <v>11</v>
      </c>
      <c r="AF9" t="n">
        <v>1</v>
      </c>
      <c r="AG9" t="n">
        <v>1</v>
      </c>
      <c r="AH9" t="n">
        <v>1</v>
      </c>
      <c r="AI9" t="n">
        <v>1</v>
      </c>
      <c r="AJ9" t="n">
        <v>3</v>
      </c>
      <c r="AK9" t="n">
        <v>3</v>
      </c>
      <c r="AL9" t="n">
        <v>0</v>
      </c>
      <c r="AM9" t="n">
        <v>0</v>
      </c>
      <c r="AN9" t="n">
        <v>7</v>
      </c>
      <c r="AO9" t="n">
        <v>7</v>
      </c>
      <c r="AP9" t="inlineStr">
        <is>
          <t>No</t>
        </is>
      </c>
      <c r="AQ9" t="inlineStr">
        <is>
          <t>No</t>
        </is>
      </c>
      <c r="AS9">
        <f>HYPERLINK("https://creighton-primo.hosted.exlibrisgroup.com/primo-explore/search?tab=default_tab&amp;search_scope=EVERYTHING&amp;vid=01CRU&amp;lang=en_US&amp;offset=0&amp;query=any,contains,991000766339702656","Catalog Record")</f>
        <v/>
      </c>
      <c r="AT9">
        <f>HYPERLINK("http://www.worldcat.org/oclc/13003250","WorldCat Record")</f>
        <v/>
      </c>
      <c r="AU9" t="inlineStr">
        <is>
          <t>351593423:eng</t>
        </is>
      </c>
      <c r="AV9" t="inlineStr">
        <is>
          <t>13003250</t>
        </is>
      </c>
      <c r="AW9" t="inlineStr">
        <is>
          <t>991000766339702656</t>
        </is>
      </c>
      <c r="AX9" t="inlineStr">
        <is>
          <t>991000766339702656</t>
        </is>
      </c>
      <c r="AY9" t="inlineStr">
        <is>
          <t>2265957260002656</t>
        </is>
      </c>
      <c r="AZ9" t="inlineStr">
        <is>
          <t>BOOK</t>
        </is>
      </c>
      <c r="BB9" t="inlineStr">
        <is>
          <t>9780891164678</t>
        </is>
      </c>
      <c r="BC9" t="inlineStr">
        <is>
          <t>32285001588424</t>
        </is>
      </c>
      <c r="BD9" t="inlineStr">
        <is>
          <t>893878334</t>
        </is>
      </c>
    </row>
    <row r="10">
      <c r="A10" t="inlineStr">
        <is>
          <t>No</t>
        </is>
      </c>
      <c r="B10" t="inlineStr">
        <is>
          <t>RA1148 .R64</t>
        </is>
      </c>
      <c r="C10" t="inlineStr">
        <is>
          <t>0                      RA 1148000R  64</t>
        </is>
      </c>
      <c r="D10" t="inlineStr">
        <is>
          <t>The Role of the forensic psychologist / edited by Gerald Cooke ; with a foreword by David L. Bazelon.</t>
        </is>
      </c>
      <c r="F10" t="inlineStr">
        <is>
          <t>No</t>
        </is>
      </c>
      <c r="G10" t="inlineStr">
        <is>
          <t>1</t>
        </is>
      </c>
      <c r="H10" t="inlineStr">
        <is>
          <t>No</t>
        </is>
      </c>
      <c r="I10" t="inlineStr">
        <is>
          <t>No</t>
        </is>
      </c>
      <c r="J10" t="inlineStr">
        <is>
          <t>0</t>
        </is>
      </c>
      <c r="L10" t="inlineStr">
        <is>
          <t>Springfield, Ill. : Thomas, c1980.</t>
        </is>
      </c>
      <c r="M10" t="inlineStr">
        <is>
          <t>1980</t>
        </is>
      </c>
      <c r="O10" t="inlineStr">
        <is>
          <t>eng</t>
        </is>
      </c>
      <c r="P10" t="inlineStr">
        <is>
          <t>ilu</t>
        </is>
      </c>
      <c r="R10" t="inlineStr">
        <is>
          <t xml:space="preserve">RA </t>
        </is>
      </c>
      <c r="S10" t="n">
        <v>6</v>
      </c>
      <c r="T10" t="n">
        <v>6</v>
      </c>
      <c r="U10" t="inlineStr">
        <is>
          <t>2002-05-23</t>
        </is>
      </c>
      <c r="V10" t="inlineStr">
        <is>
          <t>2002-05-23</t>
        </is>
      </c>
      <c r="W10" t="inlineStr">
        <is>
          <t>1991-12-09</t>
        </is>
      </c>
      <c r="X10" t="inlineStr">
        <is>
          <t>1991-12-09</t>
        </is>
      </c>
      <c r="Y10" t="n">
        <v>319</v>
      </c>
      <c r="Z10" t="n">
        <v>272</v>
      </c>
      <c r="AA10" t="n">
        <v>279</v>
      </c>
      <c r="AB10" t="n">
        <v>2</v>
      </c>
      <c r="AC10" t="n">
        <v>2</v>
      </c>
      <c r="AD10" t="n">
        <v>10</v>
      </c>
      <c r="AE10" t="n">
        <v>10</v>
      </c>
      <c r="AF10" t="n">
        <v>1</v>
      </c>
      <c r="AG10" t="n">
        <v>1</v>
      </c>
      <c r="AH10" t="n">
        <v>1</v>
      </c>
      <c r="AI10" t="n">
        <v>1</v>
      </c>
      <c r="AJ10" t="n">
        <v>2</v>
      </c>
      <c r="AK10" t="n">
        <v>2</v>
      </c>
      <c r="AL10" t="n">
        <v>1</v>
      </c>
      <c r="AM10" t="n">
        <v>1</v>
      </c>
      <c r="AN10" t="n">
        <v>6</v>
      </c>
      <c r="AO10" t="n">
        <v>6</v>
      </c>
      <c r="AP10" t="inlineStr">
        <is>
          <t>No</t>
        </is>
      </c>
      <c r="AQ10" t="inlineStr">
        <is>
          <t>No</t>
        </is>
      </c>
      <c r="AS10">
        <f>HYPERLINK("https://creighton-primo.hosted.exlibrisgroup.com/primo-explore/search?tab=default_tab&amp;search_scope=EVERYTHING&amp;vid=01CRU&amp;lang=en_US&amp;offset=0&amp;query=any,contains,991004694699702656","Catalog Record")</f>
        <v/>
      </c>
      <c r="AT10">
        <f>HYPERLINK("http://www.worldcat.org/oclc/4638486","WorldCat Record")</f>
        <v/>
      </c>
      <c r="AU10" t="inlineStr">
        <is>
          <t>472035:eng</t>
        </is>
      </c>
      <c r="AV10" t="inlineStr">
        <is>
          <t>4638486</t>
        </is>
      </c>
      <c r="AW10" t="inlineStr">
        <is>
          <t>991004694699702656</t>
        </is>
      </c>
      <c r="AX10" t="inlineStr">
        <is>
          <t>991004694699702656</t>
        </is>
      </c>
      <c r="AY10" t="inlineStr">
        <is>
          <t>2255795320002656</t>
        </is>
      </c>
      <c r="AZ10" t="inlineStr">
        <is>
          <t>BOOK</t>
        </is>
      </c>
      <c r="BB10" t="inlineStr">
        <is>
          <t>9780398039059</t>
        </is>
      </c>
      <c r="BC10" t="inlineStr">
        <is>
          <t>32285000872555</t>
        </is>
      </c>
      <c r="BD10" t="inlineStr">
        <is>
          <t>893789007</t>
        </is>
      </c>
    </row>
    <row r="11">
      <c r="A11" t="inlineStr">
        <is>
          <t>No</t>
        </is>
      </c>
      <c r="B11" t="inlineStr">
        <is>
          <t>RA1148 .S5 1984</t>
        </is>
      </c>
      <c r="C11" t="inlineStr">
        <is>
          <t>0                      RA 1148000S  5           1984</t>
        </is>
      </c>
      <c r="D11" t="inlineStr">
        <is>
          <t>Psychological evaluation and expert testimony : a practical guide to forensic work / David L. Shapiro.</t>
        </is>
      </c>
      <c r="F11" t="inlineStr">
        <is>
          <t>No</t>
        </is>
      </c>
      <c r="G11" t="inlineStr">
        <is>
          <t>1</t>
        </is>
      </c>
      <c r="H11" t="inlineStr">
        <is>
          <t>No</t>
        </is>
      </c>
      <c r="I11" t="inlineStr">
        <is>
          <t>No</t>
        </is>
      </c>
      <c r="J11" t="inlineStr">
        <is>
          <t>0</t>
        </is>
      </c>
      <c r="K11" t="inlineStr">
        <is>
          <t>Shapiro, David L., 1932-</t>
        </is>
      </c>
      <c r="L11" t="inlineStr">
        <is>
          <t>New York : Van Nostrand Reinhold, c1984.</t>
        </is>
      </c>
      <c r="M11" t="inlineStr">
        <is>
          <t>1984</t>
        </is>
      </c>
      <c r="O11" t="inlineStr">
        <is>
          <t>eng</t>
        </is>
      </c>
      <c r="P11" t="inlineStr">
        <is>
          <t>nyu</t>
        </is>
      </c>
      <c r="R11" t="inlineStr">
        <is>
          <t xml:space="preserve">RA </t>
        </is>
      </c>
      <c r="S11" t="n">
        <v>5</v>
      </c>
      <c r="T11" t="n">
        <v>5</v>
      </c>
      <c r="U11" t="inlineStr">
        <is>
          <t>2008-12-04</t>
        </is>
      </c>
      <c r="V11" t="inlineStr">
        <is>
          <t>2008-12-04</t>
        </is>
      </c>
      <c r="W11" t="inlineStr">
        <is>
          <t>1992-12-11</t>
        </is>
      </c>
      <c r="X11" t="inlineStr">
        <is>
          <t>1992-12-11</t>
        </is>
      </c>
      <c r="Y11" t="n">
        <v>345</v>
      </c>
      <c r="Z11" t="n">
        <v>302</v>
      </c>
      <c r="AA11" t="n">
        <v>304</v>
      </c>
      <c r="AB11" t="n">
        <v>2</v>
      </c>
      <c r="AC11" t="n">
        <v>2</v>
      </c>
      <c r="AD11" t="n">
        <v>15</v>
      </c>
      <c r="AE11" t="n">
        <v>15</v>
      </c>
      <c r="AF11" t="n">
        <v>5</v>
      </c>
      <c r="AG11" t="n">
        <v>5</v>
      </c>
      <c r="AH11" t="n">
        <v>3</v>
      </c>
      <c r="AI11" t="n">
        <v>3</v>
      </c>
      <c r="AJ11" t="n">
        <v>5</v>
      </c>
      <c r="AK11" t="n">
        <v>5</v>
      </c>
      <c r="AL11" t="n">
        <v>1</v>
      </c>
      <c r="AM11" t="n">
        <v>1</v>
      </c>
      <c r="AN11" t="n">
        <v>3</v>
      </c>
      <c r="AO11" t="n">
        <v>3</v>
      </c>
      <c r="AP11" t="inlineStr">
        <is>
          <t>No</t>
        </is>
      </c>
      <c r="AQ11" t="inlineStr">
        <is>
          <t>Yes</t>
        </is>
      </c>
      <c r="AR11">
        <f>HYPERLINK("http://catalog.hathitrust.org/Record/004418530","HathiTrust Record")</f>
        <v/>
      </c>
      <c r="AS11">
        <f>HYPERLINK("https://creighton-primo.hosted.exlibrisgroup.com/primo-explore/search?tab=default_tab&amp;search_scope=EVERYTHING&amp;vid=01CRU&amp;lang=en_US&amp;offset=0&amp;query=any,contains,991000171749702656","Catalog Record")</f>
        <v/>
      </c>
      <c r="AT11">
        <f>HYPERLINK("http://www.worldcat.org/oclc/9324582","WorldCat Record")</f>
        <v/>
      </c>
      <c r="AU11" t="inlineStr">
        <is>
          <t>545144:eng</t>
        </is>
      </c>
      <c r="AV11" t="inlineStr">
        <is>
          <t>9324582</t>
        </is>
      </c>
      <c r="AW11" t="inlineStr">
        <is>
          <t>991000171749702656</t>
        </is>
      </c>
      <c r="AX11" t="inlineStr">
        <is>
          <t>991000171749702656</t>
        </is>
      </c>
      <c r="AY11" t="inlineStr">
        <is>
          <t>2257255010002656</t>
        </is>
      </c>
      <c r="AZ11" t="inlineStr">
        <is>
          <t>BOOK</t>
        </is>
      </c>
      <c r="BB11" t="inlineStr">
        <is>
          <t>9780442281830</t>
        </is>
      </c>
      <c r="BC11" t="inlineStr">
        <is>
          <t>32285001441251</t>
        </is>
      </c>
      <c r="BD11" t="inlineStr">
        <is>
          <t>893351451</t>
        </is>
      </c>
    </row>
    <row r="12">
      <c r="A12" t="inlineStr">
        <is>
          <t>No</t>
        </is>
      </c>
      <c r="B12" t="inlineStr">
        <is>
          <t>RA1151 .R62</t>
        </is>
      </c>
      <c r="C12" t="inlineStr">
        <is>
          <t>0                      RA 1151000R  62</t>
        </is>
      </c>
      <c r="D12" t="inlineStr">
        <is>
          <t>Pursuit of agreement : psychiatry &amp; the law / by Jonas B. Robitscher.</t>
        </is>
      </c>
      <c r="F12" t="inlineStr">
        <is>
          <t>No</t>
        </is>
      </c>
      <c r="G12" t="inlineStr">
        <is>
          <t>1</t>
        </is>
      </c>
      <c r="H12" t="inlineStr">
        <is>
          <t>No</t>
        </is>
      </c>
      <c r="I12" t="inlineStr">
        <is>
          <t>No</t>
        </is>
      </c>
      <c r="J12" t="inlineStr">
        <is>
          <t>0</t>
        </is>
      </c>
      <c r="K12" t="inlineStr">
        <is>
          <t>Robitscher, Jonas B.</t>
        </is>
      </c>
      <c r="L12" t="inlineStr">
        <is>
          <t>Philadelphia, Lippincott [1966]</t>
        </is>
      </c>
      <c r="M12" t="inlineStr">
        <is>
          <t>1966</t>
        </is>
      </c>
      <c r="O12" t="inlineStr">
        <is>
          <t>eng</t>
        </is>
      </c>
      <c r="P12" t="inlineStr">
        <is>
          <t>___</t>
        </is>
      </c>
      <c r="R12" t="inlineStr">
        <is>
          <t xml:space="preserve">RA </t>
        </is>
      </c>
      <c r="S12" t="n">
        <v>4</v>
      </c>
      <c r="T12" t="n">
        <v>4</v>
      </c>
      <c r="U12" t="inlineStr">
        <is>
          <t>2005-12-04</t>
        </is>
      </c>
      <c r="V12" t="inlineStr">
        <is>
          <t>2005-12-04</t>
        </is>
      </c>
      <c r="W12" t="inlineStr">
        <is>
          <t>1993-03-17</t>
        </is>
      </c>
      <c r="X12" t="inlineStr">
        <is>
          <t>1993-03-17</t>
        </is>
      </c>
      <c r="Y12" t="n">
        <v>388</v>
      </c>
      <c r="Z12" t="n">
        <v>344</v>
      </c>
      <c r="AA12" t="n">
        <v>352</v>
      </c>
      <c r="AB12" t="n">
        <v>3</v>
      </c>
      <c r="AC12" t="n">
        <v>3</v>
      </c>
      <c r="AD12" t="n">
        <v>25</v>
      </c>
      <c r="AE12" t="n">
        <v>25</v>
      </c>
      <c r="AF12" t="n">
        <v>3</v>
      </c>
      <c r="AG12" t="n">
        <v>3</v>
      </c>
      <c r="AH12" t="n">
        <v>3</v>
      </c>
      <c r="AI12" t="n">
        <v>3</v>
      </c>
      <c r="AJ12" t="n">
        <v>6</v>
      </c>
      <c r="AK12" t="n">
        <v>6</v>
      </c>
      <c r="AL12" t="n">
        <v>1</v>
      </c>
      <c r="AM12" t="n">
        <v>1</v>
      </c>
      <c r="AN12" t="n">
        <v>14</v>
      </c>
      <c r="AO12" t="n">
        <v>14</v>
      </c>
      <c r="AP12" t="inlineStr">
        <is>
          <t>No</t>
        </is>
      </c>
      <c r="AQ12" t="inlineStr">
        <is>
          <t>Yes</t>
        </is>
      </c>
      <c r="AR12">
        <f>HYPERLINK("http://catalog.hathitrust.org/Record/001560508","HathiTrust Record")</f>
        <v/>
      </c>
      <c r="AS12">
        <f>HYPERLINK("https://creighton-primo.hosted.exlibrisgroup.com/primo-explore/search?tab=default_tab&amp;search_scope=EVERYTHING&amp;vid=01CRU&amp;lang=en_US&amp;offset=0&amp;query=any,contains,991005348639702656","Catalog Record")</f>
        <v/>
      </c>
      <c r="AT12">
        <f>HYPERLINK("http://www.worldcat.org/oclc/579891","WorldCat Record")</f>
        <v/>
      </c>
      <c r="AU12" t="inlineStr">
        <is>
          <t>303406763:eng</t>
        </is>
      </c>
      <c r="AV12" t="inlineStr">
        <is>
          <t>579891</t>
        </is>
      </c>
      <c r="AW12" t="inlineStr">
        <is>
          <t>991005348639702656</t>
        </is>
      </c>
      <c r="AX12" t="inlineStr">
        <is>
          <t>991005348639702656</t>
        </is>
      </c>
      <c r="AY12" t="inlineStr">
        <is>
          <t>2256107290002656</t>
        </is>
      </c>
      <c r="AZ12" t="inlineStr">
        <is>
          <t>BOOK</t>
        </is>
      </c>
      <c r="BC12" t="inlineStr">
        <is>
          <t>32285001588432</t>
        </is>
      </c>
      <c r="BD12" t="inlineStr">
        <is>
          <t>893338944</t>
        </is>
      </c>
    </row>
    <row r="13">
      <c r="A13" t="inlineStr">
        <is>
          <t>No</t>
        </is>
      </c>
      <c r="B13" t="inlineStr">
        <is>
          <t>RA1193 .C66 1984</t>
        </is>
      </c>
      <c r="C13" t="inlineStr">
        <is>
          <t>0                      RA 1193000C  66          1984</t>
        </is>
      </c>
      <c r="D13" t="inlineStr">
        <is>
          <t>Controversial chemicals : a citizen's guide / editors, P. Kruus and I. M. Valeriote.</t>
        </is>
      </c>
      <c r="F13" t="inlineStr">
        <is>
          <t>No</t>
        </is>
      </c>
      <c r="G13" t="inlineStr">
        <is>
          <t>1</t>
        </is>
      </c>
      <c r="H13" t="inlineStr">
        <is>
          <t>No</t>
        </is>
      </c>
      <c r="I13" t="inlineStr">
        <is>
          <t>No</t>
        </is>
      </c>
      <c r="J13" t="inlineStr">
        <is>
          <t>0</t>
        </is>
      </c>
      <c r="L13" t="inlineStr">
        <is>
          <t>Montreal : Multiscience Publications, c1984.</t>
        </is>
      </c>
      <c r="M13" t="inlineStr">
        <is>
          <t>1984</t>
        </is>
      </c>
      <c r="N13" t="inlineStr">
        <is>
          <t>2nd ed., rev. and expanded.</t>
        </is>
      </c>
      <c r="O13" t="inlineStr">
        <is>
          <t>eng</t>
        </is>
      </c>
      <c r="P13" t="inlineStr">
        <is>
          <t>quc</t>
        </is>
      </c>
      <c r="Q13" t="inlineStr">
        <is>
          <t>Canada science series</t>
        </is>
      </c>
      <c r="R13" t="inlineStr">
        <is>
          <t xml:space="preserve">RA </t>
        </is>
      </c>
      <c r="S13" t="n">
        <v>8</v>
      </c>
      <c r="T13" t="n">
        <v>8</v>
      </c>
      <c r="U13" t="inlineStr">
        <is>
          <t>1995-02-02</t>
        </is>
      </c>
      <c r="V13" t="inlineStr">
        <is>
          <t>1995-02-02</t>
        </is>
      </c>
      <c r="W13" t="inlineStr">
        <is>
          <t>1990-02-21</t>
        </is>
      </c>
      <c r="X13" t="inlineStr">
        <is>
          <t>1990-02-21</t>
        </is>
      </c>
      <c r="Y13" t="n">
        <v>163</v>
      </c>
      <c r="Z13" t="n">
        <v>94</v>
      </c>
      <c r="AA13" t="n">
        <v>166</v>
      </c>
      <c r="AB13" t="n">
        <v>3</v>
      </c>
      <c r="AC13" t="n">
        <v>3</v>
      </c>
      <c r="AD13" t="n">
        <v>2</v>
      </c>
      <c r="AE13" t="n">
        <v>5</v>
      </c>
      <c r="AF13" t="n">
        <v>0</v>
      </c>
      <c r="AG13" t="n">
        <v>1</v>
      </c>
      <c r="AH13" t="n">
        <v>0</v>
      </c>
      <c r="AI13" t="n">
        <v>2</v>
      </c>
      <c r="AJ13" t="n">
        <v>0</v>
      </c>
      <c r="AK13" t="n">
        <v>0</v>
      </c>
      <c r="AL13" t="n">
        <v>2</v>
      </c>
      <c r="AM13" t="n">
        <v>2</v>
      </c>
      <c r="AN13" t="n">
        <v>0</v>
      </c>
      <c r="AO13" t="n">
        <v>0</v>
      </c>
      <c r="AP13" t="inlineStr">
        <is>
          <t>No</t>
        </is>
      </c>
      <c r="AQ13" t="inlineStr">
        <is>
          <t>Yes</t>
        </is>
      </c>
      <c r="AR13">
        <f>HYPERLINK("http://catalog.hathitrust.org/Record/000459638","HathiTrust Record")</f>
        <v/>
      </c>
      <c r="AS13">
        <f>HYPERLINK("https://creighton-primo.hosted.exlibrisgroup.com/primo-explore/search?tab=default_tab&amp;search_scope=EVERYTHING&amp;vid=01CRU&amp;lang=en_US&amp;offset=0&amp;query=any,contains,991000512149702656","Catalog Record")</f>
        <v/>
      </c>
      <c r="AT13">
        <f>HYPERLINK("http://www.worldcat.org/oclc/11867265","WorldCat Record")</f>
        <v/>
      </c>
      <c r="AU13" t="inlineStr">
        <is>
          <t>923336991:eng</t>
        </is>
      </c>
      <c r="AV13" t="inlineStr">
        <is>
          <t>11867265</t>
        </is>
      </c>
      <c r="AW13" t="inlineStr">
        <is>
          <t>991000512149702656</t>
        </is>
      </c>
      <c r="AX13" t="inlineStr">
        <is>
          <t>991000512149702656</t>
        </is>
      </c>
      <c r="AY13" t="inlineStr">
        <is>
          <t>2256612820002656</t>
        </is>
      </c>
      <c r="AZ13" t="inlineStr">
        <is>
          <t>BOOK</t>
        </is>
      </c>
      <c r="BB13" t="inlineStr">
        <is>
          <t>9780919868229</t>
        </is>
      </c>
      <c r="BC13" t="inlineStr">
        <is>
          <t>32285000056589</t>
        </is>
      </c>
      <c r="BD13" t="inlineStr">
        <is>
          <t>893255494</t>
        </is>
      </c>
    </row>
    <row r="14">
      <c r="A14" t="inlineStr">
        <is>
          <t>No</t>
        </is>
      </c>
      <c r="B14" t="inlineStr">
        <is>
          <t>RA1213 .O88 1991</t>
        </is>
      </c>
      <c r="C14" t="inlineStr">
        <is>
          <t>0                      RA 1213000O  88          1991</t>
        </is>
      </c>
      <c r="D14" t="inlineStr">
        <is>
          <t>The dose makes the poison : a plain-language guide to toxicology / M. Alice Ottoboni.</t>
        </is>
      </c>
      <c r="F14" t="inlineStr">
        <is>
          <t>No</t>
        </is>
      </c>
      <c r="G14" t="inlineStr">
        <is>
          <t>1</t>
        </is>
      </c>
      <c r="H14" t="inlineStr">
        <is>
          <t>No</t>
        </is>
      </c>
      <c r="I14" t="inlineStr">
        <is>
          <t>No</t>
        </is>
      </c>
      <c r="J14" t="inlineStr">
        <is>
          <t>0</t>
        </is>
      </c>
      <c r="K14" t="inlineStr">
        <is>
          <t>Ottoboni, M. Alice.</t>
        </is>
      </c>
      <c r="L14" t="inlineStr">
        <is>
          <t>New York, N.Y. : Van Nostrand Reinhold, c1991.</t>
        </is>
      </c>
      <c r="M14" t="inlineStr">
        <is>
          <t>1991</t>
        </is>
      </c>
      <c r="N14" t="inlineStr">
        <is>
          <t>2nd ed.</t>
        </is>
      </c>
      <c r="O14" t="inlineStr">
        <is>
          <t>eng</t>
        </is>
      </c>
      <c r="P14" t="inlineStr">
        <is>
          <t>nyu</t>
        </is>
      </c>
      <c r="R14" t="inlineStr">
        <is>
          <t xml:space="preserve">RA </t>
        </is>
      </c>
      <c r="S14" t="n">
        <v>5</v>
      </c>
      <c r="T14" t="n">
        <v>5</v>
      </c>
      <c r="U14" t="inlineStr">
        <is>
          <t>1996-11-21</t>
        </is>
      </c>
      <c r="V14" t="inlineStr">
        <is>
          <t>1996-11-21</t>
        </is>
      </c>
      <c r="W14" t="inlineStr">
        <is>
          <t>1992-06-02</t>
        </is>
      </c>
      <c r="X14" t="inlineStr">
        <is>
          <t>1992-06-02</t>
        </is>
      </c>
      <c r="Y14" t="n">
        <v>345</v>
      </c>
      <c r="Z14" t="n">
        <v>277</v>
      </c>
      <c r="AA14" t="n">
        <v>1109</v>
      </c>
      <c r="AB14" t="n">
        <v>2</v>
      </c>
      <c r="AC14" t="n">
        <v>6</v>
      </c>
      <c r="AD14" t="n">
        <v>10</v>
      </c>
      <c r="AE14" t="n">
        <v>33</v>
      </c>
      <c r="AF14" t="n">
        <v>6</v>
      </c>
      <c r="AG14" t="n">
        <v>14</v>
      </c>
      <c r="AH14" t="n">
        <v>2</v>
      </c>
      <c r="AI14" t="n">
        <v>5</v>
      </c>
      <c r="AJ14" t="n">
        <v>6</v>
      </c>
      <c r="AK14" t="n">
        <v>17</v>
      </c>
      <c r="AL14" t="n">
        <v>0</v>
      </c>
      <c r="AM14" t="n">
        <v>3</v>
      </c>
      <c r="AN14" t="n">
        <v>0</v>
      </c>
      <c r="AO14" t="n">
        <v>4</v>
      </c>
      <c r="AP14" t="inlineStr">
        <is>
          <t>No</t>
        </is>
      </c>
      <c r="AQ14" t="inlineStr">
        <is>
          <t>No</t>
        </is>
      </c>
      <c r="AS14">
        <f>HYPERLINK("https://creighton-primo.hosted.exlibrisgroup.com/primo-explore/search?tab=default_tab&amp;search_scope=EVERYTHING&amp;vid=01CRU&amp;lang=en_US&amp;offset=0&amp;query=any,contains,991001841849702656","Catalog Record")</f>
        <v/>
      </c>
      <c r="AT14">
        <f>HYPERLINK("http://www.worldcat.org/oclc/23141845","WorldCat Record")</f>
        <v/>
      </c>
      <c r="AU14" t="inlineStr">
        <is>
          <t>501778593:eng</t>
        </is>
      </c>
      <c r="AV14" t="inlineStr">
        <is>
          <t>23141845</t>
        </is>
      </c>
      <c r="AW14" t="inlineStr">
        <is>
          <t>991001841849702656</t>
        </is>
      </c>
      <c r="AX14" t="inlineStr">
        <is>
          <t>991001841849702656</t>
        </is>
      </c>
      <c r="AY14" t="inlineStr">
        <is>
          <t>2265609110002656</t>
        </is>
      </c>
      <c r="AZ14" t="inlineStr">
        <is>
          <t>BOOK</t>
        </is>
      </c>
      <c r="BB14" t="inlineStr">
        <is>
          <t>9780442006600</t>
        </is>
      </c>
      <c r="BC14" t="inlineStr">
        <is>
          <t>32285001125813</t>
        </is>
      </c>
      <c r="BD14" t="inlineStr">
        <is>
          <t>893697081</t>
        </is>
      </c>
    </row>
    <row r="15">
      <c r="A15" t="inlineStr">
        <is>
          <t>No</t>
        </is>
      </c>
      <c r="B15" t="inlineStr">
        <is>
          <t>RA1220 .I58 1985</t>
        </is>
      </c>
      <c r="C15" t="inlineStr">
        <is>
          <t>0                      RA 1220000I  58          1985</t>
        </is>
      </c>
      <c r="D15" t="inlineStr">
        <is>
          <t>Biological reactive intermediates III : mechanisms of action in animal models and human disease / edited by James J. Kocsis ... [et al.].</t>
        </is>
      </c>
      <c r="F15" t="inlineStr">
        <is>
          <t>No</t>
        </is>
      </c>
      <c r="G15" t="inlineStr">
        <is>
          <t>1</t>
        </is>
      </c>
      <c r="H15" t="inlineStr">
        <is>
          <t>No</t>
        </is>
      </c>
      <c r="I15" t="inlineStr">
        <is>
          <t>No</t>
        </is>
      </c>
      <c r="J15" t="inlineStr">
        <is>
          <t>0</t>
        </is>
      </c>
      <c r="K15" t="inlineStr">
        <is>
          <t>International Symposium on Biological Reactive Intermediates (3rd : 1985 : University of Maryland, College Park)</t>
        </is>
      </c>
      <c r="L15" t="inlineStr">
        <is>
          <t>New York : Plenum Press, c1986.</t>
        </is>
      </c>
      <c r="M15" t="inlineStr">
        <is>
          <t>1986</t>
        </is>
      </c>
      <c r="O15" t="inlineStr">
        <is>
          <t>eng</t>
        </is>
      </c>
      <c r="P15" t="inlineStr">
        <is>
          <t>nyu</t>
        </is>
      </c>
      <c r="Q15" t="inlineStr">
        <is>
          <t>Advances in experimental medicine and biology ; v. 197</t>
        </is>
      </c>
      <c r="R15" t="inlineStr">
        <is>
          <t xml:space="preserve">RA </t>
        </is>
      </c>
      <c r="S15" t="n">
        <v>2</v>
      </c>
      <c r="T15" t="n">
        <v>2</v>
      </c>
      <c r="U15" t="inlineStr">
        <is>
          <t>1994-02-17</t>
        </is>
      </c>
      <c r="V15" t="inlineStr">
        <is>
          <t>1994-02-17</t>
        </is>
      </c>
      <c r="W15" t="inlineStr">
        <is>
          <t>1993-03-17</t>
        </is>
      </c>
      <c r="X15" t="inlineStr">
        <is>
          <t>1993-03-17</t>
        </is>
      </c>
      <c r="Y15" t="n">
        <v>217</v>
      </c>
      <c r="Z15" t="n">
        <v>174</v>
      </c>
      <c r="AA15" t="n">
        <v>200</v>
      </c>
      <c r="AB15" t="n">
        <v>1</v>
      </c>
      <c r="AC15" t="n">
        <v>1</v>
      </c>
      <c r="AD15" t="n">
        <v>5</v>
      </c>
      <c r="AE15" t="n">
        <v>6</v>
      </c>
      <c r="AF15" t="n">
        <v>0</v>
      </c>
      <c r="AG15" t="n">
        <v>1</v>
      </c>
      <c r="AH15" t="n">
        <v>4</v>
      </c>
      <c r="AI15" t="n">
        <v>4</v>
      </c>
      <c r="AJ15" t="n">
        <v>4</v>
      </c>
      <c r="AK15" t="n">
        <v>5</v>
      </c>
      <c r="AL15" t="n">
        <v>0</v>
      </c>
      <c r="AM15" t="n">
        <v>0</v>
      </c>
      <c r="AN15" t="n">
        <v>0</v>
      </c>
      <c r="AO15" t="n">
        <v>0</v>
      </c>
      <c r="AP15" t="inlineStr">
        <is>
          <t>No</t>
        </is>
      </c>
      <c r="AQ15" t="inlineStr">
        <is>
          <t>Yes</t>
        </is>
      </c>
      <c r="AR15">
        <f>HYPERLINK("http://catalog.hathitrust.org/Record/000589512","HathiTrust Record")</f>
        <v/>
      </c>
      <c r="AS15">
        <f>HYPERLINK("https://creighton-primo.hosted.exlibrisgroup.com/primo-explore/search?tab=default_tab&amp;search_scope=EVERYTHING&amp;vid=01CRU&amp;lang=en_US&amp;offset=0&amp;query=any,contains,991000808259702656","Catalog Record")</f>
        <v/>
      </c>
      <c r="AT15">
        <f>HYPERLINK("http://www.worldcat.org/oclc/13327917","WorldCat Record")</f>
        <v/>
      </c>
      <c r="AU15" t="inlineStr">
        <is>
          <t>7372726:eng</t>
        </is>
      </c>
      <c r="AV15" t="inlineStr">
        <is>
          <t>13327917</t>
        </is>
      </c>
      <c r="AW15" t="inlineStr">
        <is>
          <t>991000808259702656</t>
        </is>
      </c>
      <c r="AX15" t="inlineStr">
        <is>
          <t>991000808259702656</t>
        </is>
      </c>
      <c r="AY15" t="inlineStr">
        <is>
          <t>2258848680002656</t>
        </is>
      </c>
      <c r="AZ15" t="inlineStr">
        <is>
          <t>BOOK</t>
        </is>
      </c>
      <c r="BB15" t="inlineStr">
        <is>
          <t>9780306422645</t>
        </is>
      </c>
      <c r="BC15" t="inlineStr">
        <is>
          <t>32285001588440</t>
        </is>
      </c>
      <c r="BD15" t="inlineStr">
        <is>
          <t>893321365</t>
        </is>
      </c>
    </row>
    <row r="16">
      <c r="A16" t="inlineStr">
        <is>
          <t>No</t>
        </is>
      </c>
      <c r="B16" t="inlineStr">
        <is>
          <t>RA1224.3 .M88 1984</t>
        </is>
      </c>
      <c r="C16" t="inlineStr">
        <is>
          <t>0                      RA 1224300M  88          1984</t>
        </is>
      </c>
      <c r="D16" t="inlineStr">
        <is>
          <t>Mutation, cancer and malformation / edited by Ernest H.Y. Chu and Walderico M. Generoso.</t>
        </is>
      </c>
      <c r="F16" t="inlineStr">
        <is>
          <t>No</t>
        </is>
      </c>
      <c r="G16" t="inlineStr">
        <is>
          <t>1</t>
        </is>
      </c>
      <c r="H16" t="inlineStr">
        <is>
          <t>No</t>
        </is>
      </c>
      <c r="I16" t="inlineStr">
        <is>
          <t>No</t>
        </is>
      </c>
      <c r="J16" t="inlineStr">
        <is>
          <t>0</t>
        </is>
      </c>
      <c r="L16" t="inlineStr">
        <is>
          <t>New York : Plenum Press, c1984.</t>
        </is>
      </c>
      <c r="M16" t="inlineStr">
        <is>
          <t>1984</t>
        </is>
      </c>
      <c r="O16" t="inlineStr">
        <is>
          <t>eng</t>
        </is>
      </c>
      <c r="P16" t="inlineStr">
        <is>
          <t>nyu</t>
        </is>
      </c>
      <c r="Q16" t="inlineStr">
        <is>
          <t>Environmental science research ; v. 31</t>
        </is>
      </c>
      <c r="R16" t="inlineStr">
        <is>
          <t xml:space="preserve">RA </t>
        </is>
      </c>
      <c r="S16" t="n">
        <v>1</v>
      </c>
      <c r="T16" t="n">
        <v>1</v>
      </c>
      <c r="U16" t="inlineStr">
        <is>
          <t>1993-04-04</t>
        </is>
      </c>
      <c r="V16" t="inlineStr">
        <is>
          <t>1993-04-04</t>
        </is>
      </c>
      <c r="W16" t="inlineStr">
        <is>
          <t>1992-11-07</t>
        </is>
      </c>
      <c r="X16" t="inlineStr">
        <is>
          <t>1992-11-07</t>
        </is>
      </c>
      <c r="Y16" t="n">
        <v>164</v>
      </c>
      <c r="Z16" t="n">
        <v>126</v>
      </c>
      <c r="AA16" t="n">
        <v>145</v>
      </c>
      <c r="AB16" t="n">
        <v>3</v>
      </c>
      <c r="AC16" t="n">
        <v>3</v>
      </c>
      <c r="AD16" t="n">
        <v>5</v>
      </c>
      <c r="AE16" t="n">
        <v>5</v>
      </c>
      <c r="AF16" t="n">
        <v>1</v>
      </c>
      <c r="AG16" t="n">
        <v>1</v>
      </c>
      <c r="AH16" t="n">
        <v>1</v>
      </c>
      <c r="AI16" t="n">
        <v>1</v>
      </c>
      <c r="AJ16" t="n">
        <v>3</v>
      </c>
      <c r="AK16" t="n">
        <v>3</v>
      </c>
      <c r="AL16" t="n">
        <v>2</v>
      </c>
      <c r="AM16" t="n">
        <v>2</v>
      </c>
      <c r="AN16" t="n">
        <v>0</v>
      </c>
      <c r="AO16" t="n">
        <v>0</v>
      </c>
      <c r="AP16" t="inlineStr">
        <is>
          <t>No</t>
        </is>
      </c>
      <c r="AQ16" t="inlineStr">
        <is>
          <t>Yes</t>
        </is>
      </c>
      <c r="AR16">
        <f>HYPERLINK("http://catalog.hathitrust.org/Record/000418131","HathiTrust Record")</f>
        <v/>
      </c>
      <c r="AS16">
        <f>HYPERLINK("https://creighton-primo.hosted.exlibrisgroup.com/primo-explore/search?tab=default_tab&amp;search_scope=EVERYTHING&amp;vid=01CRU&amp;lang=en_US&amp;offset=0&amp;query=any,contains,991000492899702656","Catalog Record")</f>
        <v/>
      </c>
      <c r="AT16">
        <f>HYPERLINK("http://www.worldcat.org/oclc/11114142","WorldCat Record")</f>
        <v/>
      </c>
      <c r="AU16" t="inlineStr">
        <is>
          <t>3848032:eng</t>
        </is>
      </c>
      <c r="AV16" t="inlineStr">
        <is>
          <t>11114142</t>
        </is>
      </c>
      <c r="AW16" t="inlineStr">
        <is>
          <t>991000492899702656</t>
        </is>
      </c>
      <c r="AX16" t="inlineStr">
        <is>
          <t>991000492899702656</t>
        </is>
      </c>
      <c r="AY16" t="inlineStr">
        <is>
          <t>2258828980002656</t>
        </is>
      </c>
      <c r="AZ16" t="inlineStr">
        <is>
          <t>BOOK</t>
        </is>
      </c>
      <c r="BB16" t="inlineStr">
        <is>
          <t>9780306418204</t>
        </is>
      </c>
      <c r="BC16" t="inlineStr">
        <is>
          <t>32285001383149</t>
        </is>
      </c>
      <c r="BD16" t="inlineStr">
        <is>
          <t>893231149</t>
        </is>
      </c>
    </row>
    <row r="17">
      <c r="A17" t="inlineStr">
        <is>
          <t>No</t>
        </is>
      </c>
      <c r="B17" t="inlineStr">
        <is>
          <t>RA1231.M5 F74</t>
        </is>
      </c>
      <c r="C17" t="inlineStr">
        <is>
          <t>0                      RA 1231000M  5                  F  74</t>
        </is>
      </c>
      <c r="D17" t="inlineStr">
        <is>
          <t>Mercury in the environment : an epidemiological and toxicological appraisal / editors: Lars Friberg [and] Jaroslav Vostal.</t>
        </is>
      </c>
      <c r="F17" t="inlineStr">
        <is>
          <t>No</t>
        </is>
      </c>
      <c r="G17" t="inlineStr">
        <is>
          <t>1</t>
        </is>
      </c>
      <c r="H17" t="inlineStr">
        <is>
          <t>No</t>
        </is>
      </c>
      <c r="I17" t="inlineStr">
        <is>
          <t>Yes</t>
        </is>
      </c>
      <c r="J17" t="inlineStr">
        <is>
          <t>0</t>
        </is>
      </c>
      <c r="K17" t="inlineStr">
        <is>
          <t>Friberg, Lars.</t>
        </is>
      </c>
      <c r="L17" t="inlineStr">
        <is>
          <t>Cleveland : CRC Press, [1972]</t>
        </is>
      </c>
      <c r="M17" t="inlineStr">
        <is>
          <t>1972</t>
        </is>
      </c>
      <c r="O17" t="inlineStr">
        <is>
          <t>eng</t>
        </is>
      </c>
      <c r="P17" t="inlineStr">
        <is>
          <t>ohu</t>
        </is>
      </c>
      <c r="Q17" t="inlineStr">
        <is>
          <t>CRC uniscience series</t>
        </is>
      </c>
      <c r="R17" t="inlineStr">
        <is>
          <t xml:space="preserve">RA </t>
        </is>
      </c>
      <c r="S17" t="n">
        <v>1</v>
      </c>
      <c r="T17" t="n">
        <v>1</v>
      </c>
      <c r="U17" t="inlineStr">
        <is>
          <t>2002-09-28</t>
        </is>
      </c>
      <c r="V17" t="inlineStr">
        <is>
          <t>2002-09-28</t>
        </is>
      </c>
      <c r="W17" t="inlineStr">
        <is>
          <t>1995-05-01</t>
        </is>
      </c>
      <c r="X17" t="inlineStr">
        <is>
          <t>1995-05-01</t>
        </is>
      </c>
      <c r="Y17" t="n">
        <v>559</v>
      </c>
      <c r="Z17" t="n">
        <v>455</v>
      </c>
      <c r="AA17" t="n">
        <v>492</v>
      </c>
      <c r="AB17" t="n">
        <v>2</v>
      </c>
      <c r="AC17" t="n">
        <v>3</v>
      </c>
      <c r="AD17" t="n">
        <v>21</v>
      </c>
      <c r="AE17" t="n">
        <v>21</v>
      </c>
      <c r="AF17" t="n">
        <v>12</v>
      </c>
      <c r="AG17" t="n">
        <v>12</v>
      </c>
      <c r="AH17" t="n">
        <v>4</v>
      </c>
      <c r="AI17" t="n">
        <v>4</v>
      </c>
      <c r="AJ17" t="n">
        <v>10</v>
      </c>
      <c r="AK17" t="n">
        <v>10</v>
      </c>
      <c r="AL17" t="n">
        <v>1</v>
      </c>
      <c r="AM17" t="n">
        <v>1</v>
      </c>
      <c r="AN17" t="n">
        <v>0</v>
      </c>
      <c r="AO17" t="n">
        <v>0</v>
      </c>
      <c r="AP17" t="inlineStr">
        <is>
          <t>No</t>
        </is>
      </c>
      <c r="AQ17" t="inlineStr">
        <is>
          <t>No</t>
        </is>
      </c>
      <c r="AS17">
        <f>HYPERLINK("https://creighton-primo.hosted.exlibrisgroup.com/primo-explore/search?tab=default_tab&amp;search_scope=EVERYTHING&amp;vid=01CRU&amp;lang=en_US&amp;offset=0&amp;query=any,contains,991002840189702656","Catalog Record")</f>
        <v/>
      </c>
      <c r="AT17">
        <f>HYPERLINK("http://www.worldcat.org/oclc/481792","WorldCat Record")</f>
        <v/>
      </c>
      <c r="AU17" t="inlineStr">
        <is>
          <t>4928075716:eng</t>
        </is>
      </c>
      <c r="AV17" t="inlineStr">
        <is>
          <t>481792</t>
        </is>
      </c>
      <c r="AW17" t="inlineStr">
        <is>
          <t>991002840189702656</t>
        </is>
      </c>
      <c r="AX17" t="inlineStr">
        <is>
          <t>991002840189702656</t>
        </is>
      </c>
      <c r="AY17" t="inlineStr">
        <is>
          <t>2269370120002656</t>
        </is>
      </c>
      <c r="AZ17" t="inlineStr">
        <is>
          <t>BOOK</t>
        </is>
      </c>
      <c r="BC17" t="inlineStr">
        <is>
          <t>32285002029741</t>
        </is>
      </c>
      <c r="BD17" t="inlineStr">
        <is>
          <t>893352545</t>
        </is>
      </c>
    </row>
    <row r="18">
      <c r="A18" t="inlineStr">
        <is>
          <t>No</t>
        </is>
      </c>
      <c r="B18" t="inlineStr">
        <is>
          <t>RA1231.R2 A93</t>
        </is>
      </c>
      <c r="C18" t="inlineStr">
        <is>
          <t>0                      RA 1231000R  2                  A  93</t>
        </is>
      </c>
      <c r="D18" t="inlineStr">
        <is>
          <t>Ichiban : radiation dosimetry for the survivors of the bombings of Hiroshima and Nagasaki / John A Auxier.</t>
        </is>
      </c>
      <c r="F18" t="inlineStr">
        <is>
          <t>No</t>
        </is>
      </c>
      <c r="G18" t="inlineStr">
        <is>
          <t>1</t>
        </is>
      </c>
      <c r="H18" t="inlineStr">
        <is>
          <t>No</t>
        </is>
      </c>
      <c r="I18" t="inlineStr">
        <is>
          <t>No</t>
        </is>
      </c>
      <c r="J18" t="inlineStr">
        <is>
          <t>0</t>
        </is>
      </c>
      <c r="K18" t="inlineStr">
        <is>
          <t>Auxier, John A., 1925-</t>
        </is>
      </c>
      <c r="L18" t="inlineStr">
        <is>
          <t>Oak Ridge, Tenn. : Technical Information Center, Energy Research and Development Administration ; Springfield, Va. : available from National Technical Information Service, U.S. Dept. of Commerce, 1977.</t>
        </is>
      </c>
      <c r="M18" t="inlineStr">
        <is>
          <t>1977</t>
        </is>
      </c>
      <c r="O18" t="inlineStr">
        <is>
          <t>eng</t>
        </is>
      </c>
      <c r="P18" t="inlineStr">
        <is>
          <t>tnu</t>
        </is>
      </c>
      <c r="Q18" t="inlineStr">
        <is>
          <t>ERDA critical review series</t>
        </is>
      </c>
      <c r="R18" t="inlineStr">
        <is>
          <t xml:space="preserve">RA </t>
        </is>
      </c>
      <c r="S18" t="n">
        <v>2</v>
      </c>
      <c r="T18" t="n">
        <v>2</v>
      </c>
      <c r="U18" t="inlineStr">
        <is>
          <t>2002-04-15</t>
        </is>
      </c>
      <c r="V18" t="inlineStr">
        <is>
          <t>2002-04-15</t>
        </is>
      </c>
      <c r="W18" t="inlineStr">
        <is>
          <t>1992-11-03</t>
        </is>
      </c>
      <c r="X18" t="inlineStr">
        <is>
          <t>1992-11-03</t>
        </is>
      </c>
      <c r="Y18" t="n">
        <v>98</v>
      </c>
      <c r="Z18" t="n">
        <v>88</v>
      </c>
      <c r="AA18" t="n">
        <v>88</v>
      </c>
      <c r="AB18" t="n">
        <v>1</v>
      </c>
      <c r="AC18" t="n">
        <v>1</v>
      </c>
      <c r="AD18" t="n">
        <v>2</v>
      </c>
      <c r="AE18" t="n">
        <v>2</v>
      </c>
      <c r="AF18" t="n">
        <v>0</v>
      </c>
      <c r="AG18" t="n">
        <v>0</v>
      </c>
      <c r="AH18" t="n">
        <v>1</v>
      </c>
      <c r="AI18" t="n">
        <v>1</v>
      </c>
      <c r="AJ18" t="n">
        <v>2</v>
      </c>
      <c r="AK18" t="n">
        <v>2</v>
      </c>
      <c r="AL18" t="n">
        <v>0</v>
      </c>
      <c r="AM18" t="n">
        <v>0</v>
      </c>
      <c r="AN18" t="n">
        <v>0</v>
      </c>
      <c r="AO18" t="n">
        <v>0</v>
      </c>
      <c r="AP18" t="inlineStr">
        <is>
          <t>No</t>
        </is>
      </c>
      <c r="AQ18" t="inlineStr">
        <is>
          <t>Yes</t>
        </is>
      </c>
      <c r="AR18">
        <f>HYPERLINK("http://catalog.hathitrust.org/Record/000170802","HathiTrust Record")</f>
        <v/>
      </c>
      <c r="AS18">
        <f>HYPERLINK("https://creighton-primo.hosted.exlibrisgroup.com/primo-explore/search?tab=default_tab&amp;search_scope=EVERYTHING&amp;vid=01CRU&amp;lang=en_US&amp;offset=0&amp;query=any,contains,991004214789702656","Catalog Record")</f>
        <v/>
      </c>
      <c r="AT18">
        <f>HYPERLINK("http://www.worldcat.org/oclc/2694933","WorldCat Record")</f>
        <v/>
      </c>
      <c r="AU18" t="inlineStr">
        <is>
          <t>5611722909:eng</t>
        </is>
      </c>
      <c r="AV18" t="inlineStr">
        <is>
          <t>2694933</t>
        </is>
      </c>
      <c r="AW18" t="inlineStr">
        <is>
          <t>991004214789702656</t>
        </is>
      </c>
      <c r="AX18" t="inlineStr">
        <is>
          <t>991004214789702656</t>
        </is>
      </c>
      <c r="AY18" t="inlineStr">
        <is>
          <t>2264983850002656</t>
        </is>
      </c>
      <c r="AZ18" t="inlineStr">
        <is>
          <t>BOOK</t>
        </is>
      </c>
      <c r="BC18" t="inlineStr">
        <is>
          <t>32285001381051</t>
        </is>
      </c>
      <c r="BD18" t="inlineStr">
        <is>
          <t>893593420</t>
        </is>
      </c>
    </row>
    <row r="19">
      <c r="A19" t="inlineStr">
        <is>
          <t>No</t>
        </is>
      </c>
      <c r="B19" t="inlineStr">
        <is>
          <t>RA1231.R2 B7 1958</t>
        </is>
      </c>
      <c r="C19" t="inlineStr">
        <is>
          <t>0                      RA 1231000R  2                  B  7           1958</t>
        </is>
      </c>
      <c r="D19" t="inlineStr">
        <is>
          <t>Radiation protection, by Carl B. Braestrup and Harold O. Wyckoff.</t>
        </is>
      </c>
      <c r="F19" t="inlineStr">
        <is>
          <t>No</t>
        </is>
      </c>
      <c r="G19" t="inlineStr">
        <is>
          <t>1</t>
        </is>
      </c>
      <c r="H19" t="inlineStr">
        <is>
          <t>No</t>
        </is>
      </c>
      <c r="I19" t="inlineStr">
        <is>
          <t>No</t>
        </is>
      </c>
      <c r="J19" t="inlineStr">
        <is>
          <t>0</t>
        </is>
      </c>
      <c r="K19" t="inlineStr">
        <is>
          <t>Braestrup, Carl B.</t>
        </is>
      </c>
      <c r="L19" t="inlineStr">
        <is>
          <t>Springfield, Ill., Thomas [1958]</t>
        </is>
      </c>
      <c r="M19" t="inlineStr">
        <is>
          <t>1958</t>
        </is>
      </c>
      <c r="O19" t="inlineStr">
        <is>
          <t>eng</t>
        </is>
      </c>
      <c r="P19" t="inlineStr">
        <is>
          <t xml:space="preserve">xx </t>
        </is>
      </c>
      <c r="R19" t="inlineStr">
        <is>
          <t xml:space="preserve">RA </t>
        </is>
      </c>
      <c r="S19" t="n">
        <v>5</v>
      </c>
      <c r="T19" t="n">
        <v>5</v>
      </c>
      <c r="U19" t="inlineStr">
        <is>
          <t>2007-01-08</t>
        </is>
      </c>
      <c r="V19" t="inlineStr">
        <is>
          <t>2007-01-08</t>
        </is>
      </c>
      <c r="W19" t="inlineStr">
        <is>
          <t>1997-08-08</t>
        </is>
      </c>
      <c r="X19" t="inlineStr">
        <is>
          <t>1997-08-08</t>
        </is>
      </c>
      <c r="Y19" t="n">
        <v>161</v>
      </c>
      <c r="Z19" t="n">
        <v>115</v>
      </c>
      <c r="AA19" t="n">
        <v>118</v>
      </c>
      <c r="AB19" t="n">
        <v>1</v>
      </c>
      <c r="AC19" t="n">
        <v>1</v>
      </c>
      <c r="AD19" t="n">
        <v>0</v>
      </c>
      <c r="AE19" t="n">
        <v>0</v>
      </c>
      <c r="AF19" t="n">
        <v>0</v>
      </c>
      <c r="AG19" t="n">
        <v>0</v>
      </c>
      <c r="AH19" t="n">
        <v>0</v>
      </c>
      <c r="AI19" t="n">
        <v>0</v>
      </c>
      <c r="AJ19" t="n">
        <v>0</v>
      </c>
      <c r="AK19" t="n">
        <v>0</v>
      </c>
      <c r="AL19" t="n">
        <v>0</v>
      </c>
      <c r="AM19" t="n">
        <v>0</v>
      </c>
      <c r="AN19" t="n">
        <v>0</v>
      </c>
      <c r="AO19" t="n">
        <v>0</v>
      </c>
      <c r="AP19" t="inlineStr">
        <is>
          <t>No</t>
        </is>
      </c>
      <c r="AQ19" t="inlineStr">
        <is>
          <t>No</t>
        </is>
      </c>
      <c r="AR19">
        <f>HYPERLINK("http://catalog.hathitrust.org/Record/001560622","HathiTrust Record")</f>
        <v/>
      </c>
      <c r="AS19">
        <f>HYPERLINK("https://creighton-primo.hosted.exlibrisgroup.com/primo-explore/search?tab=default_tab&amp;search_scope=EVERYTHING&amp;vid=01CRU&amp;lang=en_US&amp;offset=0&amp;query=any,contains,991003756789702656","Catalog Record")</f>
        <v/>
      </c>
      <c r="AT19">
        <f>HYPERLINK("http://www.worldcat.org/oclc/1438908","WorldCat Record")</f>
        <v/>
      </c>
      <c r="AU19" t="inlineStr">
        <is>
          <t>2339250:eng</t>
        </is>
      </c>
      <c r="AV19" t="inlineStr">
        <is>
          <t>1438908</t>
        </is>
      </c>
      <c r="AW19" t="inlineStr">
        <is>
          <t>991003756789702656</t>
        </is>
      </c>
      <c r="AX19" t="inlineStr">
        <is>
          <t>991003756789702656</t>
        </is>
      </c>
      <c r="AY19" t="inlineStr">
        <is>
          <t>2271372880002656</t>
        </is>
      </c>
      <c r="AZ19" t="inlineStr">
        <is>
          <t>BOOK</t>
        </is>
      </c>
      <c r="BC19" t="inlineStr">
        <is>
          <t>32285003084075</t>
        </is>
      </c>
      <c r="BD19" t="inlineStr">
        <is>
          <t>893693115</t>
        </is>
      </c>
    </row>
    <row r="20">
      <c r="A20" t="inlineStr">
        <is>
          <t>No</t>
        </is>
      </c>
      <c r="B20" t="inlineStr">
        <is>
          <t>RA1231.R2 Q4</t>
        </is>
      </c>
      <c r="C20" t="inlineStr">
        <is>
          <t>0                      RA 1231000R  2                  Q  4</t>
        </is>
      </c>
      <c r="D20" t="inlineStr">
        <is>
          <t>Safe handling of radioactive isotopes in medical practice.</t>
        </is>
      </c>
      <c r="F20" t="inlineStr">
        <is>
          <t>No</t>
        </is>
      </c>
      <c r="G20" t="inlineStr">
        <is>
          <t>1</t>
        </is>
      </c>
      <c r="H20" t="inlineStr">
        <is>
          <t>No</t>
        </is>
      </c>
      <c r="I20" t="inlineStr">
        <is>
          <t>No</t>
        </is>
      </c>
      <c r="J20" t="inlineStr">
        <is>
          <t>0</t>
        </is>
      </c>
      <c r="K20" t="inlineStr">
        <is>
          <t>Quimby, Edith H. (Edith Hinkley), 1891-1982.</t>
        </is>
      </c>
      <c r="L20" t="inlineStr">
        <is>
          <t>New York : Macmillan, [1960]</t>
        </is>
      </c>
      <c r="M20" t="inlineStr">
        <is>
          <t>1960</t>
        </is>
      </c>
      <c r="O20" t="inlineStr">
        <is>
          <t>eng</t>
        </is>
      </c>
      <c r="P20" t="inlineStr">
        <is>
          <t>nyu</t>
        </is>
      </c>
      <c r="R20" t="inlineStr">
        <is>
          <t xml:space="preserve">RA </t>
        </is>
      </c>
      <c r="S20" t="n">
        <v>2</v>
      </c>
      <c r="T20" t="n">
        <v>2</v>
      </c>
      <c r="U20" t="inlineStr">
        <is>
          <t>1999-10-04</t>
        </is>
      </c>
      <c r="V20" t="inlineStr">
        <is>
          <t>1999-10-04</t>
        </is>
      </c>
      <c r="W20" t="inlineStr">
        <is>
          <t>1990-03-13</t>
        </is>
      </c>
      <c r="X20" t="inlineStr">
        <is>
          <t>1990-03-13</t>
        </is>
      </c>
      <c r="Y20" t="n">
        <v>154</v>
      </c>
      <c r="Z20" t="n">
        <v>124</v>
      </c>
      <c r="AA20" t="n">
        <v>131</v>
      </c>
      <c r="AB20" t="n">
        <v>2</v>
      </c>
      <c r="AC20" t="n">
        <v>2</v>
      </c>
      <c r="AD20" t="n">
        <v>3</v>
      </c>
      <c r="AE20" t="n">
        <v>3</v>
      </c>
      <c r="AF20" t="n">
        <v>0</v>
      </c>
      <c r="AG20" t="n">
        <v>0</v>
      </c>
      <c r="AH20" t="n">
        <v>1</v>
      </c>
      <c r="AI20" t="n">
        <v>1</v>
      </c>
      <c r="AJ20" t="n">
        <v>2</v>
      </c>
      <c r="AK20" t="n">
        <v>2</v>
      </c>
      <c r="AL20" t="n">
        <v>0</v>
      </c>
      <c r="AM20" t="n">
        <v>0</v>
      </c>
      <c r="AN20" t="n">
        <v>0</v>
      </c>
      <c r="AO20" t="n">
        <v>0</v>
      </c>
      <c r="AP20" t="inlineStr">
        <is>
          <t>Yes</t>
        </is>
      </c>
      <c r="AQ20" t="inlineStr">
        <is>
          <t>Yes</t>
        </is>
      </c>
      <c r="AR20">
        <f>HYPERLINK("http://catalog.hathitrust.org/Record/001560650","HathiTrust Record")</f>
        <v/>
      </c>
      <c r="AS20">
        <f>HYPERLINK("https://creighton-primo.hosted.exlibrisgroup.com/primo-explore/search?tab=default_tab&amp;search_scope=EVERYTHING&amp;vid=01CRU&amp;lang=en_US&amp;offset=0&amp;query=any,contains,991003809469702656","Catalog Record")</f>
        <v/>
      </c>
      <c r="AT20">
        <f>HYPERLINK("http://www.worldcat.org/oclc/1534186","WorldCat Record")</f>
        <v/>
      </c>
      <c r="AU20" t="inlineStr">
        <is>
          <t>2416503:eng</t>
        </is>
      </c>
      <c r="AV20" t="inlineStr">
        <is>
          <t>1534186</t>
        </is>
      </c>
      <c r="AW20" t="inlineStr">
        <is>
          <t>991003809469702656</t>
        </is>
      </c>
      <c r="AX20" t="inlineStr">
        <is>
          <t>991003809469702656</t>
        </is>
      </c>
      <c r="AY20" t="inlineStr">
        <is>
          <t>2271421670002656</t>
        </is>
      </c>
      <c r="AZ20" t="inlineStr">
        <is>
          <t>BOOK</t>
        </is>
      </c>
      <c r="BC20" t="inlineStr">
        <is>
          <t>32285000082478</t>
        </is>
      </c>
      <c r="BD20" t="inlineStr">
        <is>
          <t>893868901</t>
        </is>
      </c>
    </row>
    <row r="21">
      <c r="A21" t="inlineStr">
        <is>
          <t>No</t>
        </is>
      </c>
      <c r="B21" t="inlineStr">
        <is>
          <t>RA1231.R2 U6</t>
        </is>
      </c>
      <c r="C21" t="inlineStr">
        <is>
          <t>0                      RA 1231000R  2                  U  6</t>
        </is>
      </c>
      <c r="D21" t="inlineStr">
        <is>
          <t>Radiation injury; effects, principles, and perspectives [by] Arthur C. Upton.</t>
        </is>
      </c>
      <c r="F21" t="inlineStr">
        <is>
          <t>No</t>
        </is>
      </c>
      <c r="G21" t="inlineStr">
        <is>
          <t>1</t>
        </is>
      </c>
      <c r="H21" t="inlineStr">
        <is>
          <t>No</t>
        </is>
      </c>
      <c r="I21" t="inlineStr">
        <is>
          <t>No</t>
        </is>
      </c>
      <c r="J21" t="inlineStr">
        <is>
          <t>0</t>
        </is>
      </c>
      <c r="K21" t="inlineStr">
        <is>
          <t>Upton, Arthur C., 1923-</t>
        </is>
      </c>
      <c r="L21" t="inlineStr">
        <is>
          <t>Chicago, University of Chicago Press [1969]</t>
        </is>
      </c>
      <c r="M21" t="inlineStr">
        <is>
          <t>1969</t>
        </is>
      </c>
      <c r="O21" t="inlineStr">
        <is>
          <t>eng</t>
        </is>
      </c>
      <c r="P21" t="inlineStr">
        <is>
          <t>ilu</t>
        </is>
      </c>
      <c r="R21" t="inlineStr">
        <is>
          <t xml:space="preserve">RA </t>
        </is>
      </c>
      <c r="S21" t="n">
        <v>2</v>
      </c>
      <c r="T21" t="n">
        <v>2</v>
      </c>
      <c r="U21" t="inlineStr">
        <is>
          <t>1999-10-04</t>
        </is>
      </c>
      <c r="V21" t="inlineStr">
        <is>
          <t>1999-10-04</t>
        </is>
      </c>
      <c r="W21" t="inlineStr">
        <is>
          <t>1997-08-08</t>
        </is>
      </c>
      <c r="X21" t="inlineStr">
        <is>
          <t>1997-08-08</t>
        </is>
      </c>
      <c r="Y21" t="n">
        <v>278</v>
      </c>
      <c r="Z21" t="n">
        <v>225</v>
      </c>
      <c r="AA21" t="n">
        <v>231</v>
      </c>
      <c r="AB21" t="n">
        <v>3</v>
      </c>
      <c r="AC21" t="n">
        <v>3</v>
      </c>
      <c r="AD21" t="n">
        <v>7</v>
      </c>
      <c r="AE21" t="n">
        <v>7</v>
      </c>
      <c r="AF21" t="n">
        <v>1</v>
      </c>
      <c r="AG21" t="n">
        <v>1</v>
      </c>
      <c r="AH21" t="n">
        <v>2</v>
      </c>
      <c r="AI21" t="n">
        <v>2</v>
      </c>
      <c r="AJ21" t="n">
        <v>3</v>
      </c>
      <c r="AK21" t="n">
        <v>3</v>
      </c>
      <c r="AL21" t="n">
        <v>2</v>
      </c>
      <c r="AM21" t="n">
        <v>2</v>
      </c>
      <c r="AN21" t="n">
        <v>0</v>
      </c>
      <c r="AO21" t="n">
        <v>0</v>
      </c>
      <c r="AP21" t="inlineStr">
        <is>
          <t>No</t>
        </is>
      </c>
      <c r="AQ21" t="inlineStr">
        <is>
          <t>Yes</t>
        </is>
      </c>
      <c r="AR21">
        <f>HYPERLINK("http://catalog.hathitrust.org/Record/001560677","HathiTrust Record")</f>
        <v/>
      </c>
      <c r="AS21">
        <f>HYPERLINK("https://creighton-primo.hosted.exlibrisgroup.com/primo-explore/search?tab=default_tab&amp;search_scope=EVERYTHING&amp;vid=01CRU&amp;lang=en_US&amp;offset=0&amp;query=any,contains,991000004889702656","Catalog Record")</f>
        <v/>
      </c>
      <c r="AT21">
        <f>HYPERLINK("http://www.worldcat.org/oclc/12821","WorldCat Record")</f>
        <v/>
      </c>
      <c r="AU21" t="inlineStr">
        <is>
          <t>199107034:eng</t>
        </is>
      </c>
      <c r="AV21" t="inlineStr">
        <is>
          <t>12821</t>
        </is>
      </c>
      <c r="AW21" t="inlineStr">
        <is>
          <t>991000004889702656</t>
        </is>
      </c>
      <c r="AX21" t="inlineStr">
        <is>
          <t>991000004889702656</t>
        </is>
      </c>
      <c r="AY21" t="inlineStr">
        <is>
          <t>2264916700002656</t>
        </is>
      </c>
      <c r="AZ21" t="inlineStr">
        <is>
          <t>BOOK</t>
        </is>
      </c>
      <c r="BC21" t="inlineStr">
        <is>
          <t>32285003084109</t>
        </is>
      </c>
      <c r="BD21" t="inlineStr">
        <is>
          <t>893771284</t>
        </is>
      </c>
    </row>
    <row r="22">
      <c r="A22" t="inlineStr">
        <is>
          <t>No</t>
        </is>
      </c>
      <c r="B22" t="inlineStr">
        <is>
          <t>RA1231.R2 W36 1982</t>
        </is>
      </c>
      <c r="C22" t="inlineStr">
        <is>
          <t>0                      RA 1231000R  2                  W  36          1982</t>
        </is>
      </c>
      <c r="D22" t="inlineStr">
        <is>
          <t>Killing our own : the disaster of America's experience with atomic radiation / Harvey Wasserman &amp; Norman Solomon with Robert Alvarez &amp; Eleanor Walters.</t>
        </is>
      </c>
      <c r="F22" t="inlineStr">
        <is>
          <t>No</t>
        </is>
      </c>
      <c r="G22" t="inlineStr">
        <is>
          <t>1</t>
        </is>
      </c>
      <c r="H22" t="inlineStr">
        <is>
          <t>No</t>
        </is>
      </c>
      <c r="I22" t="inlineStr">
        <is>
          <t>No</t>
        </is>
      </c>
      <c r="J22" t="inlineStr">
        <is>
          <t>0</t>
        </is>
      </c>
      <c r="K22" t="inlineStr">
        <is>
          <t>Wasserman, Harvey.</t>
        </is>
      </c>
      <c r="L22" t="inlineStr">
        <is>
          <t>New York : Dell, c1982.</t>
        </is>
      </c>
      <c r="M22" t="inlineStr">
        <is>
          <t>1982</t>
        </is>
      </c>
      <c r="O22" t="inlineStr">
        <is>
          <t>eng</t>
        </is>
      </c>
      <c r="P22" t="inlineStr">
        <is>
          <t>nyu</t>
        </is>
      </c>
      <c r="Q22" t="inlineStr">
        <is>
          <t>A Delta book</t>
        </is>
      </c>
      <c r="R22" t="inlineStr">
        <is>
          <t xml:space="preserve">RA </t>
        </is>
      </c>
      <c r="S22" t="n">
        <v>4</v>
      </c>
      <c r="T22" t="n">
        <v>4</v>
      </c>
      <c r="U22" t="inlineStr">
        <is>
          <t>1996-04-03</t>
        </is>
      </c>
      <c r="V22" t="inlineStr">
        <is>
          <t>1996-04-03</t>
        </is>
      </c>
      <c r="W22" t="inlineStr">
        <is>
          <t>1991-08-21</t>
        </is>
      </c>
      <c r="X22" t="inlineStr">
        <is>
          <t>1991-08-21</t>
        </is>
      </c>
      <c r="Y22" t="n">
        <v>108</v>
      </c>
      <c r="Z22" t="n">
        <v>98</v>
      </c>
      <c r="AA22" t="n">
        <v>715</v>
      </c>
      <c r="AB22" t="n">
        <v>1</v>
      </c>
      <c r="AC22" t="n">
        <v>4</v>
      </c>
      <c r="AD22" t="n">
        <v>3</v>
      </c>
      <c r="AE22" t="n">
        <v>13</v>
      </c>
      <c r="AF22" t="n">
        <v>0</v>
      </c>
      <c r="AG22" t="n">
        <v>6</v>
      </c>
      <c r="AH22" t="n">
        <v>2</v>
      </c>
      <c r="AI22" t="n">
        <v>4</v>
      </c>
      <c r="AJ22" t="n">
        <v>2</v>
      </c>
      <c r="AK22" t="n">
        <v>6</v>
      </c>
      <c r="AL22" t="n">
        <v>0</v>
      </c>
      <c r="AM22" t="n">
        <v>1</v>
      </c>
      <c r="AN22" t="n">
        <v>0</v>
      </c>
      <c r="AO22" t="n">
        <v>0</v>
      </c>
      <c r="AP22" t="inlineStr">
        <is>
          <t>No</t>
        </is>
      </c>
      <c r="AQ22" t="inlineStr">
        <is>
          <t>No</t>
        </is>
      </c>
      <c r="AS22">
        <f>HYPERLINK("https://creighton-primo.hosted.exlibrisgroup.com/primo-explore/search?tab=default_tab&amp;search_scope=EVERYTHING&amp;vid=01CRU&amp;lang=en_US&amp;offset=0&amp;query=any,contains,991000030619702656","Catalog Record")</f>
        <v/>
      </c>
      <c r="AT22">
        <f>HYPERLINK("http://www.worldcat.org/oclc/8603564","WorldCat Record")</f>
        <v/>
      </c>
      <c r="AU22" t="inlineStr">
        <is>
          <t>456692:eng</t>
        </is>
      </c>
      <c r="AV22" t="inlineStr">
        <is>
          <t>8603564</t>
        </is>
      </c>
      <c r="AW22" t="inlineStr">
        <is>
          <t>991000030619702656</t>
        </is>
      </c>
      <c r="AX22" t="inlineStr">
        <is>
          <t>991000030619702656</t>
        </is>
      </c>
      <c r="AY22" t="inlineStr">
        <is>
          <t>2254915890002656</t>
        </is>
      </c>
      <c r="AZ22" t="inlineStr">
        <is>
          <t>BOOK</t>
        </is>
      </c>
      <c r="BC22" t="inlineStr">
        <is>
          <t>32285000649896</t>
        </is>
      </c>
      <c r="BD22" t="inlineStr">
        <is>
          <t>893865016</t>
        </is>
      </c>
    </row>
    <row r="23">
      <c r="A23" t="inlineStr">
        <is>
          <t>No</t>
        </is>
      </c>
      <c r="B23" t="inlineStr">
        <is>
          <t>RA1242.D48 A64 1984</t>
        </is>
      </c>
      <c r="C23" t="inlineStr">
        <is>
          <t>0                      RA 1242000D  48                 A  64          1984</t>
        </is>
      </c>
      <c r="D23" t="inlineStr">
        <is>
          <t>To do no harm : DES and the dilemmas of modern medicine / Roberta J. Apfel, Susan M. Fisher.</t>
        </is>
      </c>
      <c r="F23" t="inlineStr">
        <is>
          <t>No</t>
        </is>
      </c>
      <c r="G23" t="inlineStr">
        <is>
          <t>1</t>
        </is>
      </c>
      <c r="H23" t="inlineStr">
        <is>
          <t>No</t>
        </is>
      </c>
      <c r="I23" t="inlineStr">
        <is>
          <t>No</t>
        </is>
      </c>
      <c r="J23" t="inlineStr">
        <is>
          <t>0</t>
        </is>
      </c>
      <c r="K23" t="inlineStr">
        <is>
          <t>Apfel, Roberta J., 1938-</t>
        </is>
      </c>
      <c r="L23" t="inlineStr">
        <is>
          <t>New Haven : Yale University Press, c1984.</t>
        </is>
      </c>
      <c r="M23" t="inlineStr">
        <is>
          <t>1984</t>
        </is>
      </c>
      <c r="O23" t="inlineStr">
        <is>
          <t>eng</t>
        </is>
      </c>
      <c r="P23" t="inlineStr">
        <is>
          <t>ctu</t>
        </is>
      </c>
      <c r="R23" t="inlineStr">
        <is>
          <t xml:space="preserve">RA </t>
        </is>
      </c>
      <c r="S23" t="n">
        <v>8</v>
      </c>
      <c r="T23" t="n">
        <v>8</v>
      </c>
      <c r="U23" t="inlineStr">
        <is>
          <t>1996-08-28</t>
        </is>
      </c>
      <c r="V23" t="inlineStr">
        <is>
          <t>1996-08-28</t>
        </is>
      </c>
      <c r="W23" t="inlineStr">
        <is>
          <t>1993-03-17</t>
        </is>
      </c>
      <c r="X23" t="inlineStr">
        <is>
          <t>1993-03-17</t>
        </is>
      </c>
      <c r="Y23" t="n">
        <v>930</v>
      </c>
      <c r="Z23" t="n">
        <v>851</v>
      </c>
      <c r="AA23" t="n">
        <v>1003</v>
      </c>
      <c r="AB23" t="n">
        <v>3</v>
      </c>
      <c r="AC23" t="n">
        <v>3</v>
      </c>
      <c r="AD23" t="n">
        <v>33</v>
      </c>
      <c r="AE23" t="n">
        <v>40</v>
      </c>
      <c r="AF23" t="n">
        <v>12</v>
      </c>
      <c r="AG23" t="n">
        <v>16</v>
      </c>
      <c r="AH23" t="n">
        <v>3</v>
      </c>
      <c r="AI23" t="n">
        <v>6</v>
      </c>
      <c r="AJ23" t="n">
        <v>12</v>
      </c>
      <c r="AK23" t="n">
        <v>15</v>
      </c>
      <c r="AL23" t="n">
        <v>2</v>
      </c>
      <c r="AM23" t="n">
        <v>2</v>
      </c>
      <c r="AN23" t="n">
        <v>9</v>
      </c>
      <c r="AO23" t="n">
        <v>9</v>
      </c>
      <c r="AP23" t="inlineStr">
        <is>
          <t>No</t>
        </is>
      </c>
      <c r="AQ23" t="inlineStr">
        <is>
          <t>No</t>
        </is>
      </c>
      <c r="AS23">
        <f>HYPERLINK("https://creighton-primo.hosted.exlibrisgroup.com/primo-explore/search?tab=default_tab&amp;search_scope=EVERYTHING&amp;vid=01CRU&amp;lang=en_US&amp;offset=0&amp;query=any,contains,991000388089702656","Catalog Record")</f>
        <v/>
      </c>
      <c r="AT23">
        <f>HYPERLINK("http://www.worldcat.org/oclc/10532459","WorldCat Record")</f>
        <v/>
      </c>
      <c r="AU23" t="inlineStr">
        <is>
          <t>836626693:eng</t>
        </is>
      </c>
      <c r="AV23" t="inlineStr">
        <is>
          <t>10532459</t>
        </is>
      </c>
      <c r="AW23" t="inlineStr">
        <is>
          <t>991000388089702656</t>
        </is>
      </c>
      <c r="AX23" t="inlineStr">
        <is>
          <t>991000388089702656</t>
        </is>
      </c>
      <c r="AY23" t="inlineStr">
        <is>
          <t>2267089400002656</t>
        </is>
      </c>
      <c r="AZ23" t="inlineStr">
        <is>
          <t>BOOK</t>
        </is>
      </c>
      <c r="BB23" t="inlineStr">
        <is>
          <t>9780300031928</t>
        </is>
      </c>
      <c r="BC23" t="inlineStr">
        <is>
          <t>32285001588473</t>
        </is>
      </c>
      <c r="BD23" t="inlineStr">
        <is>
          <t>893796595</t>
        </is>
      </c>
    </row>
    <row r="24">
      <c r="A24" t="inlineStr">
        <is>
          <t>No</t>
        </is>
      </c>
      <c r="B24" t="inlineStr">
        <is>
          <t>RA1242.S53 R87</t>
        </is>
      </c>
      <c r="C24" t="inlineStr">
        <is>
          <t>0                      RA 1242000S  53                 R  87</t>
        </is>
      </c>
      <c r="D24" t="inlineStr">
        <is>
          <t>Snake venom poisoning / Findlay E. Russell.</t>
        </is>
      </c>
      <c r="F24" t="inlineStr">
        <is>
          <t>No</t>
        </is>
      </c>
      <c r="G24" t="inlineStr">
        <is>
          <t>1</t>
        </is>
      </c>
      <c r="H24" t="inlineStr">
        <is>
          <t>Yes</t>
        </is>
      </c>
      <c r="I24" t="inlineStr">
        <is>
          <t>No</t>
        </is>
      </c>
      <c r="J24" t="inlineStr">
        <is>
          <t>0</t>
        </is>
      </c>
      <c r="K24" t="inlineStr">
        <is>
          <t>Russell, Findlay E.</t>
        </is>
      </c>
      <c r="L24" t="inlineStr">
        <is>
          <t>Philadelphia : Lippincott, c1980.</t>
        </is>
      </c>
      <c r="M24" t="inlineStr">
        <is>
          <t>1980</t>
        </is>
      </c>
      <c r="O24" t="inlineStr">
        <is>
          <t>eng</t>
        </is>
      </c>
      <c r="P24" t="inlineStr">
        <is>
          <t>pau</t>
        </is>
      </c>
      <c r="R24" t="inlineStr">
        <is>
          <t xml:space="preserve">RA </t>
        </is>
      </c>
      <c r="S24" t="n">
        <v>10</v>
      </c>
      <c r="T24" t="n">
        <v>10</v>
      </c>
      <c r="U24" t="inlineStr">
        <is>
          <t>2000-08-16</t>
        </is>
      </c>
      <c r="V24" t="inlineStr">
        <is>
          <t>2000-08-16</t>
        </is>
      </c>
      <c r="W24" t="inlineStr">
        <is>
          <t>1993-03-17</t>
        </is>
      </c>
      <c r="X24" t="inlineStr">
        <is>
          <t>1993-03-17</t>
        </is>
      </c>
      <c r="Y24" t="n">
        <v>204</v>
      </c>
      <c r="Z24" t="n">
        <v>171</v>
      </c>
      <c r="AA24" t="n">
        <v>254</v>
      </c>
      <c r="AB24" t="n">
        <v>2</v>
      </c>
      <c r="AC24" t="n">
        <v>2</v>
      </c>
      <c r="AD24" t="n">
        <v>1</v>
      </c>
      <c r="AE24" t="n">
        <v>1</v>
      </c>
      <c r="AF24" t="n">
        <v>1</v>
      </c>
      <c r="AG24" t="n">
        <v>1</v>
      </c>
      <c r="AH24" t="n">
        <v>0</v>
      </c>
      <c r="AI24" t="n">
        <v>0</v>
      </c>
      <c r="AJ24" t="n">
        <v>0</v>
      </c>
      <c r="AK24" t="n">
        <v>0</v>
      </c>
      <c r="AL24" t="n">
        <v>0</v>
      </c>
      <c r="AM24" t="n">
        <v>0</v>
      </c>
      <c r="AN24" t="n">
        <v>0</v>
      </c>
      <c r="AO24" t="n">
        <v>0</v>
      </c>
      <c r="AP24" t="inlineStr">
        <is>
          <t>No</t>
        </is>
      </c>
      <c r="AQ24" t="inlineStr">
        <is>
          <t>Yes</t>
        </is>
      </c>
      <c r="AR24">
        <f>HYPERLINK("http://catalog.hathitrust.org/Record/000758262","HathiTrust Record")</f>
        <v/>
      </c>
      <c r="AS24">
        <f>HYPERLINK("https://creighton-primo.hosted.exlibrisgroup.com/primo-explore/search?tab=default_tab&amp;search_scope=EVERYTHING&amp;vid=01CRU&amp;lang=en_US&amp;offset=0&amp;query=any,contains,991004835549702656","Catalog Record")</f>
        <v/>
      </c>
      <c r="AT24">
        <f>HYPERLINK("http://www.worldcat.org/oclc/5447647","WorldCat Record")</f>
        <v/>
      </c>
      <c r="AU24" t="inlineStr">
        <is>
          <t>18079061:eng</t>
        </is>
      </c>
      <c r="AV24" t="inlineStr">
        <is>
          <t>5447647</t>
        </is>
      </c>
      <c r="AW24" t="inlineStr">
        <is>
          <t>991004835549702656</t>
        </is>
      </c>
      <c r="AX24" t="inlineStr">
        <is>
          <t>991004835549702656</t>
        </is>
      </c>
      <c r="AY24" t="inlineStr">
        <is>
          <t>2259325160002656</t>
        </is>
      </c>
      <c r="AZ24" t="inlineStr">
        <is>
          <t>BOOK</t>
        </is>
      </c>
      <c r="BB24" t="inlineStr">
        <is>
          <t>9780397504725</t>
        </is>
      </c>
      <c r="BC24" t="inlineStr">
        <is>
          <t>32285001588499</t>
        </is>
      </c>
      <c r="BD24" t="inlineStr">
        <is>
          <t>893532859</t>
        </is>
      </c>
    </row>
    <row r="25">
      <c r="A25" t="inlineStr">
        <is>
          <t>No</t>
        </is>
      </c>
      <c r="B25" t="inlineStr">
        <is>
          <t>RA1242.T44 D56</t>
        </is>
      </c>
      <c r="C25" t="inlineStr">
        <is>
          <t>0                      RA 1242000T  44                 D  56</t>
        </is>
      </c>
      <c r="D25" t="inlineStr">
        <is>
          <t>Dioxin, toxoocological and chemical aspects / edited by Flaminio Cattabeni, Aldo Cavallaro, Giovanni Galli.</t>
        </is>
      </c>
      <c r="F25" t="inlineStr">
        <is>
          <t>No</t>
        </is>
      </c>
      <c r="G25" t="inlineStr">
        <is>
          <t>1</t>
        </is>
      </c>
      <c r="H25" t="inlineStr">
        <is>
          <t>No</t>
        </is>
      </c>
      <c r="I25" t="inlineStr">
        <is>
          <t>No</t>
        </is>
      </c>
      <c r="J25" t="inlineStr">
        <is>
          <t>0</t>
        </is>
      </c>
      <c r="L25" t="inlineStr">
        <is>
          <t>New York : SP Medical &amp; Scientific Books : distributed by Halsted Press, c1978.</t>
        </is>
      </c>
      <c r="M25" t="inlineStr">
        <is>
          <t>1978</t>
        </is>
      </c>
      <c r="O25" t="inlineStr">
        <is>
          <t>eng</t>
        </is>
      </c>
      <c r="P25" t="inlineStr">
        <is>
          <t>nyu</t>
        </is>
      </c>
      <c r="Q25" t="inlineStr">
        <is>
          <t>Monographs of the Giovanni Lorenzini Foundation ; v. 1</t>
        </is>
      </c>
      <c r="R25" t="inlineStr">
        <is>
          <t xml:space="preserve">RA </t>
        </is>
      </c>
      <c r="S25" t="n">
        <v>4</v>
      </c>
      <c r="T25" t="n">
        <v>4</v>
      </c>
      <c r="U25" t="inlineStr">
        <is>
          <t>1994-04-05</t>
        </is>
      </c>
      <c r="V25" t="inlineStr">
        <is>
          <t>1994-04-05</t>
        </is>
      </c>
      <c r="W25" t="inlineStr">
        <is>
          <t>1992-04-15</t>
        </is>
      </c>
      <c r="X25" t="inlineStr">
        <is>
          <t>1992-04-15</t>
        </is>
      </c>
      <c r="Y25" t="n">
        <v>292</v>
      </c>
      <c r="Z25" t="n">
        <v>214</v>
      </c>
      <c r="AA25" t="n">
        <v>218</v>
      </c>
      <c r="AB25" t="n">
        <v>2</v>
      </c>
      <c r="AC25" t="n">
        <v>2</v>
      </c>
      <c r="AD25" t="n">
        <v>8</v>
      </c>
      <c r="AE25" t="n">
        <v>8</v>
      </c>
      <c r="AF25" t="n">
        <v>2</v>
      </c>
      <c r="AG25" t="n">
        <v>2</v>
      </c>
      <c r="AH25" t="n">
        <v>3</v>
      </c>
      <c r="AI25" t="n">
        <v>3</v>
      </c>
      <c r="AJ25" t="n">
        <v>4</v>
      </c>
      <c r="AK25" t="n">
        <v>4</v>
      </c>
      <c r="AL25" t="n">
        <v>1</v>
      </c>
      <c r="AM25" t="n">
        <v>1</v>
      </c>
      <c r="AN25" t="n">
        <v>0</v>
      </c>
      <c r="AO25" t="n">
        <v>0</v>
      </c>
      <c r="AP25" t="inlineStr">
        <is>
          <t>No</t>
        </is>
      </c>
      <c r="AQ25" t="inlineStr">
        <is>
          <t>Yes</t>
        </is>
      </c>
      <c r="AR25">
        <f>HYPERLINK("http://catalog.hathitrust.org/Record/000091046","HathiTrust Record")</f>
        <v/>
      </c>
      <c r="AS25">
        <f>HYPERLINK("https://creighton-primo.hosted.exlibrisgroup.com/primo-explore/search?tab=default_tab&amp;search_scope=EVERYTHING&amp;vid=01CRU&amp;lang=en_US&amp;offset=0&amp;query=any,contains,991004472329702656","Catalog Record")</f>
        <v/>
      </c>
      <c r="AT25">
        <f>HYPERLINK("http://www.worldcat.org/oclc/3604373","WorldCat Record")</f>
        <v/>
      </c>
      <c r="AU25" t="inlineStr">
        <is>
          <t>982628617:eng</t>
        </is>
      </c>
      <c r="AV25" t="inlineStr">
        <is>
          <t>3604373</t>
        </is>
      </c>
      <c r="AW25" t="inlineStr">
        <is>
          <t>991004472329702656</t>
        </is>
      </c>
      <c r="AX25" t="inlineStr">
        <is>
          <t>991004472329702656</t>
        </is>
      </c>
      <c r="AY25" t="inlineStr">
        <is>
          <t>2269228060002656</t>
        </is>
      </c>
      <c r="AZ25" t="inlineStr">
        <is>
          <t>BOOK</t>
        </is>
      </c>
      <c r="BB25" t="inlineStr">
        <is>
          <t>9780893350383</t>
        </is>
      </c>
      <c r="BC25" t="inlineStr">
        <is>
          <t>32285001062800</t>
        </is>
      </c>
      <c r="BD25" t="inlineStr">
        <is>
          <t>893519693</t>
        </is>
      </c>
    </row>
    <row r="26">
      <c r="A26" t="inlineStr">
        <is>
          <t>No</t>
        </is>
      </c>
      <c r="B26" t="inlineStr">
        <is>
          <t>RA1242.T6 E25 1978</t>
        </is>
      </c>
      <c r="C26" t="inlineStr">
        <is>
          <t>0                      RA 1242000T  6                  E  25          1978</t>
        </is>
      </c>
      <c r="D26" t="inlineStr">
        <is>
          <t>Cutting tobacco's toll / Erik Eckholm.</t>
        </is>
      </c>
      <c r="F26" t="inlineStr">
        <is>
          <t>No</t>
        </is>
      </c>
      <c r="G26" t="inlineStr">
        <is>
          <t>1</t>
        </is>
      </c>
      <c r="H26" t="inlineStr">
        <is>
          <t>No</t>
        </is>
      </c>
      <c r="I26" t="inlineStr">
        <is>
          <t>No</t>
        </is>
      </c>
      <c r="J26" t="inlineStr">
        <is>
          <t>0</t>
        </is>
      </c>
      <c r="K26" t="inlineStr">
        <is>
          <t>Eckholm, Erik P.</t>
        </is>
      </c>
      <c r="L26" t="inlineStr">
        <is>
          <t>[Washington] : Worldwatch Institute, 1978.</t>
        </is>
      </c>
      <c r="M26" t="inlineStr">
        <is>
          <t>1978</t>
        </is>
      </c>
      <c r="O26" t="inlineStr">
        <is>
          <t>eng</t>
        </is>
      </c>
      <c r="P26" t="inlineStr">
        <is>
          <t>dcu</t>
        </is>
      </c>
      <c r="Q26" t="inlineStr">
        <is>
          <t>Worldwatch paper ; 18</t>
        </is>
      </c>
      <c r="R26" t="inlineStr">
        <is>
          <t xml:space="preserve">RA </t>
        </is>
      </c>
      <c r="S26" t="n">
        <v>8</v>
      </c>
      <c r="T26" t="n">
        <v>8</v>
      </c>
      <c r="U26" t="inlineStr">
        <is>
          <t>1995-03-27</t>
        </is>
      </c>
      <c r="V26" t="inlineStr">
        <is>
          <t>1995-03-27</t>
        </is>
      </c>
      <c r="W26" t="inlineStr">
        <is>
          <t>1992-12-09</t>
        </is>
      </c>
      <c r="X26" t="inlineStr">
        <is>
          <t>1992-12-09</t>
        </is>
      </c>
      <c r="Y26" t="n">
        <v>272</v>
      </c>
      <c r="Z26" t="n">
        <v>222</v>
      </c>
      <c r="AA26" t="n">
        <v>227</v>
      </c>
      <c r="AB26" t="n">
        <v>1</v>
      </c>
      <c r="AC26" t="n">
        <v>1</v>
      </c>
      <c r="AD26" t="n">
        <v>8</v>
      </c>
      <c r="AE26" t="n">
        <v>8</v>
      </c>
      <c r="AF26" t="n">
        <v>4</v>
      </c>
      <c r="AG26" t="n">
        <v>4</v>
      </c>
      <c r="AH26" t="n">
        <v>3</v>
      </c>
      <c r="AI26" t="n">
        <v>3</v>
      </c>
      <c r="AJ26" t="n">
        <v>5</v>
      </c>
      <c r="AK26" t="n">
        <v>5</v>
      </c>
      <c r="AL26" t="n">
        <v>0</v>
      </c>
      <c r="AM26" t="n">
        <v>0</v>
      </c>
      <c r="AN26" t="n">
        <v>0</v>
      </c>
      <c r="AO26" t="n">
        <v>0</v>
      </c>
      <c r="AP26" t="inlineStr">
        <is>
          <t>No</t>
        </is>
      </c>
      <c r="AQ26" t="inlineStr">
        <is>
          <t>No</t>
        </is>
      </c>
      <c r="AS26">
        <f>HYPERLINK("https://creighton-primo.hosted.exlibrisgroup.com/primo-explore/search?tab=default_tab&amp;search_scope=EVERYTHING&amp;vid=01CRU&amp;lang=en_US&amp;offset=0&amp;query=any,contains,991004533279702656","Catalog Record")</f>
        <v/>
      </c>
      <c r="AT26">
        <f>HYPERLINK("http://www.worldcat.org/oclc/3862392","WorldCat Record")</f>
        <v/>
      </c>
      <c r="AU26" t="inlineStr">
        <is>
          <t>12686322:eng</t>
        </is>
      </c>
      <c r="AV26" t="inlineStr">
        <is>
          <t>3862392</t>
        </is>
      </c>
      <c r="AW26" t="inlineStr">
        <is>
          <t>991004533279702656</t>
        </is>
      </c>
      <c r="AX26" t="inlineStr">
        <is>
          <t>991004533279702656</t>
        </is>
      </c>
      <c r="AY26" t="inlineStr">
        <is>
          <t>2271022060002656</t>
        </is>
      </c>
      <c r="AZ26" t="inlineStr">
        <is>
          <t>BOOK</t>
        </is>
      </c>
      <c r="BB26" t="inlineStr">
        <is>
          <t>9780916468170</t>
        </is>
      </c>
      <c r="BC26" t="inlineStr">
        <is>
          <t>32285001414068</t>
        </is>
      </c>
      <c r="BD26" t="inlineStr">
        <is>
          <t>893807188</t>
        </is>
      </c>
    </row>
    <row r="27">
      <c r="A27" t="inlineStr">
        <is>
          <t>No</t>
        </is>
      </c>
      <c r="B27" t="inlineStr">
        <is>
          <t>RA1242.T6 E58 1990</t>
        </is>
      </c>
      <c r="C27" t="inlineStr">
        <is>
          <t>0                      RA 1242000T  6                  E  58          1990</t>
        </is>
      </c>
      <c r="D27" t="inlineStr">
        <is>
          <t>Environmental tobacco smoke : proceedings of the International Symposium at McGill University, 1989 / Donald J. Ecobichon, Joseph M. Wu, editors and organizers of the symposium.</t>
        </is>
      </c>
      <c r="F27" t="inlineStr">
        <is>
          <t>No</t>
        </is>
      </c>
      <c r="G27" t="inlineStr">
        <is>
          <t>1</t>
        </is>
      </c>
      <c r="H27" t="inlineStr">
        <is>
          <t>Yes</t>
        </is>
      </c>
      <c r="I27" t="inlineStr">
        <is>
          <t>No</t>
        </is>
      </c>
      <c r="J27" t="inlineStr">
        <is>
          <t>0</t>
        </is>
      </c>
      <c r="L27" t="inlineStr">
        <is>
          <t>Lexington, MA : Lexington Books, c1990.</t>
        </is>
      </c>
      <c r="M27" t="inlineStr">
        <is>
          <t>1990</t>
        </is>
      </c>
      <c r="O27" t="inlineStr">
        <is>
          <t>eng</t>
        </is>
      </c>
      <c r="P27" t="inlineStr">
        <is>
          <t>mau</t>
        </is>
      </c>
      <c r="R27" t="inlineStr">
        <is>
          <t xml:space="preserve">RA </t>
        </is>
      </c>
      <c r="S27" t="n">
        <v>43</v>
      </c>
      <c r="T27" t="n">
        <v>43</v>
      </c>
      <c r="U27" t="inlineStr">
        <is>
          <t>2000-11-29</t>
        </is>
      </c>
      <c r="V27" t="inlineStr">
        <is>
          <t>2000-11-29</t>
        </is>
      </c>
      <c r="W27" t="inlineStr">
        <is>
          <t>1990-03-08</t>
        </is>
      </c>
      <c r="X27" t="inlineStr">
        <is>
          <t>1994-10-04</t>
        </is>
      </c>
      <c r="Y27" t="n">
        <v>2159</v>
      </c>
      <c r="Z27" t="n">
        <v>2128</v>
      </c>
      <c r="AA27" t="n">
        <v>2243</v>
      </c>
      <c r="AB27" t="n">
        <v>16</v>
      </c>
      <c r="AC27" t="n">
        <v>16</v>
      </c>
      <c r="AD27" t="n">
        <v>68</v>
      </c>
      <c r="AE27" t="n">
        <v>70</v>
      </c>
      <c r="AF27" t="n">
        <v>21</v>
      </c>
      <c r="AG27" t="n">
        <v>22</v>
      </c>
      <c r="AH27" t="n">
        <v>7</v>
      </c>
      <c r="AI27" t="n">
        <v>7</v>
      </c>
      <c r="AJ27" t="n">
        <v>23</v>
      </c>
      <c r="AK27" t="n">
        <v>23</v>
      </c>
      <c r="AL27" t="n">
        <v>9</v>
      </c>
      <c r="AM27" t="n">
        <v>9</v>
      </c>
      <c r="AN27" t="n">
        <v>20</v>
      </c>
      <c r="AO27" t="n">
        <v>21</v>
      </c>
      <c r="AP27" t="inlineStr">
        <is>
          <t>No</t>
        </is>
      </c>
      <c r="AQ27" t="inlineStr">
        <is>
          <t>Yes</t>
        </is>
      </c>
      <c r="AR27">
        <f>HYPERLINK("http://catalog.hathitrust.org/Record/001948214","HathiTrust Record")</f>
        <v/>
      </c>
      <c r="AS27">
        <f>HYPERLINK("https://creighton-primo.hosted.exlibrisgroup.com/primo-explore/search?tab=default_tab&amp;search_scope=EVERYTHING&amp;vid=01CRU&amp;lang=en_US&amp;offset=0&amp;query=any,contains,991001643569702656","Catalog Record")</f>
        <v/>
      </c>
      <c r="AT27">
        <f>HYPERLINK("http://www.worldcat.org/oclc/20800495","WorldCat Record")</f>
        <v/>
      </c>
      <c r="AU27" t="inlineStr">
        <is>
          <t>793331215:eng</t>
        </is>
      </c>
      <c r="AV27" t="inlineStr">
        <is>
          <t>20800495</t>
        </is>
      </c>
      <c r="AW27" t="inlineStr">
        <is>
          <t>991001643569702656</t>
        </is>
      </c>
      <c r="AX27" t="inlineStr">
        <is>
          <t>991001643569702656</t>
        </is>
      </c>
      <c r="AY27" t="inlineStr">
        <is>
          <t>2255556920002656</t>
        </is>
      </c>
      <c r="AZ27" t="inlineStr">
        <is>
          <t>BOOK</t>
        </is>
      </c>
      <c r="BB27" t="inlineStr">
        <is>
          <t>9780669243659</t>
        </is>
      </c>
      <c r="BC27" t="inlineStr">
        <is>
          <t>32285000043298</t>
        </is>
      </c>
      <c r="BD27" t="inlineStr">
        <is>
          <t>893522707</t>
        </is>
      </c>
    </row>
    <row r="28">
      <c r="A28" t="inlineStr">
        <is>
          <t>No</t>
        </is>
      </c>
      <c r="B28" t="inlineStr">
        <is>
          <t>RA1242.T6 S6</t>
        </is>
      </c>
      <c r="C28" t="inlineStr">
        <is>
          <t>0                      RA 1242000T  6                  S  6</t>
        </is>
      </c>
      <c r="D28" t="inlineStr">
        <is>
          <t>Smoking, health, and behavior / edited by Edgar F. Borgatta and Robert R. Evans.</t>
        </is>
      </c>
      <c r="F28" t="inlineStr">
        <is>
          <t>No</t>
        </is>
      </c>
      <c r="G28" t="inlineStr">
        <is>
          <t>1</t>
        </is>
      </c>
      <c r="H28" t="inlineStr">
        <is>
          <t>No</t>
        </is>
      </c>
      <c r="I28" t="inlineStr">
        <is>
          <t>No</t>
        </is>
      </c>
      <c r="J28" t="inlineStr">
        <is>
          <t>0</t>
        </is>
      </c>
      <c r="L28" t="inlineStr">
        <is>
          <t>Chicago : Aldine Pub. Co., [1968]</t>
        </is>
      </c>
      <c r="M28" t="inlineStr">
        <is>
          <t>1968</t>
        </is>
      </c>
      <c r="O28" t="inlineStr">
        <is>
          <t>eng</t>
        </is>
      </c>
      <c r="P28" t="inlineStr">
        <is>
          <t>ilu</t>
        </is>
      </c>
      <c r="R28" t="inlineStr">
        <is>
          <t xml:space="preserve">RA </t>
        </is>
      </c>
      <c r="S28" t="n">
        <v>22</v>
      </c>
      <c r="T28" t="n">
        <v>22</v>
      </c>
      <c r="U28" t="inlineStr">
        <is>
          <t>2000-11-16</t>
        </is>
      </c>
      <c r="V28" t="inlineStr">
        <is>
          <t>2000-11-16</t>
        </is>
      </c>
      <c r="W28" t="inlineStr">
        <is>
          <t>1992-03-20</t>
        </is>
      </c>
      <c r="X28" t="inlineStr">
        <is>
          <t>1992-03-20</t>
        </is>
      </c>
      <c r="Y28" t="n">
        <v>469</v>
      </c>
      <c r="Z28" t="n">
        <v>391</v>
      </c>
      <c r="AA28" t="n">
        <v>399</v>
      </c>
      <c r="AB28" t="n">
        <v>3</v>
      </c>
      <c r="AC28" t="n">
        <v>3</v>
      </c>
      <c r="AD28" t="n">
        <v>14</v>
      </c>
      <c r="AE28" t="n">
        <v>14</v>
      </c>
      <c r="AF28" t="n">
        <v>4</v>
      </c>
      <c r="AG28" t="n">
        <v>4</v>
      </c>
      <c r="AH28" t="n">
        <v>4</v>
      </c>
      <c r="AI28" t="n">
        <v>4</v>
      </c>
      <c r="AJ28" t="n">
        <v>9</v>
      </c>
      <c r="AK28" t="n">
        <v>9</v>
      </c>
      <c r="AL28" t="n">
        <v>2</v>
      </c>
      <c r="AM28" t="n">
        <v>2</v>
      </c>
      <c r="AN28" t="n">
        <v>0</v>
      </c>
      <c r="AO28" t="n">
        <v>0</v>
      </c>
      <c r="AP28" t="inlineStr">
        <is>
          <t>No</t>
        </is>
      </c>
      <c r="AQ28" t="inlineStr">
        <is>
          <t>Yes</t>
        </is>
      </c>
      <c r="AR28">
        <f>HYPERLINK("http://catalog.hathitrust.org/Record/001560708","HathiTrust Record")</f>
        <v/>
      </c>
      <c r="AS28">
        <f>HYPERLINK("https://creighton-primo.hosted.exlibrisgroup.com/primo-explore/search?tab=default_tab&amp;search_scope=EVERYTHING&amp;vid=01CRU&amp;lang=en_US&amp;offset=0&amp;query=any,contains,991005431189702656","Catalog Record")</f>
        <v/>
      </c>
      <c r="AT28">
        <f>HYPERLINK("http://www.worldcat.org/oclc/259","WorldCat Record")</f>
        <v/>
      </c>
      <c r="AU28" t="inlineStr">
        <is>
          <t>53434745:eng</t>
        </is>
      </c>
      <c r="AV28" t="inlineStr">
        <is>
          <t>259</t>
        </is>
      </c>
      <c r="AW28" t="inlineStr">
        <is>
          <t>991005431189702656</t>
        </is>
      </c>
      <c r="AX28" t="inlineStr">
        <is>
          <t>991005431189702656</t>
        </is>
      </c>
      <c r="AY28" t="inlineStr">
        <is>
          <t>2272501090002656</t>
        </is>
      </c>
      <c r="AZ28" t="inlineStr">
        <is>
          <t>BOOK</t>
        </is>
      </c>
      <c r="BC28" t="inlineStr">
        <is>
          <t>32285001025369</t>
        </is>
      </c>
      <c r="BD28" t="inlineStr">
        <is>
          <t>893332959</t>
        </is>
      </c>
    </row>
    <row r="29">
      <c r="A29" t="inlineStr">
        <is>
          <t>No</t>
        </is>
      </c>
      <c r="B29" t="inlineStr">
        <is>
          <t>RA1258 .M55 1993</t>
        </is>
      </c>
      <c r="C29" t="inlineStr">
        <is>
          <t>0                      RA 1258000M  55          1993</t>
        </is>
      </c>
      <c r="D29" t="inlineStr">
        <is>
          <t>Environmental poisons in our food / J. Gordon Millichap.</t>
        </is>
      </c>
      <c r="F29" t="inlineStr">
        <is>
          <t>No</t>
        </is>
      </c>
      <c r="G29" t="inlineStr">
        <is>
          <t>1</t>
        </is>
      </c>
      <c r="H29" t="inlineStr">
        <is>
          <t>No</t>
        </is>
      </c>
      <c r="I29" t="inlineStr">
        <is>
          <t>No</t>
        </is>
      </c>
      <c r="J29" t="inlineStr">
        <is>
          <t>0</t>
        </is>
      </c>
      <c r="K29" t="inlineStr">
        <is>
          <t>Millichap, J. Gordon.</t>
        </is>
      </c>
      <c r="L29" t="inlineStr">
        <is>
          <t>Chicago : PNB Publishers, c1993</t>
        </is>
      </c>
      <c r="M29" t="inlineStr">
        <is>
          <t>1993</t>
        </is>
      </c>
      <c r="O29" t="inlineStr">
        <is>
          <t>eng</t>
        </is>
      </c>
      <c r="P29" t="inlineStr">
        <is>
          <t>ilu</t>
        </is>
      </c>
      <c r="R29" t="inlineStr">
        <is>
          <t xml:space="preserve">RA </t>
        </is>
      </c>
      <c r="S29" t="n">
        <v>8</v>
      </c>
      <c r="T29" t="n">
        <v>8</v>
      </c>
      <c r="U29" t="inlineStr">
        <is>
          <t>1995-03-13</t>
        </is>
      </c>
      <c r="V29" t="inlineStr">
        <is>
          <t>1995-03-13</t>
        </is>
      </c>
      <c r="W29" t="inlineStr">
        <is>
          <t>1993-07-02</t>
        </is>
      </c>
      <c r="X29" t="inlineStr">
        <is>
          <t>1993-07-02</t>
        </is>
      </c>
      <c r="Y29" t="n">
        <v>455</v>
      </c>
      <c r="Z29" t="n">
        <v>424</v>
      </c>
      <c r="AA29" t="n">
        <v>429</v>
      </c>
      <c r="AB29" t="n">
        <v>1</v>
      </c>
      <c r="AC29" t="n">
        <v>1</v>
      </c>
      <c r="AD29" t="n">
        <v>7</v>
      </c>
      <c r="AE29" t="n">
        <v>7</v>
      </c>
      <c r="AF29" t="n">
        <v>2</v>
      </c>
      <c r="AG29" t="n">
        <v>2</v>
      </c>
      <c r="AH29" t="n">
        <v>3</v>
      </c>
      <c r="AI29" t="n">
        <v>3</v>
      </c>
      <c r="AJ29" t="n">
        <v>3</v>
      </c>
      <c r="AK29" t="n">
        <v>3</v>
      </c>
      <c r="AL29" t="n">
        <v>0</v>
      </c>
      <c r="AM29" t="n">
        <v>0</v>
      </c>
      <c r="AN29" t="n">
        <v>0</v>
      </c>
      <c r="AO29" t="n">
        <v>0</v>
      </c>
      <c r="AP29" t="inlineStr">
        <is>
          <t>No</t>
        </is>
      </c>
      <c r="AQ29" t="inlineStr">
        <is>
          <t>No</t>
        </is>
      </c>
      <c r="AS29">
        <f>HYPERLINK("https://creighton-primo.hosted.exlibrisgroup.com/primo-explore/search?tab=default_tab&amp;search_scope=EVERYTHING&amp;vid=01CRU&amp;lang=en_US&amp;offset=0&amp;query=any,contains,991002184529702656","Catalog Record")</f>
        <v/>
      </c>
      <c r="AT29">
        <f>HYPERLINK("http://www.worldcat.org/oclc/28130425","WorldCat Record")</f>
        <v/>
      </c>
      <c r="AU29" t="inlineStr">
        <is>
          <t>385032:eng</t>
        </is>
      </c>
      <c r="AV29" t="inlineStr">
        <is>
          <t>28130425</t>
        </is>
      </c>
      <c r="AW29" t="inlineStr">
        <is>
          <t>991002184529702656</t>
        </is>
      </c>
      <c r="AX29" t="inlineStr">
        <is>
          <t>991002184529702656</t>
        </is>
      </c>
      <c r="AY29" t="inlineStr">
        <is>
          <t>2254718770002656</t>
        </is>
      </c>
      <c r="AZ29" t="inlineStr">
        <is>
          <t>BOOK</t>
        </is>
      </c>
      <c r="BB29" t="inlineStr">
        <is>
          <t>9780962911576</t>
        </is>
      </c>
      <c r="BC29" t="inlineStr">
        <is>
          <t>32285001700623</t>
        </is>
      </c>
      <c r="BD29" t="inlineStr">
        <is>
          <t>893238742</t>
        </is>
      </c>
    </row>
    <row r="30">
      <c r="A30" t="inlineStr">
        <is>
          <t>No</t>
        </is>
      </c>
      <c r="B30" t="inlineStr">
        <is>
          <t>RA1258 .S74 1990</t>
        </is>
      </c>
      <c r="C30" t="inlineStr">
        <is>
          <t>0                      RA 1258000S  74          1990</t>
        </is>
      </c>
      <c r="D30" t="inlineStr">
        <is>
          <t>Diet for a poisoned planet : how to choose safe foods for you and your family / David Steinman.</t>
        </is>
      </c>
      <c r="F30" t="inlineStr">
        <is>
          <t>No</t>
        </is>
      </c>
      <c r="G30" t="inlineStr">
        <is>
          <t>1</t>
        </is>
      </c>
      <c r="H30" t="inlineStr">
        <is>
          <t>No</t>
        </is>
      </c>
      <c r="I30" t="inlineStr">
        <is>
          <t>No</t>
        </is>
      </c>
      <c r="J30" t="inlineStr">
        <is>
          <t>0</t>
        </is>
      </c>
      <c r="K30" t="inlineStr">
        <is>
          <t>Steinman, David.</t>
        </is>
      </c>
      <c r="L30" t="inlineStr">
        <is>
          <t>New York : Harmony Books, c1990.</t>
        </is>
      </c>
      <c r="M30" t="inlineStr">
        <is>
          <t>1990</t>
        </is>
      </c>
      <c r="N30" t="inlineStr">
        <is>
          <t>1st ed.</t>
        </is>
      </c>
      <c r="O30" t="inlineStr">
        <is>
          <t>eng</t>
        </is>
      </c>
      <c r="P30" t="inlineStr">
        <is>
          <t>nyu</t>
        </is>
      </c>
      <c r="R30" t="inlineStr">
        <is>
          <t xml:space="preserve">RA </t>
        </is>
      </c>
      <c r="S30" t="n">
        <v>4</v>
      </c>
      <c r="T30" t="n">
        <v>4</v>
      </c>
      <c r="U30" t="inlineStr">
        <is>
          <t>1992-01-25</t>
        </is>
      </c>
      <c r="V30" t="inlineStr">
        <is>
          <t>1992-01-25</t>
        </is>
      </c>
      <c r="W30" t="inlineStr">
        <is>
          <t>1990-11-08</t>
        </is>
      </c>
      <c r="X30" t="inlineStr">
        <is>
          <t>1990-11-08</t>
        </is>
      </c>
      <c r="Y30" t="n">
        <v>415</v>
      </c>
      <c r="Z30" t="n">
        <v>392</v>
      </c>
      <c r="AA30" t="n">
        <v>517</v>
      </c>
      <c r="AB30" t="n">
        <v>3</v>
      </c>
      <c r="AC30" t="n">
        <v>4</v>
      </c>
      <c r="AD30" t="n">
        <v>6</v>
      </c>
      <c r="AE30" t="n">
        <v>10</v>
      </c>
      <c r="AF30" t="n">
        <v>3</v>
      </c>
      <c r="AG30" t="n">
        <v>4</v>
      </c>
      <c r="AH30" t="n">
        <v>0</v>
      </c>
      <c r="AI30" t="n">
        <v>1</v>
      </c>
      <c r="AJ30" t="n">
        <v>3</v>
      </c>
      <c r="AK30" t="n">
        <v>4</v>
      </c>
      <c r="AL30" t="n">
        <v>1</v>
      </c>
      <c r="AM30" t="n">
        <v>2</v>
      </c>
      <c r="AN30" t="n">
        <v>0</v>
      </c>
      <c r="AO30" t="n">
        <v>0</v>
      </c>
      <c r="AP30" t="inlineStr">
        <is>
          <t>No</t>
        </is>
      </c>
      <c r="AQ30" t="inlineStr">
        <is>
          <t>Yes</t>
        </is>
      </c>
      <c r="AR30">
        <f>HYPERLINK("http://catalog.hathitrust.org/Record/007987904","HathiTrust Record")</f>
        <v/>
      </c>
      <c r="AS30">
        <f>HYPERLINK("https://creighton-primo.hosted.exlibrisgroup.com/primo-explore/search?tab=default_tab&amp;search_scope=EVERYTHING&amp;vid=01CRU&amp;lang=en_US&amp;offset=0&amp;query=any,contains,991001637879702656","Catalog Record")</f>
        <v/>
      </c>
      <c r="AT30">
        <f>HYPERLINK("http://www.worldcat.org/oclc/20993102","WorldCat Record")</f>
        <v/>
      </c>
      <c r="AU30" t="inlineStr">
        <is>
          <t>22730710:eng</t>
        </is>
      </c>
      <c r="AV30" t="inlineStr">
        <is>
          <t>20993102</t>
        </is>
      </c>
      <c r="AW30" t="inlineStr">
        <is>
          <t>991001637879702656</t>
        </is>
      </c>
      <c r="AX30" t="inlineStr">
        <is>
          <t>991001637879702656</t>
        </is>
      </c>
      <c r="AY30" t="inlineStr">
        <is>
          <t>2267034650002656</t>
        </is>
      </c>
      <c r="AZ30" t="inlineStr">
        <is>
          <t>BOOK</t>
        </is>
      </c>
      <c r="BB30" t="inlineStr">
        <is>
          <t>9780517575123</t>
        </is>
      </c>
      <c r="BC30" t="inlineStr">
        <is>
          <t>32285000313618</t>
        </is>
      </c>
      <c r="BD30" t="inlineStr">
        <is>
          <t>893615246</t>
        </is>
      </c>
    </row>
    <row r="31">
      <c r="A31" t="inlineStr">
        <is>
          <t>No</t>
        </is>
      </c>
      <c r="B31" t="inlineStr">
        <is>
          <t>RA393 .A44</t>
        </is>
      </c>
      <c r="C31" t="inlineStr">
        <is>
          <t>0                      RA 0393000A  44</t>
        </is>
      </c>
      <c r="D31" t="inlineStr">
        <is>
          <t>Health policy-making and administration in West Germany and the United States / Christa Altenstetter.</t>
        </is>
      </c>
      <c r="F31" t="inlineStr">
        <is>
          <t>No</t>
        </is>
      </c>
      <c r="G31" t="inlineStr">
        <is>
          <t>1</t>
        </is>
      </c>
      <c r="H31" t="inlineStr">
        <is>
          <t>No</t>
        </is>
      </c>
      <c r="I31" t="inlineStr">
        <is>
          <t>No</t>
        </is>
      </c>
      <c r="J31" t="inlineStr">
        <is>
          <t>0</t>
        </is>
      </c>
      <c r="K31" t="inlineStr">
        <is>
          <t>Altenstetter, Christa.</t>
        </is>
      </c>
      <c r="L31" t="inlineStr">
        <is>
          <t>Beverly Hills, Calif. : Sage Publications, [1974]</t>
        </is>
      </c>
      <c r="M31" t="inlineStr">
        <is>
          <t>1974</t>
        </is>
      </c>
      <c r="O31" t="inlineStr">
        <is>
          <t>eng</t>
        </is>
      </c>
      <c r="P31" t="inlineStr">
        <is>
          <t>cau</t>
        </is>
      </c>
      <c r="Q31" t="inlineStr">
        <is>
          <t>Sage professional papers in administrative and policy studies ; ser. no. 03-013</t>
        </is>
      </c>
      <c r="R31" t="inlineStr">
        <is>
          <t xml:space="preserve">RA </t>
        </is>
      </c>
      <c r="S31" t="n">
        <v>5</v>
      </c>
      <c r="T31" t="n">
        <v>5</v>
      </c>
      <c r="U31" t="inlineStr">
        <is>
          <t>2000-11-28</t>
        </is>
      </c>
      <c r="V31" t="inlineStr">
        <is>
          <t>2000-11-28</t>
        </is>
      </c>
      <c r="W31" t="inlineStr">
        <is>
          <t>1993-03-09</t>
        </is>
      </c>
      <c r="X31" t="inlineStr">
        <is>
          <t>1993-03-09</t>
        </is>
      </c>
      <c r="Y31" t="n">
        <v>197</v>
      </c>
      <c r="Z31" t="n">
        <v>147</v>
      </c>
      <c r="AA31" t="n">
        <v>147</v>
      </c>
      <c r="AB31" t="n">
        <v>2</v>
      </c>
      <c r="AC31" t="n">
        <v>2</v>
      </c>
      <c r="AD31" t="n">
        <v>3</v>
      </c>
      <c r="AE31" t="n">
        <v>3</v>
      </c>
      <c r="AF31" t="n">
        <v>0</v>
      </c>
      <c r="AG31" t="n">
        <v>0</v>
      </c>
      <c r="AH31" t="n">
        <v>1</v>
      </c>
      <c r="AI31" t="n">
        <v>1</v>
      </c>
      <c r="AJ31" t="n">
        <v>2</v>
      </c>
      <c r="AK31" t="n">
        <v>2</v>
      </c>
      <c r="AL31" t="n">
        <v>1</v>
      </c>
      <c r="AM31" t="n">
        <v>1</v>
      </c>
      <c r="AN31" t="n">
        <v>0</v>
      </c>
      <c r="AO31" t="n">
        <v>0</v>
      </c>
      <c r="AP31" t="inlineStr">
        <is>
          <t>No</t>
        </is>
      </c>
      <c r="AQ31" t="inlineStr">
        <is>
          <t>No</t>
        </is>
      </c>
      <c r="AS31">
        <f>HYPERLINK("https://creighton-primo.hosted.exlibrisgroup.com/primo-explore/search?tab=default_tab&amp;search_scope=EVERYTHING&amp;vid=01CRU&amp;lang=en_US&amp;offset=0&amp;query=any,contains,991003577039702656","Catalog Record")</f>
        <v/>
      </c>
      <c r="AT31">
        <f>HYPERLINK("http://www.worldcat.org/oclc/1156503","WorldCat Record")</f>
        <v/>
      </c>
      <c r="AU31" t="inlineStr">
        <is>
          <t>2089058:eng</t>
        </is>
      </c>
      <c r="AV31" t="inlineStr">
        <is>
          <t>1156503</t>
        </is>
      </c>
      <c r="AW31" t="inlineStr">
        <is>
          <t>991003577039702656</t>
        </is>
      </c>
      <c r="AX31" t="inlineStr">
        <is>
          <t>991003577039702656</t>
        </is>
      </c>
      <c r="AY31" t="inlineStr">
        <is>
          <t>2262918100002656</t>
        </is>
      </c>
      <c r="AZ31" t="inlineStr">
        <is>
          <t>BOOK</t>
        </is>
      </c>
      <c r="BB31" t="inlineStr">
        <is>
          <t>9780803902978</t>
        </is>
      </c>
      <c r="BC31" t="inlineStr">
        <is>
          <t>32285001586378</t>
        </is>
      </c>
      <c r="BD31" t="inlineStr">
        <is>
          <t>893611187</t>
        </is>
      </c>
    </row>
    <row r="32">
      <c r="A32" t="inlineStr">
        <is>
          <t>No</t>
        </is>
      </c>
      <c r="B32" t="inlineStr">
        <is>
          <t>RA393 .G6 1980</t>
        </is>
      </c>
      <c r="C32" t="inlineStr">
        <is>
          <t>0                      RA 0393000G  6           1980</t>
        </is>
      </c>
      <c r="D32" t="inlineStr">
        <is>
          <t>Health sector policy paper / [Fredrick Golladay, author ; Alexa Dru Deric, contributor ; Emmanuel D'Silva, editor.]</t>
        </is>
      </c>
      <c r="F32" t="inlineStr">
        <is>
          <t>No</t>
        </is>
      </c>
      <c r="G32" t="inlineStr">
        <is>
          <t>1</t>
        </is>
      </c>
      <c r="H32" t="inlineStr">
        <is>
          <t>No</t>
        </is>
      </c>
      <c r="I32" t="inlineStr">
        <is>
          <t>No</t>
        </is>
      </c>
      <c r="J32" t="inlineStr">
        <is>
          <t>0</t>
        </is>
      </c>
      <c r="K32" t="inlineStr">
        <is>
          <t>Golladay, Fredrick L.</t>
        </is>
      </c>
      <c r="L32" t="inlineStr">
        <is>
          <t>Washington, D.C. : World Bank, 1980.</t>
        </is>
      </c>
      <c r="M32" t="inlineStr">
        <is>
          <t>1980</t>
        </is>
      </c>
      <c r="N32" t="inlineStr">
        <is>
          <t>2d ed.</t>
        </is>
      </c>
      <c r="O32" t="inlineStr">
        <is>
          <t>eng</t>
        </is>
      </c>
      <c r="P32" t="inlineStr">
        <is>
          <t>dcu</t>
        </is>
      </c>
      <c r="R32" t="inlineStr">
        <is>
          <t xml:space="preserve">RA </t>
        </is>
      </c>
      <c r="S32" t="n">
        <v>5</v>
      </c>
      <c r="T32" t="n">
        <v>5</v>
      </c>
      <c r="U32" t="inlineStr">
        <is>
          <t>2000-07-05</t>
        </is>
      </c>
      <c r="V32" t="inlineStr">
        <is>
          <t>2000-07-05</t>
        </is>
      </c>
      <c r="W32" t="inlineStr">
        <is>
          <t>1993-03-09</t>
        </is>
      </c>
      <c r="X32" t="inlineStr">
        <is>
          <t>1993-03-09</t>
        </is>
      </c>
      <c r="Y32" t="n">
        <v>105</v>
      </c>
      <c r="Z32" t="n">
        <v>70</v>
      </c>
      <c r="AA32" t="n">
        <v>105</v>
      </c>
      <c r="AB32" t="n">
        <v>1</v>
      </c>
      <c r="AC32" t="n">
        <v>1</v>
      </c>
      <c r="AD32" t="n">
        <v>0</v>
      </c>
      <c r="AE32" t="n">
        <v>0</v>
      </c>
      <c r="AF32" t="n">
        <v>0</v>
      </c>
      <c r="AG32" t="n">
        <v>0</v>
      </c>
      <c r="AH32" t="n">
        <v>0</v>
      </c>
      <c r="AI32" t="n">
        <v>0</v>
      </c>
      <c r="AJ32" t="n">
        <v>0</v>
      </c>
      <c r="AK32" t="n">
        <v>0</v>
      </c>
      <c r="AL32" t="n">
        <v>0</v>
      </c>
      <c r="AM32" t="n">
        <v>0</v>
      </c>
      <c r="AN32" t="n">
        <v>0</v>
      </c>
      <c r="AO32" t="n">
        <v>0</v>
      </c>
      <c r="AP32" t="inlineStr">
        <is>
          <t>No</t>
        </is>
      </c>
      <c r="AQ32" t="inlineStr">
        <is>
          <t>No</t>
        </is>
      </c>
      <c r="AS32">
        <f>HYPERLINK("https://creighton-primo.hosted.exlibrisgroup.com/primo-explore/search?tab=default_tab&amp;search_scope=EVERYTHING&amp;vid=01CRU&amp;lang=en_US&amp;offset=0&amp;query=any,contains,991004962879702656","Catalog Record")</f>
        <v/>
      </c>
      <c r="AT32">
        <f>HYPERLINK("http://www.worldcat.org/oclc/11495645","WorldCat Record")</f>
        <v/>
      </c>
      <c r="AU32" t="inlineStr">
        <is>
          <t>4757650827:eng</t>
        </is>
      </c>
      <c r="AV32" t="inlineStr">
        <is>
          <t>11495645</t>
        </is>
      </c>
      <c r="AW32" t="inlineStr">
        <is>
          <t>991004962879702656</t>
        </is>
      </c>
      <c r="AX32" t="inlineStr">
        <is>
          <t>991004962879702656</t>
        </is>
      </c>
      <c r="AY32" t="inlineStr">
        <is>
          <t>2264623170002656</t>
        </is>
      </c>
      <c r="AZ32" t="inlineStr">
        <is>
          <t>BOOK</t>
        </is>
      </c>
      <c r="BC32" t="inlineStr">
        <is>
          <t>32285001586386</t>
        </is>
      </c>
      <c r="BD32" t="inlineStr">
        <is>
          <t>893801540</t>
        </is>
      </c>
    </row>
    <row r="33">
      <c r="A33" t="inlineStr">
        <is>
          <t>No</t>
        </is>
      </c>
      <c r="B33" t="inlineStr">
        <is>
          <t>RA393 .H38 2000</t>
        </is>
      </c>
      <c r="C33" t="inlineStr">
        <is>
          <t>0                      RA 0393000H  38          2000</t>
        </is>
      </c>
      <c r="D33" t="inlineStr">
        <is>
          <t>Health care management : organization, design, and behavior / [edited by] Stephen M. Shortell, Arnold D. Kaluzny and associates.</t>
        </is>
      </c>
      <c r="F33" t="inlineStr">
        <is>
          <t>No</t>
        </is>
      </c>
      <c r="G33" t="inlineStr">
        <is>
          <t>1</t>
        </is>
      </c>
      <c r="H33" t="inlineStr">
        <is>
          <t>No</t>
        </is>
      </c>
      <c r="I33" t="inlineStr">
        <is>
          <t>No</t>
        </is>
      </c>
      <c r="J33" t="inlineStr">
        <is>
          <t>0</t>
        </is>
      </c>
      <c r="L33" t="inlineStr">
        <is>
          <t>Albany, N.Y. : Delmar Publishers, c2000.</t>
        </is>
      </c>
      <c r="M33" t="inlineStr">
        <is>
          <t>2000</t>
        </is>
      </c>
      <c r="N33" t="inlineStr">
        <is>
          <t>4th ed.</t>
        </is>
      </c>
      <c r="O33" t="inlineStr">
        <is>
          <t>eng</t>
        </is>
      </c>
      <c r="P33" t="inlineStr">
        <is>
          <t>nyu</t>
        </is>
      </c>
      <c r="Q33" t="inlineStr">
        <is>
          <t>Delmar series in health services administration</t>
        </is>
      </c>
      <c r="R33" t="inlineStr">
        <is>
          <t xml:space="preserve">RA </t>
        </is>
      </c>
      <c r="S33" t="n">
        <v>5</v>
      </c>
      <c r="T33" t="n">
        <v>5</v>
      </c>
      <c r="U33" t="inlineStr">
        <is>
          <t>2008-09-28</t>
        </is>
      </c>
      <c r="V33" t="inlineStr">
        <is>
          <t>2008-09-28</t>
        </is>
      </c>
      <c r="W33" t="inlineStr">
        <is>
          <t>2000-03-20</t>
        </is>
      </c>
      <c r="X33" t="inlineStr">
        <is>
          <t>2000-03-20</t>
        </is>
      </c>
      <c r="Y33" t="n">
        <v>214</v>
      </c>
      <c r="Z33" t="n">
        <v>156</v>
      </c>
      <c r="AA33" t="n">
        <v>380</v>
      </c>
      <c r="AB33" t="n">
        <v>1</v>
      </c>
      <c r="AC33" t="n">
        <v>1</v>
      </c>
      <c r="AD33" t="n">
        <v>10</v>
      </c>
      <c r="AE33" t="n">
        <v>13</v>
      </c>
      <c r="AF33" t="n">
        <v>5</v>
      </c>
      <c r="AG33" t="n">
        <v>5</v>
      </c>
      <c r="AH33" t="n">
        <v>2</v>
      </c>
      <c r="AI33" t="n">
        <v>2</v>
      </c>
      <c r="AJ33" t="n">
        <v>5</v>
      </c>
      <c r="AK33" t="n">
        <v>8</v>
      </c>
      <c r="AL33" t="n">
        <v>0</v>
      </c>
      <c r="AM33" t="n">
        <v>0</v>
      </c>
      <c r="AN33" t="n">
        <v>0</v>
      </c>
      <c r="AO33" t="n">
        <v>0</v>
      </c>
      <c r="AP33" t="inlineStr">
        <is>
          <t>No</t>
        </is>
      </c>
      <c r="AQ33" t="inlineStr">
        <is>
          <t>No</t>
        </is>
      </c>
      <c r="AS33">
        <f>HYPERLINK("https://creighton-primo.hosted.exlibrisgroup.com/primo-explore/search?tab=default_tab&amp;search_scope=EVERYTHING&amp;vid=01CRU&amp;lang=en_US&amp;offset=0&amp;query=any,contains,991003028179702656","Catalog Record")</f>
        <v/>
      </c>
      <c r="AT33">
        <f>HYPERLINK("http://www.worldcat.org/oclc/41419595","WorldCat Record")</f>
        <v/>
      </c>
      <c r="AU33" t="inlineStr">
        <is>
          <t>792401807:eng</t>
        </is>
      </c>
      <c r="AV33" t="inlineStr">
        <is>
          <t>41419595</t>
        </is>
      </c>
      <c r="AW33" t="inlineStr">
        <is>
          <t>991003028179702656</t>
        </is>
      </c>
      <c r="AX33" t="inlineStr">
        <is>
          <t>991003028179702656</t>
        </is>
      </c>
      <c r="AY33" t="inlineStr">
        <is>
          <t>2256577980002656</t>
        </is>
      </c>
      <c r="AZ33" t="inlineStr">
        <is>
          <t>BOOK</t>
        </is>
      </c>
      <c r="BB33" t="inlineStr">
        <is>
          <t>9780766810723</t>
        </is>
      </c>
      <c r="BC33" t="inlineStr">
        <is>
          <t>32285003672093</t>
        </is>
      </c>
      <c r="BD33" t="inlineStr">
        <is>
          <t>893786890</t>
        </is>
      </c>
    </row>
    <row r="34">
      <c r="A34" t="inlineStr">
        <is>
          <t>No</t>
        </is>
      </c>
      <c r="B34" t="inlineStr">
        <is>
          <t>RA393 .L4 1984</t>
        </is>
      </c>
      <c r="C34" t="inlineStr">
        <is>
          <t>0                      RA 0393000L  4           1984</t>
        </is>
      </c>
      <c r="D34" t="inlineStr">
        <is>
          <t>Health care administration : a managerial perspective / Samuel Levey, N. Paul Loomba, with the assistance of Robert E. Brown.</t>
        </is>
      </c>
      <c r="F34" t="inlineStr">
        <is>
          <t>No</t>
        </is>
      </c>
      <c r="G34" t="inlineStr">
        <is>
          <t>1</t>
        </is>
      </c>
      <c r="H34" t="inlineStr">
        <is>
          <t>Yes</t>
        </is>
      </c>
      <c r="I34" t="inlineStr">
        <is>
          <t>No</t>
        </is>
      </c>
      <c r="J34" t="inlineStr">
        <is>
          <t>0</t>
        </is>
      </c>
      <c r="K34" t="inlineStr">
        <is>
          <t>Levey, Samuel.</t>
        </is>
      </c>
      <c r="L34" t="inlineStr">
        <is>
          <t>Philadelphia : Lippincott, c1984.</t>
        </is>
      </c>
      <c r="M34" t="inlineStr">
        <is>
          <t>1984</t>
        </is>
      </c>
      <c r="N34" t="inlineStr">
        <is>
          <t>2nd ed.</t>
        </is>
      </c>
      <c r="O34" t="inlineStr">
        <is>
          <t>eng</t>
        </is>
      </c>
      <c r="P34" t="inlineStr">
        <is>
          <t>pau</t>
        </is>
      </c>
      <c r="R34" t="inlineStr">
        <is>
          <t xml:space="preserve">RA </t>
        </is>
      </c>
      <c r="S34" t="n">
        <v>3</v>
      </c>
      <c r="T34" t="n">
        <v>3</v>
      </c>
      <c r="U34" t="inlineStr">
        <is>
          <t>2000-11-28</t>
        </is>
      </c>
      <c r="V34" t="inlineStr">
        <is>
          <t>2000-11-28</t>
        </is>
      </c>
      <c r="W34" t="inlineStr">
        <is>
          <t>1991-12-09</t>
        </is>
      </c>
      <c r="X34" t="inlineStr">
        <is>
          <t>1991-12-09</t>
        </is>
      </c>
      <c r="Y34" t="n">
        <v>296</v>
      </c>
      <c r="Z34" t="n">
        <v>252</v>
      </c>
      <c r="AA34" t="n">
        <v>428</v>
      </c>
      <c r="AB34" t="n">
        <v>4</v>
      </c>
      <c r="AC34" t="n">
        <v>4</v>
      </c>
      <c r="AD34" t="n">
        <v>8</v>
      </c>
      <c r="AE34" t="n">
        <v>10</v>
      </c>
      <c r="AF34" t="n">
        <v>1</v>
      </c>
      <c r="AG34" t="n">
        <v>2</v>
      </c>
      <c r="AH34" t="n">
        <v>2</v>
      </c>
      <c r="AI34" t="n">
        <v>3</v>
      </c>
      <c r="AJ34" t="n">
        <v>5</v>
      </c>
      <c r="AK34" t="n">
        <v>5</v>
      </c>
      <c r="AL34" t="n">
        <v>2</v>
      </c>
      <c r="AM34" t="n">
        <v>2</v>
      </c>
      <c r="AN34" t="n">
        <v>0</v>
      </c>
      <c r="AO34" t="n">
        <v>0</v>
      </c>
      <c r="AP34" t="inlineStr">
        <is>
          <t>No</t>
        </is>
      </c>
      <c r="AQ34" t="inlineStr">
        <is>
          <t>Yes</t>
        </is>
      </c>
      <c r="AR34">
        <f>HYPERLINK("http://catalog.hathitrust.org/Record/000780335","HathiTrust Record")</f>
        <v/>
      </c>
      <c r="AS34">
        <f>HYPERLINK("https://creighton-primo.hosted.exlibrisgroup.com/primo-explore/search?tab=default_tab&amp;search_scope=EVERYTHING&amp;vid=01CRU&amp;lang=en_US&amp;offset=0&amp;query=any,contains,991000346109702656","Catalog Record")</f>
        <v/>
      </c>
      <c r="AT34">
        <f>HYPERLINK("http://www.worldcat.org/oclc/10277824","WorldCat Record")</f>
        <v/>
      </c>
      <c r="AU34" t="inlineStr">
        <is>
          <t>889763188:eng</t>
        </is>
      </c>
      <c r="AV34" t="inlineStr">
        <is>
          <t>10277824</t>
        </is>
      </c>
      <c r="AW34" t="inlineStr">
        <is>
          <t>991000346109702656</t>
        </is>
      </c>
      <c r="AX34" t="inlineStr">
        <is>
          <t>991000346109702656</t>
        </is>
      </c>
      <c r="AY34" t="inlineStr">
        <is>
          <t>2265239860002656</t>
        </is>
      </c>
      <c r="AZ34" t="inlineStr">
        <is>
          <t>BOOK</t>
        </is>
      </c>
      <c r="BB34" t="inlineStr">
        <is>
          <t>9780397521005</t>
        </is>
      </c>
      <c r="BC34" t="inlineStr">
        <is>
          <t>32285000872498</t>
        </is>
      </c>
      <c r="BD34" t="inlineStr">
        <is>
          <t>893614100</t>
        </is>
      </c>
    </row>
    <row r="35">
      <c r="A35" t="inlineStr">
        <is>
          <t>No</t>
        </is>
      </c>
      <c r="B35" t="inlineStr">
        <is>
          <t>RA393 .L9</t>
        </is>
      </c>
      <c r="C35" t="inlineStr">
        <is>
          <t>0                      RA 0393000L  9</t>
        </is>
      </c>
      <c r="D35" t="inlineStr">
        <is>
          <t>Medicine and the state, by Matthew J. Lynch and Stanley S. Raphael.</t>
        </is>
      </c>
      <c r="F35" t="inlineStr">
        <is>
          <t>No</t>
        </is>
      </c>
      <c r="G35" t="inlineStr">
        <is>
          <t>1</t>
        </is>
      </c>
      <c r="H35" t="inlineStr">
        <is>
          <t>No</t>
        </is>
      </c>
      <c r="I35" t="inlineStr">
        <is>
          <t>No</t>
        </is>
      </c>
      <c r="J35" t="inlineStr">
        <is>
          <t>0</t>
        </is>
      </c>
      <c r="K35" t="inlineStr">
        <is>
          <t>Lynch, Matthew J.</t>
        </is>
      </c>
      <c r="L35" t="inlineStr">
        <is>
          <t>Springfield, Ill., Thomas [1963]</t>
        </is>
      </c>
      <c r="M35" t="inlineStr">
        <is>
          <t>1963</t>
        </is>
      </c>
      <c r="O35" t="inlineStr">
        <is>
          <t>eng</t>
        </is>
      </c>
      <c r="P35" t="inlineStr">
        <is>
          <t xml:space="preserve">xx </t>
        </is>
      </c>
      <c r="R35" t="inlineStr">
        <is>
          <t xml:space="preserve">RA </t>
        </is>
      </c>
      <c r="S35" t="n">
        <v>1</v>
      </c>
      <c r="T35" t="n">
        <v>1</v>
      </c>
      <c r="U35" t="inlineStr">
        <is>
          <t>2001-10-31</t>
        </is>
      </c>
      <c r="V35" t="inlineStr">
        <is>
          <t>2001-10-31</t>
        </is>
      </c>
      <c r="W35" t="inlineStr">
        <is>
          <t>1997-08-08</t>
        </is>
      </c>
      <c r="X35" t="inlineStr">
        <is>
          <t>1997-08-08</t>
        </is>
      </c>
      <c r="Y35" t="n">
        <v>183</v>
      </c>
      <c r="Z35" t="n">
        <v>144</v>
      </c>
      <c r="AA35" t="n">
        <v>159</v>
      </c>
      <c r="AB35" t="n">
        <v>1</v>
      </c>
      <c r="AC35" t="n">
        <v>1</v>
      </c>
      <c r="AD35" t="n">
        <v>2</v>
      </c>
      <c r="AE35" t="n">
        <v>3</v>
      </c>
      <c r="AF35" t="n">
        <v>0</v>
      </c>
      <c r="AG35" t="n">
        <v>1</v>
      </c>
      <c r="AH35" t="n">
        <v>1</v>
      </c>
      <c r="AI35" t="n">
        <v>1</v>
      </c>
      <c r="AJ35" t="n">
        <v>1</v>
      </c>
      <c r="AK35" t="n">
        <v>1</v>
      </c>
      <c r="AL35" t="n">
        <v>0</v>
      </c>
      <c r="AM35" t="n">
        <v>0</v>
      </c>
      <c r="AN35" t="n">
        <v>0</v>
      </c>
      <c r="AO35" t="n">
        <v>0</v>
      </c>
      <c r="AP35" t="inlineStr">
        <is>
          <t>Yes</t>
        </is>
      </c>
      <c r="AQ35" t="inlineStr">
        <is>
          <t>No</t>
        </is>
      </c>
      <c r="AR35">
        <f>HYPERLINK("http://catalog.hathitrust.org/Record/001577277","HathiTrust Record")</f>
        <v/>
      </c>
      <c r="AS35">
        <f>HYPERLINK("https://creighton-primo.hosted.exlibrisgroup.com/primo-explore/search?tab=default_tab&amp;search_scope=EVERYTHING&amp;vid=01CRU&amp;lang=en_US&amp;offset=0&amp;query=any,contains,991003757189702656","Catalog Record")</f>
        <v/>
      </c>
      <c r="AT35">
        <f>HYPERLINK("http://www.worldcat.org/oclc/1440103","WorldCat Record")</f>
        <v/>
      </c>
      <c r="AU35" t="inlineStr">
        <is>
          <t>2343139:eng</t>
        </is>
      </c>
      <c r="AV35" t="inlineStr">
        <is>
          <t>1440103</t>
        </is>
      </c>
      <c r="AW35" t="inlineStr">
        <is>
          <t>991003757189702656</t>
        </is>
      </c>
      <c r="AX35" t="inlineStr">
        <is>
          <t>991003757189702656</t>
        </is>
      </c>
      <c r="AY35" t="inlineStr">
        <is>
          <t>2258099340002656</t>
        </is>
      </c>
      <c r="AZ35" t="inlineStr">
        <is>
          <t>BOOK</t>
        </is>
      </c>
      <c r="BC35" t="inlineStr">
        <is>
          <t>32285003083275</t>
        </is>
      </c>
      <c r="BD35" t="inlineStr">
        <is>
          <t>893252732</t>
        </is>
      </c>
    </row>
    <row r="36">
      <c r="A36" t="inlineStr">
        <is>
          <t>No</t>
        </is>
      </c>
      <c r="B36" t="inlineStr">
        <is>
          <t>RA393 .S2813 1984</t>
        </is>
      </c>
      <c r="C36" t="inlineStr">
        <is>
          <t>0                      RA 0393000S  2813        1984</t>
        </is>
      </c>
      <c r="D36" t="inlineStr">
        <is>
          <t>The end of an illusion : the future of health policy in Western industrialized nations / edited by Jean de Kervasdoué, John R. Kimberly, and Victor G. Rodwin.</t>
        </is>
      </c>
      <c r="F36" t="inlineStr">
        <is>
          <t>No</t>
        </is>
      </c>
      <c r="G36" t="inlineStr">
        <is>
          <t>1</t>
        </is>
      </c>
      <c r="H36" t="inlineStr">
        <is>
          <t>No</t>
        </is>
      </c>
      <c r="I36" t="inlineStr">
        <is>
          <t>No</t>
        </is>
      </c>
      <c r="J36" t="inlineStr">
        <is>
          <t>0</t>
        </is>
      </c>
      <c r="K36" t="inlineStr">
        <is>
          <t>Santé rationnée? English.</t>
        </is>
      </c>
      <c r="L36" t="inlineStr">
        <is>
          <t>Berkeley : University of California Press, c1984.</t>
        </is>
      </c>
      <c r="M36" t="inlineStr">
        <is>
          <t>1984</t>
        </is>
      </c>
      <c r="O36" t="inlineStr">
        <is>
          <t>eng</t>
        </is>
      </c>
      <c r="P36" t="inlineStr">
        <is>
          <t>cau</t>
        </is>
      </c>
      <c r="Q36" t="inlineStr">
        <is>
          <t>Comparative studies of health systems and medical care</t>
        </is>
      </c>
      <c r="R36" t="inlineStr">
        <is>
          <t xml:space="preserve">RA </t>
        </is>
      </c>
      <c r="S36" t="n">
        <v>4</v>
      </c>
      <c r="T36" t="n">
        <v>4</v>
      </c>
      <c r="U36" t="inlineStr">
        <is>
          <t>2003-06-24</t>
        </is>
      </c>
      <c r="V36" t="inlineStr">
        <is>
          <t>2003-06-24</t>
        </is>
      </c>
      <c r="W36" t="inlineStr">
        <is>
          <t>1992-12-09</t>
        </is>
      </c>
      <c r="X36" t="inlineStr">
        <is>
          <t>1992-12-09</t>
        </is>
      </c>
      <c r="Y36" t="n">
        <v>312</v>
      </c>
      <c r="Z36" t="n">
        <v>241</v>
      </c>
      <c r="AA36" t="n">
        <v>258</v>
      </c>
      <c r="AB36" t="n">
        <v>1</v>
      </c>
      <c r="AC36" t="n">
        <v>1</v>
      </c>
      <c r="AD36" t="n">
        <v>7</v>
      </c>
      <c r="AE36" t="n">
        <v>7</v>
      </c>
      <c r="AF36" t="n">
        <v>1</v>
      </c>
      <c r="AG36" t="n">
        <v>1</v>
      </c>
      <c r="AH36" t="n">
        <v>3</v>
      </c>
      <c r="AI36" t="n">
        <v>3</v>
      </c>
      <c r="AJ36" t="n">
        <v>5</v>
      </c>
      <c r="AK36" t="n">
        <v>5</v>
      </c>
      <c r="AL36" t="n">
        <v>0</v>
      </c>
      <c r="AM36" t="n">
        <v>0</v>
      </c>
      <c r="AN36" t="n">
        <v>0</v>
      </c>
      <c r="AO36" t="n">
        <v>0</v>
      </c>
      <c r="AP36" t="inlineStr">
        <is>
          <t>No</t>
        </is>
      </c>
      <c r="AQ36" t="inlineStr">
        <is>
          <t>No</t>
        </is>
      </c>
      <c r="AS36">
        <f>HYPERLINK("https://creighton-primo.hosted.exlibrisgroup.com/primo-explore/search?tab=default_tab&amp;search_scope=EVERYTHING&amp;vid=01CRU&amp;lang=en_US&amp;offset=0&amp;query=any,contains,991000315979702656","Catalog Record")</f>
        <v/>
      </c>
      <c r="AT36">
        <f>HYPERLINK("http://www.worldcat.org/oclc/10121940","WorldCat Record")</f>
        <v/>
      </c>
      <c r="AU36" t="inlineStr">
        <is>
          <t>180116795:eng</t>
        </is>
      </c>
      <c r="AV36" t="inlineStr">
        <is>
          <t>10121940</t>
        </is>
      </c>
      <c r="AW36" t="inlineStr">
        <is>
          <t>991000315979702656</t>
        </is>
      </c>
      <c r="AX36" t="inlineStr">
        <is>
          <t>991000315979702656</t>
        </is>
      </c>
      <c r="AY36" t="inlineStr">
        <is>
          <t>2267131620002656</t>
        </is>
      </c>
      <c r="AZ36" t="inlineStr">
        <is>
          <t>BOOK</t>
        </is>
      </c>
      <c r="BB36" t="inlineStr">
        <is>
          <t>9780520047266</t>
        </is>
      </c>
      <c r="BC36" t="inlineStr">
        <is>
          <t>32285001414902</t>
        </is>
      </c>
      <c r="BD36" t="inlineStr">
        <is>
          <t>893620374</t>
        </is>
      </c>
    </row>
    <row r="37">
      <c r="A37" t="inlineStr">
        <is>
          <t>No</t>
        </is>
      </c>
      <c r="B37" t="inlineStr">
        <is>
          <t>RA394 .E93 1993</t>
        </is>
      </c>
      <c r="C37" t="inlineStr">
        <is>
          <t>0                      RA 0394000E  93          1993</t>
        </is>
      </c>
      <c r="D37" t="inlineStr">
        <is>
          <t>Evaluating the medical care system : effectiveness, efficiency, and equity / Lu Ann Aday ... [et al.].</t>
        </is>
      </c>
      <c r="F37" t="inlineStr">
        <is>
          <t>No</t>
        </is>
      </c>
      <c r="G37" t="inlineStr">
        <is>
          <t>1</t>
        </is>
      </c>
      <c r="H37" t="inlineStr">
        <is>
          <t>No</t>
        </is>
      </c>
      <c r="I37" t="inlineStr">
        <is>
          <t>No</t>
        </is>
      </c>
      <c r="J37" t="inlineStr">
        <is>
          <t>0</t>
        </is>
      </c>
      <c r="L37" t="inlineStr">
        <is>
          <t>Ann Arbor, Mich. : Health Administration Press, 1993.</t>
        </is>
      </c>
      <c r="M37" t="inlineStr">
        <is>
          <t>1993</t>
        </is>
      </c>
      <c r="O37" t="inlineStr">
        <is>
          <t>eng</t>
        </is>
      </c>
      <c r="P37" t="inlineStr">
        <is>
          <t>miu</t>
        </is>
      </c>
      <c r="R37" t="inlineStr">
        <is>
          <t xml:space="preserve">RA </t>
        </is>
      </c>
      <c r="S37" t="n">
        <v>6</v>
      </c>
      <c r="T37" t="n">
        <v>6</v>
      </c>
      <c r="U37" t="inlineStr">
        <is>
          <t>1995-03-20</t>
        </is>
      </c>
      <c r="V37" t="inlineStr">
        <is>
          <t>1995-03-20</t>
        </is>
      </c>
      <c r="W37" t="inlineStr">
        <is>
          <t>1994-05-11</t>
        </is>
      </c>
      <c r="X37" t="inlineStr">
        <is>
          <t>1994-05-11</t>
        </is>
      </c>
      <c r="Y37" t="n">
        <v>209</v>
      </c>
      <c r="Z37" t="n">
        <v>179</v>
      </c>
      <c r="AA37" t="n">
        <v>184</v>
      </c>
      <c r="AB37" t="n">
        <v>1</v>
      </c>
      <c r="AC37" t="n">
        <v>1</v>
      </c>
      <c r="AD37" t="n">
        <v>16</v>
      </c>
      <c r="AE37" t="n">
        <v>16</v>
      </c>
      <c r="AF37" t="n">
        <v>5</v>
      </c>
      <c r="AG37" t="n">
        <v>5</v>
      </c>
      <c r="AH37" t="n">
        <v>5</v>
      </c>
      <c r="AI37" t="n">
        <v>5</v>
      </c>
      <c r="AJ37" t="n">
        <v>6</v>
      </c>
      <c r="AK37" t="n">
        <v>6</v>
      </c>
      <c r="AL37" t="n">
        <v>0</v>
      </c>
      <c r="AM37" t="n">
        <v>0</v>
      </c>
      <c r="AN37" t="n">
        <v>4</v>
      </c>
      <c r="AO37" t="n">
        <v>4</v>
      </c>
      <c r="AP37" t="inlineStr">
        <is>
          <t>No</t>
        </is>
      </c>
      <c r="AQ37" t="inlineStr">
        <is>
          <t>No</t>
        </is>
      </c>
      <c r="AS37">
        <f>HYPERLINK("https://creighton-primo.hosted.exlibrisgroup.com/primo-explore/search?tab=default_tab&amp;search_scope=EVERYTHING&amp;vid=01CRU&amp;lang=en_US&amp;offset=0&amp;query=any,contains,991002163789702656","Catalog Record")</f>
        <v/>
      </c>
      <c r="AT37">
        <f>HYPERLINK("http://www.worldcat.org/oclc/27854373","WorldCat Record")</f>
        <v/>
      </c>
      <c r="AU37" t="inlineStr">
        <is>
          <t>380625:eng</t>
        </is>
      </c>
      <c r="AV37" t="inlineStr">
        <is>
          <t>27854373</t>
        </is>
      </c>
      <c r="AW37" t="inlineStr">
        <is>
          <t>991002163789702656</t>
        </is>
      </c>
      <c r="AX37" t="inlineStr">
        <is>
          <t>991002163789702656</t>
        </is>
      </c>
      <c r="AY37" t="inlineStr">
        <is>
          <t>2264325330002656</t>
        </is>
      </c>
      <c r="AZ37" t="inlineStr">
        <is>
          <t>BOOK</t>
        </is>
      </c>
      <c r="BB37" t="inlineStr">
        <is>
          <t>9780910701983</t>
        </is>
      </c>
      <c r="BC37" t="inlineStr">
        <is>
          <t>32285001895654</t>
        </is>
      </c>
      <c r="BD37" t="inlineStr">
        <is>
          <t>893866878</t>
        </is>
      </c>
    </row>
    <row r="38">
      <c r="A38" t="inlineStr">
        <is>
          <t>No</t>
        </is>
      </c>
      <c r="B38" t="inlineStr">
        <is>
          <t>RA394 .F67 1994</t>
        </is>
      </c>
      <c r="C38" t="inlineStr">
        <is>
          <t>0                      RA 0394000F  67          1994</t>
        </is>
      </c>
      <c r="D38" t="inlineStr">
        <is>
          <t>Plagues, products and politics : emergent public health hazards and national policymaking / Christopher H. Foreman, Jr.</t>
        </is>
      </c>
      <c r="F38" t="inlineStr">
        <is>
          <t>No</t>
        </is>
      </c>
      <c r="G38" t="inlineStr">
        <is>
          <t>1</t>
        </is>
      </c>
      <c r="H38" t="inlineStr">
        <is>
          <t>No</t>
        </is>
      </c>
      <c r="I38" t="inlineStr">
        <is>
          <t>No</t>
        </is>
      </c>
      <c r="J38" t="inlineStr">
        <is>
          <t>0</t>
        </is>
      </c>
      <c r="K38" t="inlineStr">
        <is>
          <t>Foreman, Christopher H.</t>
        </is>
      </c>
      <c r="L38" t="inlineStr">
        <is>
          <t>Washington, D.C. : The Brookings Institution, 1994.</t>
        </is>
      </c>
      <c r="M38" t="inlineStr">
        <is>
          <t>1994</t>
        </is>
      </c>
      <c r="O38" t="inlineStr">
        <is>
          <t>eng</t>
        </is>
      </c>
      <c r="P38" t="inlineStr">
        <is>
          <t>dcu</t>
        </is>
      </c>
      <c r="R38" t="inlineStr">
        <is>
          <t xml:space="preserve">RA </t>
        </is>
      </c>
      <c r="S38" t="n">
        <v>4</v>
      </c>
      <c r="T38" t="n">
        <v>4</v>
      </c>
      <c r="U38" t="inlineStr">
        <is>
          <t>1997-04-20</t>
        </is>
      </c>
      <c r="V38" t="inlineStr">
        <is>
          <t>1997-04-20</t>
        </is>
      </c>
      <c r="W38" t="inlineStr">
        <is>
          <t>1994-10-11</t>
        </is>
      </c>
      <c r="X38" t="inlineStr">
        <is>
          <t>1994-10-11</t>
        </is>
      </c>
      <c r="Y38" t="n">
        <v>521</v>
      </c>
      <c r="Z38" t="n">
        <v>461</v>
      </c>
      <c r="AA38" t="n">
        <v>466</v>
      </c>
      <c r="AB38" t="n">
        <v>2</v>
      </c>
      <c r="AC38" t="n">
        <v>2</v>
      </c>
      <c r="AD38" t="n">
        <v>24</v>
      </c>
      <c r="AE38" t="n">
        <v>24</v>
      </c>
      <c r="AF38" t="n">
        <v>8</v>
      </c>
      <c r="AG38" t="n">
        <v>8</v>
      </c>
      <c r="AH38" t="n">
        <v>6</v>
      </c>
      <c r="AI38" t="n">
        <v>6</v>
      </c>
      <c r="AJ38" t="n">
        <v>11</v>
      </c>
      <c r="AK38" t="n">
        <v>11</v>
      </c>
      <c r="AL38" t="n">
        <v>1</v>
      </c>
      <c r="AM38" t="n">
        <v>1</v>
      </c>
      <c r="AN38" t="n">
        <v>6</v>
      </c>
      <c r="AO38" t="n">
        <v>6</v>
      </c>
      <c r="AP38" t="inlineStr">
        <is>
          <t>No</t>
        </is>
      </c>
      <c r="AQ38" t="inlineStr">
        <is>
          <t>No</t>
        </is>
      </c>
      <c r="AS38">
        <f>HYPERLINK("https://creighton-primo.hosted.exlibrisgroup.com/primo-explore/search?tab=default_tab&amp;search_scope=EVERYTHING&amp;vid=01CRU&amp;lang=en_US&amp;offset=0&amp;query=any,contains,991002329929702656","Catalog Record")</f>
        <v/>
      </c>
      <c r="AT38">
        <f>HYPERLINK("http://www.worldcat.org/oclc/30319603","WorldCat Record")</f>
        <v/>
      </c>
      <c r="AU38" t="inlineStr">
        <is>
          <t>32281621:eng</t>
        </is>
      </c>
      <c r="AV38" t="inlineStr">
        <is>
          <t>30319603</t>
        </is>
      </c>
      <c r="AW38" t="inlineStr">
        <is>
          <t>991002329929702656</t>
        </is>
      </c>
      <c r="AX38" t="inlineStr">
        <is>
          <t>991002329929702656</t>
        </is>
      </c>
      <c r="AY38" t="inlineStr">
        <is>
          <t>2268048150002656</t>
        </is>
      </c>
      <c r="AZ38" t="inlineStr">
        <is>
          <t>BOOK</t>
        </is>
      </c>
      <c r="BB38" t="inlineStr">
        <is>
          <t>9780815728757</t>
        </is>
      </c>
      <c r="BC38" t="inlineStr">
        <is>
          <t>32285001868321</t>
        </is>
      </c>
      <c r="BD38" t="inlineStr">
        <is>
          <t>893609731</t>
        </is>
      </c>
    </row>
    <row r="39">
      <c r="A39" t="inlineStr">
        <is>
          <t>No</t>
        </is>
      </c>
      <c r="B39" t="inlineStr">
        <is>
          <t>RA394 .F76 1986</t>
        </is>
      </c>
      <c r="C39" t="inlineStr">
        <is>
          <t>0                      RA 0394000F  76          1986</t>
        </is>
      </c>
      <c r="D39" t="inlineStr">
        <is>
          <t>From research into policy : improving the link for health services / Marion Ein Lewin, editor.</t>
        </is>
      </c>
      <c r="F39" t="inlineStr">
        <is>
          <t>No</t>
        </is>
      </c>
      <c r="G39" t="inlineStr">
        <is>
          <t>1</t>
        </is>
      </c>
      <c r="H39" t="inlineStr">
        <is>
          <t>No</t>
        </is>
      </c>
      <c r="I39" t="inlineStr">
        <is>
          <t>No</t>
        </is>
      </c>
      <c r="J39" t="inlineStr">
        <is>
          <t>0</t>
        </is>
      </c>
      <c r="L39" t="inlineStr">
        <is>
          <t>Washington, D.C. : American Enterprise Institute for Public Policy Research, c1986.</t>
        </is>
      </c>
      <c r="M39" t="inlineStr">
        <is>
          <t>1986</t>
        </is>
      </c>
      <c r="O39" t="inlineStr">
        <is>
          <t>eng</t>
        </is>
      </c>
      <c r="P39" t="inlineStr">
        <is>
          <t>dcu</t>
        </is>
      </c>
      <c r="Q39" t="inlineStr">
        <is>
          <t>AEI studies ; 445</t>
        </is>
      </c>
      <c r="R39" t="inlineStr">
        <is>
          <t xml:space="preserve">RA </t>
        </is>
      </c>
      <c r="S39" t="n">
        <v>4</v>
      </c>
      <c r="T39" t="n">
        <v>4</v>
      </c>
      <c r="U39" t="inlineStr">
        <is>
          <t>1995-02-19</t>
        </is>
      </c>
      <c r="V39" t="inlineStr">
        <is>
          <t>1995-02-19</t>
        </is>
      </c>
      <c r="W39" t="inlineStr">
        <is>
          <t>1993-02-09</t>
        </is>
      </c>
      <c r="X39" t="inlineStr">
        <is>
          <t>1993-02-09</t>
        </is>
      </c>
      <c r="Y39" t="n">
        <v>177</v>
      </c>
      <c r="Z39" t="n">
        <v>163</v>
      </c>
      <c r="AA39" t="n">
        <v>186</v>
      </c>
      <c r="AB39" t="n">
        <v>1</v>
      </c>
      <c r="AC39" t="n">
        <v>1</v>
      </c>
      <c r="AD39" t="n">
        <v>5</v>
      </c>
      <c r="AE39" t="n">
        <v>6</v>
      </c>
      <c r="AF39" t="n">
        <v>2</v>
      </c>
      <c r="AG39" t="n">
        <v>2</v>
      </c>
      <c r="AH39" t="n">
        <v>0</v>
      </c>
      <c r="AI39" t="n">
        <v>0</v>
      </c>
      <c r="AJ39" t="n">
        <v>3</v>
      </c>
      <c r="AK39" t="n">
        <v>3</v>
      </c>
      <c r="AL39" t="n">
        <v>0</v>
      </c>
      <c r="AM39" t="n">
        <v>0</v>
      </c>
      <c r="AN39" t="n">
        <v>2</v>
      </c>
      <c r="AO39" t="n">
        <v>3</v>
      </c>
      <c r="AP39" t="inlineStr">
        <is>
          <t>No</t>
        </is>
      </c>
      <c r="AQ39" t="inlineStr">
        <is>
          <t>Yes</t>
        </is>
      </c>
      <c r="AR39">
        <f>HYPERLINK("http://catalog.hathitrust.org/Record/000403516","HathiTrust Record")</f>
        <v/>
      </c>
      <c r="AS39">
        <f>HYPERLINK("https://creighton-primo.hosted.exlibrisgroup.com/primo-explore/search?tab=default_tab&amp;search_scope=EVERYTHING&amp;vid=01CRU&amp;lang=en_US&amp;offset=0&amp;query=any,contains,991000872199702656","Catalog Record")</f>
        <v/>
      </c>
      <c r="AT39">
        <f>HYPERLINK("http://www.worldcat.org/oclc/13793511","WorldCat Record")</f>
        <v/>
      </c>
      <c r="AU39" t="inlineStr">
        <is>
          <t>7883825:eng</t>
        </is>
      </c>
      <c r="AV39" t="inlineStr">
        <is>
          <t>13793511</t>
        </is>
      </c>
      <c r="AW39" t="inlineStr">
        <is>
          <t>991000872199702656</t>
        </is>
      </c>
      <c r="AX39" t="inlineStr">
        <is>
          <t>991000872199702656</t>
        </is>
      </c>
      <c r="AY39" t="inlineStr">
        <is>
          <t>2272207090002656</t>
        </is>
      </c>
      <c r="AZ39" t="inlineStr">
        <is>
          <t>BOOK</t>
        </is>
      </c>
      <c r="BB39" t="inlineStr">
        <is>
          <t>9780844736051</t>
        </is>
      </c>
      <c r="BC39" t="inlineStr">
        <is>
          <t>32285001495091</t>
        </is>
      </c>
      <c r="BD39" t="inlineStr">
        <is>
          <t>893249763</t>
        </is>
      </c>
    </row>
    <row r="40">
      <c r="A40" t="inlineStr">
        <is>
          <t>No</t>
        </is>
      </c>
      <c r="B40" t="inlineStr">
        <is>
          <t>RA394 .S43 1995</t>
        </is>
      </c>
      <c r="C40" t="inlineStr">
        <is>
          <t>0                      RA 0394000S  43          1995</t>
        </is>
      </c>
      <c r="D40" t="inlineStr">
        <is>
          <t>Applied quantitative methods for health services management / by Lee F. Seidel, Robin D. Gorsky, and James B. Lewis.</t>
        </is>
      </c>
      <c r="F40" t="inlineStr">
        <is>
          <t>No</t>
        </is>
      </c>
      <c r="G40" t="inlineStr">
        <is>
          <t>1</t>
        </is>
      </c>
      <c r="H40" t="inlineStr">
        <is>
          <t>No</t>
        </is>
      </c>
      <c r="I40" t="inlineStr">
        <is>
          <t>No</t>
        </is>
      </c>
      <c r="J40" t="inlineStr">
        <is>
          <t>0</t>
        </is>
      </c>
      <c r="K40" t="inlineStr">
        <is>
          <t>Seidel, Lee F.</t>
        </is>
      </c>
      <c r="L40" t="inlineStr">
        <is>
          <t>Baltimore : Health Professions Press, c1995.</t>
        </is>
      </c>
      <c r="M40" t="inlineStr">
        <is>
          <t>1995</t>
        </is>
      </c>
      <c r="O40" t="inlineStr">
        <is>
          <t>eng</t>
        </is>
      </c>
      <c r="P40" t="inlineStr">
        <is>
          <t>mdu</t>
        </is>
      </c>
      <c r="R40" t="inlineStr">
        <is>
          <t xml:space="preserve">RA </t>
        </is>
      </c>
      <c r="S40" t="n">
        <v>1</v>
      </c>
      <c r="T40" t="n">
        <v>1</v>
      </c>
      <c r="U40" t="inlineStr">
        <is>
          <t>2003-01-28</t>
        </is>
      </c>
      <c r="V40" t="inlineStr">
        <is>
          <t>2003-01-28</t>
        </is>
      </c>
      <c r="W40" t="inlineStr">
        <is>
          <t>2003-01-28</t>
        </is>
      </c>
      <c r="X40" t="inlineStr">
        <is>
          <t>2003-01-28</t>
        </is>
      </c>
      <c r="Y40" t="n">
        <v>125</v>
      </c>
      <c r="Z40" t="n">
        <v>108</v>
      </c>
      <c r="AA40" t="n">
        <v>108</v>
      </c>
      <c r="AB40" t="n">
        <v>2</v>
      </c>
      <c r="AC40" t="n">
        <v>2</v>
      </c>
      <c r="AD40" t="n">
        <v>7</v>
      </c>
      <c r="AE40" t="n">
        <v>7</v>
      </c>
      <c r="AF40" t="n">
        <v>1</v>
      </c>
      <c r="AG40" t="n">
        <v>1</v>
      </c>
      <c r="AH40" t="n">
        <v>2</v>
      </c>
      <c r="AI40" t="n">
        <v>2</v>
      </c>
      <c r="AJ40" t="n">
        <v>5</v>
      </c>
      <c r="AK40" t="n">
        <v>5</v>
      </c>
      <c r="AL40" t="n">
        <v>1</v>
      </c>
      <c r="AM40" t="n">
        <v>1</v>
      </c>
      <c r="AN40" t="n">
        <v>0</v>
      </c>
      <c r="AO40" t="n">
        <v>0</v>
      </c>
      <c r="AP40" t="inlineStr">
        <is>
          <t>No</t>
        </is>
      </c>
      <c r="AQ40" t="inlineStr">
        <is>
          <t>No</t>
        </is>
      </c>
      <c r="AS40">
        <f>HYPERLINK("https://creighton-primo.hosted.exlibrisgroup.com/primo-explore/search?tab=default_tab&amp;search_scope=EVERYTHING&amp;vid=01CRU&amp;lang=en_US&amp;offset=0&amp;query=any,contains,991003969889702656","Catalog Record")</f>
        <v/>
      </c>
      <c r="AT40">
        <f>HYPERLINK("http://www.worldcat.org/oclc/32016012","WorldCat Record")</f>
        <v/>
      </c>
      <c r="AU40" t="inlineStr">
        <is>
          <t>3857881273:eng</t>
        </is>
      </c>
      <c r="AV40" t="inlineStr">
        <is>
          <t>32016012</t>
        </is>
      </c>
      <c r="AW40" t="inlineStr">
        <is>
          <t>991003969889702656</t>
        </is>
      </c>
      <c r="AX40" t="inlineStr">
        <is>
          <t>991003969889702656</t>
        </is>
      </c>
      <c r="AY40" t="inlineStr">
        <is>
          <t>2262223810002656</t>
        </is>
      </c>
      <c r="AZ40" t="inlineStr">
        <is>
          <t>BOOK</t>
        </is>
      </c>
      <c r="BB40" t="inlineStr">
        <is>
          <t>9781878812247</t>
        </is>
      </c>
      <c r="BC40" t="inlineStr">
        <is>
          <t>32285004695663</t>
        </is>
      </c>
      <c r="BD40" t="inlineStr">
        <is>
          <t>893794329</t>
        </is>
      </c>
    </row>
    <row r="41">
      <c r="A41" t="inlineStr">
        <is>
          <t>No</t>
        </is>
      </c>
      <c r="B41" t="inlineStr">
        <is>
          <t>RA394.6 .H42 1981</t>
        </is>
      </c>
      <c r="C41" t="inlineStr">
        <is>
          <t>0                      RA 0394600H  42          1981</t>
        </is>
      </c>
      <c r="D41" t="inlineStr">
        <is>
          <t>Health policy making : fundamental issues in the United States, Canada, Great Britain, Australia / [selected] by Anne Crichton.</t>
        </is>
      </c>
      <c r="F41" t="inlineStr">
        <is>
          <t>No</t>
        </is>
      </c>
      <c r="G41" t="inlineStr">
        <is>
          <t>1</t>
        </is>
      </c>
      <c r="H41" t="inlineStr">
        <is>
          <t>No</t>
        </is>
      </c>
      <c r="I41" t="inlineStr">
        <is>
          <t>No</t>
        </is>
      </c>
      <c r="J41" t="inlineStr">
        <is>
          <t>0</t>
        </is>
      </c>
      <c r="L41" t="inlineStr">
        <is>
          <t>Ann Arbor, Mich. : Health Administration Press, c1981.</t>
        </is>
      </c>
      <c r="M41" t="inlineStr">
        <is>
          <t>1981</t>
        </is>
      </c>
      <c r="O41" t="inlineStr">
        <is>
          <t>eng</t>
        </is>
      </c>
      <c r="P41" t="inlineStr">
        <is>
          <t>miu</t>
        </is>
      </c>
      <c r="R41" t="inlineStr">
        <is>
          <t xml:space="preserve">RA </t>
        </is>
      </c>
      <c r="S41" t="n">
        <v>5</v>
      </c>
      <c r="T41" t="n">
        <v>5</v>
      </c>
      <c r="U41" t="inlineStr">
        <is>
          <t>1995-04-24</t>
        </is>
      </c>
      <c r="V41" t="inlineStr">
        <is>
          <t>1995-04-24</t>
        </is>
      </c>
      <c r="W41" t="inlineStr">
        <is>
          <t>1992-04-27</t>
        </is>
      </c>
      <c r="X41" t="inlineStr">
        <is>
          <t>1992-04-27</t>
        </is>
      </c>
      <c r="Y41" t="n">
        <v>238</v>
      </c>
      <c r="Z41" t="n">
        <v>191</v>
      </c>
      <c r="AA41" t="n">
        <v>200</v>
      </c>
      <c r="AB41" t="n">
        <v>2</v>
      </c>
      <c r="AC41" t="n">
        <v>2</v>
      </c>
      <c r="AD41" t="n">
        <v>6</v>
      </c>
      <c r="AE41" t="n">
        <v>6</v>
      </c>
      <c r="AF41" t="n">
        <v>0</v>
      </c>
      <c r="AG41" t="n">
        <v>0</v>
      </c>
      <c r="AH41" t="n">
        <v>1</v>
      </c>
      <c r="AI41" t="n">
        <v>1</v>
      </c>
      <c r="AJ41" t="n">
        <v>3</v>
      </c>
      <c r="AK41" t="n">
        <v>3</v>
      </c>
      <c r="AL41" t="n">
        <v>1</v>
      </c>
      <c r="AM41" t="n">
        <v>1</v>
      </c>
      <c r="AN41" t="n">
        <v>2</v>
      </c>
      <c r="AO41" t="n">
        <v>2</v>
      </c>
      <c r="AP41" t="inlineStr">
        <is>
          <t>No</t>
        </is>
      </c>
      <c r="AQ41" t="inlineStr">
        <is>
          <t>Yes</t>
        </is>
      </c>
      <c r="AR41">
        <f>HYPERLINK("http://catalog.hathitrust.org/Record/000761488","HathiTrust Record")</f>
        <v/>
      </c>
      <c r="AS41">
        <f>HYPERLINK("https://creighton-primo.hosted.exlibrisgroup.com/primo-explore/search?tab=default_tab&amp;search_scope=EVERYTHING&amp;vid=01CRU&amp;lang=en_US&amp;offset=0&amp;query=any,contains,991004999219702656","Catalog Record")</f>
        <v/>
      </c>
      <c r="AT41">
        <f>HYPERLINK("http://www.worldcat.org/oclc/6533099","WorldCat Record")</f>
        <v/>
      </c>
      <c r="AU41" t="inlineStr">
        <is>
          <t>917811214:eng</t>
        </is>
      </c>
      <c r="AV41" t="inlineStr">
        <is>
          <t>6533099</t>
        </is>
      </c>
      <c r="AW41" t="inlineStr">
        <is>
          <t>991004999219702656</t>
        </is>
      </c>
      <c r="AX41" t="inlineStr">
        <is>
          <t>991004999219702656</t>
        </is>
      </c>
      <c r="AY41" t="inlineStr">
        <is>
          <t>2262474080002656</t>
        </is>
      </c>
      <c r="AZ41" t="inlineStr">
        <is>
          <t>BOOK</t>
        </is>
      </c>
      <c r="BB41" t="inlineStr">
        <is>
          <t>9780914904441</t>
        </is>
      </c>
      <c r="BC41" t="inlineStr">
        <is>
          <t>32285001072551</t>
        </is>
      </c>
      <c r="BD41" t="inlineStr">
        <is>
          <t>893412188</t>
        </is>
      </c>
    </row>
    <row r="42">
      <c r="A42" t="inlineStr">
        <is>
          <t>No</t>
        </is>
      </c>
      <c r="B42" t="inlineStr">
        <is>
          <t>RA395.A3 A74 1999</t>
        </is>
      </c>
      <c r="C42" t="inlineStr">
        <is>
          <t>0                      RA 0395000A  3                  A  74          1999</t>
        </is>
      </c>
      <c r="D42" t="inlineStr">
        <is>
          <t>Empowering health care consumers through tax reform / edited by Grace-Marie Arnett.</t>
        </is>
      </c>
      <c r="F42" t="inlineStr">
        <is>
          <t>No</t>
        </is>
      </c>
      <c r="G42" t="inlineStr">
        <is>
          <t>1</t>
        </is>
      </c>
      <c r="H42" t="inlineStr">
        <is>
          <t>No</t>
        </is>
      </c>
      <c r="I42" t="inlineStr">
        <is>
          <t>No</t>
        </is>
      </c>
      <c r="J42" t="inlineStr">
        <is>
          <t>0</t>
        </is>
      </c>
      <c r="L42" t="inlineStr">
        <is>
          <t>Ann Arbor : University of Michigan Press, 1999.</t>
        </is>
      </c>
      <c r="M42" t="inlineStr">
        <is>
          <t>1999</t>
        </is>
      </c>
      <c r="O42" t="inlineStr">
        <is>
          <t>eng</t>
        </is>
      </c>
      <c r="P42" t="inlineStr">
        <is>
          <t>miu</t>
        </is>
      </c>
      <c r="R42" t="inlineStr">
        <is>
          <t xml:space="preserve">RA </t>
        </is>
      </c>
      <c r="S42" t="n">
        <v>4</v>
      </c>
      <c r="T42" t="n">
        <v>4</v>
      </c>
      <c r="U42" t="inlineStr">
        <is>
          <t>2001-07-22</t>
        </is>
      </c>
      <c r="V42" t="inlineStr">
        <is>
          <t>2001-07-22</t>
        </is>
      </c>
      <c r="W42" t="inlineStr">
        <is>
          <t>2000-01-11</t>
        </is>
      </c>
      <c r="X42" t="inlineStr">
        <is>
          <t>2000-01-11</t>
        </is>
      </c>
      <c r="Y42" t="n">
        <v>183</v>
      </c>
      <c r="Z42" t="n">
        <v>167</v>
      </c>
      <c r="AA42" t="n">
        <v>169</v>
      </c>
      <c r="AB42" t="n">
        <v>2</v>
      </c>
      <c r="AC42" t="n">
        <v>2</v>
      </c>
      <c r="AD42" t="n">
        <v>10</v>
      </c>
      <c r="AE42" t="n">
        <v>10</v>
      </c>
      <c r="AF42" t="n">
        <v>4</v>
      </c>
      <c r="AG42" t="n">
        <v>4</v>
      </c>
      <c r="AH42" t="n">
        <v>3</v>
      </c>
      <c r="AI42" t="n">
        <v>3</v>
      </c>
      <c r="AJ42" t="n">
        <v>1</v>
      </c>
      <c r="AK42" t="n">
        <v>1</v>
      </c>
      <c r="AL42" t="n">
        <v>1</v>
      </c>
      <c r="AM42" t="n">
        <v>1</v>
      </c>
      <c r="AN42" t="n">
        <v>3</v>
      </c>
      <c r="AO42" t="n">
        <v>3</v>
      </c>
      <c r="AP42" t="inlineStr">
        <is>
          <t>No</t>
        </is>
      </c>
      <c r="AQ42" t="inlineStr">
        <is>
          <t>Yes</t>
        </is>
      </c>
      <c r="AR42">
        <f>HYPERLINK("http://catalog.hathitrust.org/Record/004056230","HathiTrust Record")</f>
        <v/>
      </c>
      <c r="AS42">
        <f>HYPERLINK("https://creighton-primo.hosted.exlibrisgroup.com/primo-explore/search?tab=default_tab&amp;search_scope=EVERYTHING&amp;vid=01CRU&amp;lang=en_US&amp;offset=0&amp;query=any,contains,991005430229702656","Catalog Record")</f>
        <v/>
      </c>
      <c r="AT42">
        <f>HYPERLINK("http://www.worldcat.org/oclc/41026486","WorldCat Record")</f>
        <v/>
      </c>
      <c r="AU42" t="inlineStr">
        <is>
          <t>26010432:eng</t>
        </is>
      </c>
      <c r="AV42" t="inlineStr">
        <is>
          <t>41026486</t>
        </is>
      </c>
      <c r="AW42" t="inlineStr">
        <is>
          <t>991005430229702656</t>
        </is>
      </c>
      <c r="AX42" t="inlineStr">
        <is>
          <t>991005430229702656</t>
        </is>
      </c>
      <c r="AY42" t="inlineStr">
        <is>
          <t>2257947770002656</t>
        </is>
      </c>
      <c r="AZ42" t="inlineStr">
        <is>
          <t>BOOK</t>
        </is>
      </c>
      <c r="BB42" t="inlineStr">
        <is>
          <t>9780472067169</t>
        </is>
      </c>
      <c r="BC42" t="inlineStr">
        <is>
          <t>32285003639720</t>
        </is>
      </c>
      <c r="BD42" t="inlineStr">
        <is>
          <t>893796218</t>
        </is>
      </c>
    </row>
    <row r="43">
      <c r="A43" t="inlineStr">
        <is>
          <t>No</t>
        </is>
      </c>
      <c r="B43" t="inlineStr">
        <is>
          <t>RA395.A3 B38 1996</t>
        </is>
      </c>
      <c r="C43" t="inlineStr">
        <is>
          <t>0                      RA 0395000A  3                  B  38          1996</t>
        </is>
      </c>
      <c r="D43" t="inlineStr">
        <is>
          <t>Health care reform and the battle for the body politic / Dan E. Beauchamp.</t>
        </is>
      </c>
      <c r="F43" t="inlineStr">
        <is>
          <t>No</t>
        </is>
      </c>
      <c r="G43" t="inlineStr">
        <is>
          <t>1</t>
        </is>
      </c>
      <c r="H43" t="inlineStr">
        <is>
          <t>No</t>
        </is>
      </c>
      <c r="I43" t="inlineStr">
        <is>
          <t>No</t>
        </is>
      </c>
      <c r="J43" t="inlineStr">
        <is>
          <t>0</t>
        </is>
      </c>
      <c r="K43" t="inlineStr">
        <is>
          <t>Beauchamp, Dan E.</t>
        </is>
      </c>
      <c r="L43" t="inlineStr">
        <is>
          <t>Philadelphia, Pa. : Temple University Press, 1996.</t>
        </is>
      </c>
      <c r="M43" t="inlineStr">
        <is>
          <t>1996</t>
        </is>
      </c>
      <c r="O43" t="inlineStr">
        <is>
          <t>eng</t>
        </is>
      </c>
      <c r="P43" t="inlineStr">
        <is>
          <t>pau</t>
        </is>
      </c>
      <c r="R43" t="inlineStr">
        <is>
          <t xml:space="preserve">RA </t>
        </is>
      </c>
      <c r="S43" t="n">
        <v>5</v>
      </c>
      <c r="T43" t="n">
        <v>5</v>
      </c>
      <c r="U43" t="inlineStr">
        <is>
          <t>2000-04-21</t>
        </is>
      </c>
      <c r="V43" t="inlineStr">
        <is>
          <t>2000-04-21</t>
        </is>
      </c>
      <c r="W43" t="inlineStr">
        <is>
          <t>1996-06-24</t>
        </is>
      </c>
      <c r="X43" t="inlineStr">
        <is>
          <t>1996-06-24</t>
        </is>
      </c>
      <c r="Y43" t="n">
        <v>232</v>
      </c>
      <c r="Z43" t="n">
        <v>197</v>
      </c>
      <c r="AA43" t="n">
        <v>202</v>
      </c>
      <c r="AB43" t="n">
        <v>2</v>
      </c>
      <c r="AC43" t="n">
        <v>2</v>
      </c>
      <c r="AD43" t="n">
        <v>13</v>
      </c>
      <c r="AE43" t="n">
        <v>13</v>
      </c>
      <c r="AF43" t="n">
        <v>4</v>
      </c>
      <c r="AG43" t="n">
        <v>4</v>
      </c>
      <c r="AH43" t="n">
        <v>3</v>
      </c>
      <c r="AI43" t="n">
        <v>3</v>
      </c>
      <c r="AJ43" t="n">
        <v>6</v>
      </c>
      <c r="AK43" t="n">
        <v>6</v>
      </c>
      <c r="AL43" t="n">
        <v>1</v>
      </c>
      <c r="AM43" t="n">
        <v>1</v>
      </c>
      <c r="AN43" t="n">
        <v>2</v>
      </c>
      <c r="AO43" t="n">
        <v>2</v>
      </c>
      <c r="AP43" t="inlineStr">
        <is>
          <t>No</t>
        </is>
      </c>
      <c r="AQ43" t="inlineStr">
        <is>
          <t>No</t>
        </is>
      </c>
      <c r="AS43">
        <f>HYPERLINK("https://creighton-primo.hosted.exlibrisgroup.com/primo-explore/search?tab=default_tab&amp;search_scope=EVERYTHING&amp;vid=01CRU&amp;lang=en_US&amp;offset=0&amp;query=any,contains,991002527089702656","Catalog Record")</f>
        <v/>
      </c>
      <c r="AT43">
        <f>HYPERLINK("http://www.worldcat.org/oclc/32855149","WorldCat Record")</f>
        <v/>
      </c>
      <c r="AU43" t="inlineStr">
        <is>
          <t>37204909:eng</t>
        </is>
      </c>
      <c r="AV43" t="inlineStr">
        <is>
          <t>32855149</t>
        </is>
      </c>
      <c r="AW43" t="inlineStr">
        <is>
          <t>991002527089702656</t>
        </is>
      </c>
      <c r="AX43" t="inlineStr">
        <is>
          <t>991002527089702656</t>
        </is>
      </c>
      <c r="AY43" t="inlineStr">
        <is>
          <t>2269716950002656</t>
        </is>
      </c>
      <c r="AZ43" t="inlineStr">
        <is>
          <t>BOOK</t>
        </is>
      </c>
      <c r="BB43" t="inlineStr">
        <is>
          <t>9781566394130</t>
        </is>
      </c>
      <c r="BC43" t="inlineStr">
        <is>
          <t>32285002172319</t>
        </is>
      </c>
      <c r="BD43" t="inlineStr">
        <is>
          <t>893523719</t>
        </is>
      </c>
    </row>
    <row r="44">
      <c r="A44" t="inlineStr">
        <is>
          <t>No</t>
        </is>
      </c>
      <c r="B44" t="inlineStr">
        <is>
          <t>RA395.A3 C322 1998</t>
        </is>
      </c>
      <c r="C44" t="inlineStr">
        <is>
          <t>0                      RA 0395000A  3                  C  322         1998</t>
        </is>
      </c>
      <c r="D44" t="inlineStr">
        <is>
          <t>False hopes : why America's quest for perfect health is a recipe for failure / Daniel Callahan.</t>
        </is>
      </c>
      <c r="F44" t="inlineStr">
        <is>
          <t>No</t>
        </is>
      </c>
      <c r="G44" t="inlineStr">
        <is>
          <t>1</t>
        </is>
      </c>
      <c r="H44" t="inlineStr">
        <is>
          <t>No</t>
        </is>
      </c>
      <c r="I44" t="inlineStr">
        <is>
          <t>No</t>
        </is>
      </c>
      <c r="J44" t="inlineStr">
        <is>
          <t>0</t>
        </is>
      </c>
      <c r="K44" t="inlineStr">
        <is>
          <t>Callahan, Daniel, 1930-2019.</t>
        </is>
      </c>
      <c r="L44" t="inlineStr">
        <is>
          <t>New York : Simon &amp; Schuster, c1998.</t>
        </is>
      </c>
      <c r="M44" t="inlineStr">
        <is>
          <t>1998</t>
        </is>
      </c>
      <c r="O44" t="inlineStr">
        <is>
          <t>eng</t>
        </is>
      </c>
      <c r="P44" t="inlineStr">
        <is>
          <t>nyu</t>
        </is>
      </c>
      <c r="R44" t="inlineStr">
        <is>
          <t xml:space="preserve">RA </t>
        </is>
      </c>
      <c r="S44" t="n">
        <v>5</v>
      </c>
      <c r="T44" t="n">
        <v>5</v>
      </c>
      <c r="U44" t="inlineStr">
        <is>
          <t>2002-08-14</t>
        </is>
      </c>
      <c r="V44" t="inlineStr">
        <is>
          <t>2002-08-14</t>
        </is>
      </c>
      <c r="W44" t="inlineStr">
        <is>
          <t>1998-06-24</t>
        </is>
      </c>
      <c r="X44" t="inlineStr">
        <is>
          <t>1998-06-24</t>
        </is>
      </c>
      <c r="Y44" t="n">
        <v>659</v>
      </c>
      <c r="Z44" t="n">
        <v>620</v>
      </c>
      <c r="AA44" t="n">
        <v>692</v>
      </c>
      <c r="AB44" t="n">
        <v>2</v>
      </c>
      <c r="AC44" t="n">
        <v>2</v>
      </c>
      <c r="AD44" t="n">
        <v>22</v>
      </c>
      <c r="AE44" t="n">
        <v>26</v>
      </c>
      <c r="AF44" t="n">
        <v>8</v>
      </c>
      <c r="AG44" t="n">
        <v>8</v>
      </c>
      <c r="AH44" t="n">
        <v>5</v>
      </c>
      <c r="AI44" t="n">
        <v>7</v>
      </c>
      <c r="AJ44" t="n">
        <v>13</v>
      </c>
      <c r="AK44" t="n">
        <v>17</v>
      </c>
      <c r="AL44" t="n">
        <v>1</v>
      </c>
      <c r="AM44" t="n">
        <v>1</v>
      </c>
      <c r="AN44" t="n">
        <v>1</v>
      </c>
      <c r="AO44" t="n">
        <v>1</v>
      </c>
      <c r="AP44" t="inlineStr">
        <is>
          <t>No</t>
        </is>
      </c>
      <c r="AQ44" t="inlineStr">
        <is>
          <t>No</t>
        </is>
      </c>
      <c r="AS44">
        <f>HYPERLINK("https://creighton-primo.hosted.exlibrisgroup.com/primo-explore/search?tab=default_tab&amp;search_scope=EVERYTHING&amp;vid=01CRU&amp;lang=en_US&amp;offset=0&amp;query=any,contains,991002854609702656","Catalog Record")</f>
        <v/>
      </c>
      <c r="AT44">
        <f>HYPERLINK("http://www.worldcat.org/oclc/37615433","WorldCat Record")</f>
        <v/>
      </c>
      <c r="AU44" t="inlineStr">
        <is>
          <t>891259476:eng</t>
        </is>
      </c>
      <c r="AV44" t="inlineStr">
        <is>
          <t>37615433</t>
        </is>
      </c>
      <c r="AW44" t="inlineStr">
        <is>
          <t>991002854609702656</t>
        </is>
      </c>
      <c r="AX44" t="inlineStr">
        <is>
          <t>991002854609702656</t>
        </is>
      </c>
      <c r="AY44" t="inlineStr">
        <is>
          <t>2259927760002656</t>
        </is>
      </c>
      <c r="AZ44" t="inlineStr">
        <is>
          <t>BOOK</t>
        </is>
      </c>
      <c r="BB44" t="inlineStr">
        <is>
          <t>9780684811093</t>
        </is>
      </c>
      <c r="BC44" t="inlineStr">
        <is>
          <t>32285003423539</t>
        </is>
      </c>
      <c r="BD44" t="inlineStr">
        <is>
          <t>893421877</t>
        </is>
      </c>
    </row>
    <row r="45">
      <c r="A45" t="inlineStr">
        <is>
          <t>No</t>
        </is>
      </c>
      <c r="B45" t="inlineStr">
        <is>
          <t>RA395.A3 E56</t>
        </is>
      </c>
      <c r="C45" t="inlineStr">
        <is>
          <t>0                      RA 0395000A  3                  E  56</t>
        </is>
      </c>
      <c r="D45" t="inlineStr">
        <is>
          <t>The sociology of health care : social, economic, and political perspectives / Darryl D. Enos, Paul Sultan.</t>
        </is>
      </c>
      <c r="F45" t="inlineStr">
        <is>
          <t>No</t>
        </is>
      </c>
      <c r="G45" t="inlineStr">
        <is>
          <t>1</t>
        </is>
      </c>
      <c r="H45" t="inlineStr">
        <is>
          <t>No</t>
        </is>
      </c>
      <c r="I45" t="inlineStr">
        <is>
          <t>No</t>
        </is>
      </c>
      <c r="J45" t="inlineStr">
        <is>
          <t>0</t>
        </is>
      </c>
      <c r="K45" t="inlineStr">
        <is>
          <t>Enos, Darryl D.</t>
        </is>
      </c>
      <c r="L45" t="inlineStr">
        <is>
          <t>New York : Praeger, 1977.</t>
        </is>
      </c>
      <c r="M45" t="inlineStr">
        <is>
          <t>1977</t>
        </is>
      </c>
      <c r="O45" t="inlineStr">
        <is>
          <t>eng</t>
        </is>
      </c>
      <c r="P45" t="inlineStr">
        <is>
          <t>nyu</t>
        </is>
      </c>
      <c r="R45" t="inlineStr">
        <is>
          <t xml:space="preserve">RA </t>
        </is>
      </c>
      <c r="S45" t="n">
        <v>3</v>
      </c>
      <c r="T45" t="n">
        <v>3</v>
      </c>
      <c r="U45" t="inlineStr">
        <is>
          <t>2002-03-28</t>
        </is>
      </c>
      <c r="V45" t="inlineStr">
        <is>
          <t>2002-03-28</t>
        </is>
      </c>
      <c r="W45" t="inlineStr">
        <is>
          <t>1992-04-02</t>
        </is>
      </c>
      <c r="X45" t="inlineStr">
        <is>
          <t>1992-04-02</t>
        </is>
      </c>
      <c r="Y45" t="n">
        <v>286</v>
      </c>
      <c r="Z45" t="n">
        <v>228</v>
      </c>
      <c r="AA45" t="n">
        <v>229</v>
      </c>
      <c r="AB45" t="n">
        <v>2</v>
      </c>
      <c r="AC45" t="n">
        <v>2</v>
      </c>
      <c r="AD45" t="n">
        <v>11</v>
      </c>
      <c r="AE45" t="n">
        <v>11</v>
      </c>
      <c r="AF45" t="n">
        <v>2</v>
      </c>
      <c r="AG45" t="n">
        <v>2</v>
      </c>
      <c r="AH45" t="n">
        <v>2</v>
      </c>
      <c r="AI45" t="n">
        <v>2</v>
      </c>
      <c r="AJ45" t="n">
        <v>7</v>
      </c>
      <c r="AK45" t="n">
        <v>7</v>
      </c>
      <c r="AL45" t="n">
        <v>1</v>
      </c>
      <c r="AM45" t="n">
        <v>1</v>
      </c>
      <c r="AN45" t="n">
        <v>1</v>
      </c>
      <c r="AO45" t="n">
        <v>1</v>
      </c>
      <c r="AP45" t="inlineStr">
        <is>
          <t>No</t>
        </is>
      </c>
      <c r="AQ45" t="inlineStr">
        <is>
          <t>No</t>
        </is>
      </c>
      <c r="AS45">
        <f>HYPERLINK("https://creighton-primo.hosted.exlibrisgroup.com/primo-explore/search?tab=default_tab&amp;search_scope=EVERYTHING&amp;vid=01CRU&amp;lang=en_US&amp;offset=0&amp;query=any,contains,991004157059702656","Catalog Record")</f>
        <v/>
      </c>
      <c r="AT45">
        <f>HYPERLINK("http://www.worldcat.org/oclc/2542309","WorldCat Record")</f>
        <v/>
      </c>
      <c r="AU45" t="inlineStr">
        <is>
          <t>293000580:eng</t>
        </is>
      </c>
      <c r="AV45" t="inlineStr">
        <is>
          <t>2542309</t>
        </is>
      </c>
      <c r="AW45" t="inlineStr">
        <is>
          <t>991004157059702656</t>
        </is>
      </c>
      <c r="AX45" t="inlineStr">
        <is>
          <t>991004157059702656</t>
        </is>
      </c>
      <c r="AY45" t="inlineStr">
        <is>
          <t>2272005900002656</t>
        </is>
      </c>
      <c r="AZ45" t="inlineStr">
        <is>
          <t>BOOK</t>
        </is>
      </c>
      <c r="BB45" t="inlineStr">
        <is>
          <t>9780275569709</t>
        </is>
      </c>
      <c r="BC45" t="inlineStr">
        <is>
          <t>32285001033066</t>
        </is>
      </c>
      <c r="BD45" t="inlineStr">
        <is>
          <t>893429725</t>
        </is>
      </c>
    </row>
    <row r="46">
      <c r="A46" t="inlineStr">
        <is>
          <t>No</t>
        </is>
      </c>
      <c r="B46" t="inlineStr">
        <is>
          <t>RA395.A3 F74 1980</t>
        </is>
      </c>
      <c r="C46" t="inlineStr">
        <is>
          <t>0                      RA 0395000A  3                  F  74          1980</t>
        </is>
      </c>
      <c r="D46" t="inlineStr">
        <is>
          <t>The American health care system, its genesis and trajectory / John Gordon Freymann ; with a foreword by John S. Millis.</t>
        </is>
      </c>
      <c r="F46" t="inlineStr">
        <is>
          <t>No</t>
        </is>
      </c>
      <c r="G46" t="inlineStr">
        <is>
          <t>1</t>
        </is>
      </c>
      <c r="H46" t="inlineStr">
        <is>
          <t>No</t>
        </is>
      </c>
      <c r="I46" t="inlineStr">
        <is>
          <t>No</t>
        </is>
      </c>
      <c r="J46" t="inlineStr">
        <is>
          <t>0</t>
        </is>
      </c>
      <c r="K46" t="inlineStr">
        <is>
          <t>Freymann, John Gordon, 1922-</t>
        </is>
      </c>
      <c r="L46" t="inlineStr">
        <is>
          <t>Huntington, N.Y. : R. E. Krieger Pub. Co., 1980, c1974.</t>
        </is>
      </c>
      <c r="M46" t="inlineStr">
        <is>
          <t>1980</t>
        </is>
      </c>
      <c r="O46" t="inlineStr">
        <is>
          <t>eng</t>
        </is>
      </c>
      <c r="P46" t="inlineStr">
        <is>
          <t>nyu</t>
        </is>
      </c>
      <c r="R46" t="inlineStr">
        <is>
          <t xml:space="preserve">RA </t>
        </is>
      </c>
      <c r="S46" t="n">
        <v>6</v>
      </c>
      <c r="T46" t="n">
        <v>6</v>
      </c>
      <c r="U46" t="inlineStr">
        <is>
          <t>2002-03-28</t>
        </is>
      </c>
      <c r="V46" t="inlineStr">
        <is>
          <t>2002-03-28</t>
        </is>
      </c>
      <c r="W46" t="inlineStr">
        <is>
          <t>1991-11-25</t>
        </is>
      </c>
      <c r="X46" t="inlineStr">
        <is>
          <t>1991-11-25</t>
        </is>
      </c>
      <c r="Y46" t="n">
        <v>32</v>
      </c>
      <c r="Z46" t="n">
        <v>31</v>
      </c>
      <c r="AA46" t="n">
        <v>235</v>
      </c>
      <c r="AB46" t="n">
        <v>1</v>
      </c>
      <c r="AC46" t="n">
        <v>2</v>
      </c>
      <c r="AD46" t="n">
        <v>4</v>
      </c>
      <c r="AE46" t="n">
        <v>9</v>
      </c>
      <c r="AF46" t="n">
        <v>3</v>
      </c>
      <c r="AG46" t="n">
        <v>4</v>
      </c>
      <c r="AH46" t="n">
        <v>1</v>
      </c>
      <c r="AI46" t="n">
        <v>1</v>
      </c>
      <c r="AJ46" t="n">
        <v>2</v>
      </c>
      <c r="AK46" t="n">
        <v>5</v>
      </c>
      <c r="AL46" t="n">
        <v>0</v>
      </c>
      <c r="AM46" t="n">
        <v>1</v>
      </c>
      <c r="AN46" t="n">
        <v>0</v>
      </c>
      <c r="AO46" t="n">
        <v>0</v>
      </c>
      <c r="AP46" t="inlineStr">
        <is>
          <t>No</t>
        </is>
      </c>
      <c r="AQ46" t="inlineStr">
        <is>
          <t>No</t>
        </is>
      </c>
      <c r="AS46">
        <f>HYPERLINK("https://creighton-primo.hosted.exlibrisgroup.com/primo-explore/search?tab=default_tab&amp;search_scope=EVERYTHING&amp;vid=01CRU&amp;lang=en_US&amp;offset=0&amp;query=any,contains,991004964599702656","Catalog Record")</f>
        <v/>
      </c>
      <c r="AT46">
        <f>HYPERLINK("http://www.worldcat.org/oclc/6330957","WorldCat Record")</f>
        <v/>
      </c>
      <c r="AU46" t="inlineStr">
        <is>
          <t>1827582:eng</t>
        </is>
      </c>
      <c r="AV46" t="inlineStr">
        <is>
          <t>6330957</t>
        </is>
      </c>
      <c r="AW46" t="inlineStr">
        <is>
          <t>991004964599702656</t>
        </is>
      </c>
      <c r="AX46" t="inlineStr">
        <is>
          <t>991004964599702656</t>
        </is>
      </c>
      <c r="AY46" t="inlineStr">
        <is>
          <t>2271027600002656</t>
        </is>
      </c>
      <c r="AZ46" t="inlineStr">
        <is>
          <t>BOOK</t>
        </is>
      </c>
      <c r="BB46" t="inlineStr">
        <is>
          <t>9780898742244</t>
        </is>
      </c>
      <c r="BC46" t="inlineStr">
        <is>
          <t>32285000845460</t>
        </is>
      </c>
      <c r="BD46" t="inlineStr">
        <is>
          <t>893501140</t>
        </is>
      </c>
    </row>
    <row r="47">
      <c r="A47" t="inlineStr">
        <is>
          <t>No</t>
        </is>
      </c>
      <c r="B47" t="inlineStr">
        <is>
          <t>RA395.A3 H39</t>
        </is>
      </c>
      <c r="C47" t="inlineStr">
        <is>
          <t>0                      RA 0395000A  3                  H  39</t>
        </is>
      </c>
      <c r="D47" t="inlineStr">
        <is>
          <t>Health care : an American crisis / edited by Lester A. Sobel ; contributing editors, Joseph Fickes, Russell Kahn ; indexer Grace M. Ferrara.</t>
        </is>
      </c>
      <c r="F47" t="inlineStr">
        <is>
          <t>No</t>
        </is>
      </c>
      <c r="G47" t="inlineStr">
        <is>
          <t>1</t>
        </is>
      </c>
      <c r="H47" t="inlineStr">
        <is>
          <t>No</t>
        </is>
      </c>
      <c r="I47" t="inlineStr">
        <is>
          <t>No</t>
        </is>
      </c>
      <c r="J47" t="inlineStr">
        <is>
          <t>0</t>
        </is>
      </c>
      <c r="L47" t="inlineStr">
        <is>
          <t>New York : Facts on File, c1976.</t>
        </is>
      </c>
      <c r="M47" t="inlineStr">
        <is>
          <t>1976</t>
        </is>
      </c>
      <c r="O47" t="inlineStr">
        <is>
          <t>eng</t>
        </is>
      </c>
      <c r="P47" t="inlineStr">
        <is>
          <t>nyu</t>
        </is>
      </c>
      <c r="Q47" t="inlineStr">
        <is>
          <t>A Facts on File publication</t>
        </is>
      </c>
      <c r="R47" t="inlineStr">
        <is>
          <t xml:space="preserve">RA </t>
        </is>
      </c>
      <c r="S47" t="n">
        <v>6</v>
      </c>
      <c r="T47" t="n">
        <v>6</v>
      </c>
      <c r="U47" t="inlineStr">
        <is>
          <t>2001-11-18</t>
        </is>
      </c>
      <c r="V47" t="inlineStr">
        <is>
          <t>2001-11-18</t>
        </is>
      </c>
      <c r="W47" t="inlineStr">
        <is>
          <t>1991-10-17</t>
        </is>
      </c>
      <c r="X47" t="inlineStr">
        <is>
          <t>1991-10-17</t>
        </is>
      </c>
      <c r="Y47" t="n">
        <v>362</v>
      </c>
      <c r="Z47" t="n">
        <v>348</v>
      </c>
      <c r="AA47" t="n">
        <v>354</v>
      </c>
      <c r="AB47" t="n">
        <v>4</v>
      </c>
      <c r="AC47" t="n">
        <v>4</v>
      </c>
      <c r="AD47" t="n">
        <v>11</v>
      </c>
      <c r="AE47" t="n">
        <v>11</v>
      </c>
      <c r="AF47" t="n">
        <v>3</v>
      </c>
      <c r="AG47" t="n">
        <v>3</v>
      </c>
      <c r="AH47" t="n">
        <v>1</v>
      </c>
      <c r="AI47" t="n">
        <v>1</v>
      </c>
      <c r="AJ47" t="n">
        <v>8</v>
      </c>
      <c r="AK47" t="n">
        <v>8</v>
      </c>
      <c r="AL47" t="n">
        <v>2</v>
      </c>
      <c r="AM47" t="n">
        <v>2</v>
      </c>
      <c r="AN47" t="n">
        <v>0</v>
      </c>
      <c r="AO47" t="n">
        <v>0</v>
      </c>
      <c r="AP47" t="inlineStr">
        <is>
          <t>No</t>
        </is>
      </c>
      <c r="AQ47" t="inlineStr">
        <is>
          <t>Yes</t>
        </is>
      </c>
      <c r="AR47">
        <f>HYPERLINK("http://catalog.hathitrust.org/Record/000719747","HathiTrust Record")</f>
        <v/>
      </c>
      <c r="AS47">
        <f>HYPERLINK("https://creighton-primo.hosted.exlibrisgroup.com/primo-explore/search?tab=default_tab&amp;search_scope=EVERYTHING&amp;vid=01CRU&amp;lang=en_US&amp;offset=0&amp;query=any,contains,991004233329702656","Catalog Record")</f>
        <v/>
      </c>
      <c r="AT47">
        <f>HYPERLINK("http://www.worldcat.org/oclc/2756136","WorldCat Record")</f>
        <v/>
      </c>
      <c r="AU47" t="inlineStr">
        <is>
          <t>946227427:eng</t>
        </is>
      </c>
      <c r="AV47" t="inlineStr">
        <is>
          <t>2756136</t>
        </is>
      </c>
      <c r="AW47" t="inlineStr">
        <is>
          <t>991004233329702656</t>
        </is>
      </c>
      <c r="AX47" t="inlineStr">
        <is>
          <t>991004233329702656</t>
        </is>
      </c>
      <c r="AY47" t="inlineStr">
        <is>
          <t>2260584730002656</t>
        </is>
      </c>
      <c r="AZ47" t="inlineStr">
        <is>
          <t>BOOK</t>
        </is>
      </c>
      <c r="BC47" t="inlineStr">
        <is>
          <t>32285000773803</t>
        </is>
      </c>
      <c r="BD47" t="inlineStr">
        <is>
          <t>893593443</t>
        </is>
      </c>
    </row>
    <row r="48">
      <c r="A48" t="inlineStr">
        <is>
          <t>No</t>
        </is>
      </c>
      <c r="B48" t="inlineStr">
        <is>
          <t>RA395.A3 H392 1987</t>
        </is>
      </c>
      <c r="C48" t="inlineStr">
        <is>
          <t>0                      RA 0395000A  3                  H  392         1987</t>
        </is>
      </c>
      <c r="D48" t="inlineStr">
        <is>
          <t>Health care and its costs / Carl J. Schramm, editor.</t>
        </is>
      </c>
      <c r="F48" t="inlineStr">
        <is>
          <t>No</t>
        </is>
      </c>
      <c r="G48" t="inlineStr">
        <is>
          <t>1</t>
        </is>
      </c>
      <c r="H48" t="inlineStr">
        <is>
          <t>No</t>
        </is>
      </c>
      <c r="I48" t="inlineStr">
        <is>
          <t>No</t>
        </is>
      </c>
      <c r="J48" t="inlineStr">
        <is>
          <t>0</t>
        </is>
      </c>
      <c r="L48" t="inlineStr">
        <is>
          <t>New York : Norton, c1987.</t>
        </is>
      </c>
      <c r="M48" t="inlineStr">
        <is>
          <t>1987</t>
        </is>
      </c>
      <c r="N48" t="inlineStr">
        <is>
          <t>1st ed.</t>
        </is>
      </c>
      <c r="O48" t="inlineStr">
        <is>
          <t>eng</t>
        </is>
      </c>
      <c r="P48" t="inlineStr">
        <is>
          <t>nyu</t>
        </is>
      </c>
      <c r="R48" t="inlineStr">
        <is>
          <t xml:space="preserve">RA </t>
        </is>
      </c>
      <c r="S48" t="n">
        <v>12</v>
      </c>
      <c r="T48" t="n">
        <v>12</v>
      </c>
      <c r="U48" t="inlineStr">
        <is>
          <t>2002-04-10</t>
        </is>
      </c>
      <c r="V48" t="inlineStr">
        <is>
          <t>2002-04-10</t>
        </is>
      </c>
      <c r="W48" t="inlineStr">
        <is>
          <t>1991-09-27</t>
        </is>
      </c>
      <c r="X48" t="inlineStr">
        <is>
          <t>1991-09-27</t>
        </is>
      </c>
      <c r="Y48" t="n">
        <v>470</v>
      </c>
      <c r="Z48" t="n">
        <v>425</v>
      </c>
      <c r="AA48" t="n">
        <v>433</v>
      </c>
      <c r="AB48" t="n">
        <v>2</v>
      </c>
      <c r="AC48" t="n">
        <v>2</v>
      </c>
      <c r="AD48" t="n">
        <v>17</v>
      </c>
      <c r="AE48" t="n">
        <v>17</v>
      </c>
      <c r="AF48" t="n">
        <v>7</v>
      </c>
      <c r="AG48" t="n">
        <v>7</v>
      </c>
      <c r="AH48" t="n">
        <v>3</v>
      </c>
      <c r="AI48" t="n">
        <v>3</v>
      </c>
      <c r="AJ48" t="n">
        <v>9</v>
      </c>
      <c r="AK48" t="n">
        <v>9</v>
      </c>
      <c r="AL48" t="n">
        <v>1</v>
      </c>
      <c r="AM48" t="n">
        <v>1</v>
      </c>
      <c r="AN48" t="n">
        <v>2</v>
      </c>
      <c r="AO48" t="n">
        <v>2</v>
      </c>
      <c r="AP48" t="inlineStr">
        <is>
          <t>No</t>
        </is>
      </c>
      <c r="AQ48" t="inlineStr">
        <is>
          <t>No</t>
        </is>
      </c>
      <c r="AS48">
        <f>HYPERLINK("https://creighton-primo.hosted.exlibrisgroup.com/primo-explore/search?tab=default_tab&amp;search_scope=EVERYTHING&amp;vid=01CRU&amp;lang=en_US&amp;offset=0&amp;query=any,contains,991001024739702656","Catalog Record")</f>
        <v/>
      </c>
      <c r="AT48">
        <f>HYPERLINK("http://www.worldcat.org/oclc/15428965","WorldCat Record")</f>
        <v/>
      </c>
      <c r="AU48" t="inlineStr">
        <is>
          <t>375245184:eng</t>
        </is>
      </c>
      <c r="AV48" t="inlineStr">
        <is>
          <t>15428965</t>
        </is>
      </c>
      <c r="AW48" t="inlineStr">
        <is>
          <t>991001024739702656</t>
        </is>
      </c>
      <c r="AX48" t="inlineStr">
        <is>
          <t>991001024739702656</t>
        </is>
      </c>
      <c r="AY48" t="inlineStr">
        <is>
          <t>2264136960002656</t>
        </is>
      </c>
      <c r="AZ48" t="inlineStr">
        <is>
          <t>BOOK</t>
        </is>
      </c>
      <c r="BB48" t="inlineStr">
        <is>
          <t>9780393956719</t>
        </is>
      </c>
      <c r="BC48" t="inlineStr">
        <is>
          <t>32285000725472</t>
        </is>
      </c>
      <c r="BD48" t="inlineStr">
        <is>
          <t>893884974</t>
        </is>
      </c>
    </row>
    <row r="49">
      <c r="A49" t="inlineStr">
        <is>
          <t>No</t>
        </is>
      </c>
      <c r="B49" t="inlineStr">
        <is>
          <t>RA395.A3 H42557 1996</t>
        </is>
      </c>
      <c r="C49" t="inlineStr">
        <is>
          <t>0                      RA 0395000A  3                  H  42557       1996</t>
        </is>
      </c>
      <c r="D49" t="inlineStr">
        <is>
          <t>Health policy, federalism, and the American states / Robert F. Rich and William D. White, editors.</t>
        </is>
      </c>
      <c r="F49" t="inlineStr">
        <is>
          <t>No</t>
        </is>
      </c>
      <c r="G49" t="inlineStr">
        <is>
          <t>1</t>
        </is>
      </c>
      <c r="H49" t="inlineStr">
        <is>
          <t>No</t>
        </is>
      </c>
      <c r="I49" t="inlineStr">
        <is>
          <t>No</t>
        </is>
      </c>
      <c r="J49" t="inlineStr">
        <is>
          <t>0</t>
        </is>
      </c>
      <c r="L49" t="inlineStr">
        <is>
          <t>Washington, D.C. : Urban Institute Press ; Lanham, MD : Distributed in North America by University Press of America, c1996.</t>
        </is>
      </c>
      <c r="M49" t="inlineStr">
        <is>
          <t>1996</t>
        </is>
      </c>
      <c r="O49" t="inlineStr">
        <is>
          <t>eng</t>
        </is>
      </c>
      <c r="P49" t="inlineStr">
        <is>
          <t>dcu</t>
        </is>
      </c>
      <c r="R49" t="inlineStr">
        <is>
          <t xml:space="preserve">RA </t>
        </is>
      </c>
      <c r="S49" t="n">
        <v>1</v>
      </c>
      <c r="T49" t="n">
        <v>1</v>
      </c>
      <c r="U49" t="inlineStr">
        <is>
          <t>2001-02-21</t>
        </is>
      </c>
      <c r="V49" t="inlineStr">
        <is>
          <t>2001-02-21</t>
        </is>
      </c>
      <c r="W49" t="inlineStr">
        <is>
          <t>1999-08-25</t>
        </is>
      </c>
      <c r="X49" t="inlineStr">
        <is>
          <t>1999-08-25</t>
        </is>
      </c>
      <c r="Y49" t="n">
        <v>253</v>
      </c>
      <c r="Z49" t="n">
        <v>231</v>
      </c>
      <c r="AA49" t="n">
        <v>261</v>
      </c>
      <c r="AB49" t="n">
        <v>2</v>
      </c>
      <c r="AC49" t="n">
        <v>2</v>
      </c>
      <c r="AD49" t="n">
        <v>10</v>
      </c>
      <c r="AE49" t="n">
        <v>11</v>
      </c>
      <c r="AF49" t="n">
        <v>3</v>
      </c>
      <c r="AG49" t="n">
        <v>3</v>
      </c>
      <c r="AH49" t="n">
        <v>1</v>
      </c>
      <c r="AI49" t="n">
        <v>2</v>
      </c>
      <c r="AJ49" t="n">
        <v>4</v>
      </c>
      <c r="AK49" t="n">
        <v>5</v>
      </c>
      <c r="AL49" t="n">
        <v>1</v>
      </c>
      <c r="AM49" t="n">
        <v>1</v>
      </c>
      <c r="AN49" t="n">
        <v>3</v>
      </c>
      <c r="AO49" t="n">
        <v>3</v>
      </c>
      <c r="AP49" t="inlineStr">
        <is>
          <t>No</t>
        </is>
      </c>
      <c r="AQ49" t="inlineStr">
        <is>
          <t>No</t>
        </is>
      </c>
      <c r="AS49">
        <f>HYPERLINK("https://creighton-primo.hosted.exlibrisgroup.com/primo-explore/search?tab=default_tab&amp;search_scope=EVERYTHING&amp;vid=01CRU&amp;lang=en_US&amp;offset=0&amp;query=any,contains,991002703869702656","Catalog Record")</f>
        <v/>
      </c>
      <c r="AT49">
        <f>HYPERLINK("http://www.worldcat.org/oclc/35298569","WorldCat Record")</f>
        <v/>
      </c>
      <c r="AU49" t="inlineStr">
        <is>
          <t>368200236:eng</t>
        </is>
      </c>
      <c r="AV49" t="inlineStr">
        <is>
          <t>35298569</t>
        </is>
      </c>
      <c r="AW49" t="inlineStr">
        <is>
          <t>991002703869702656</t>
        </is>
      </c>
      <c r="AX49" t="inlineStr">
        <is>
          <t>991002703869702656</t>
        </is>
      </c>
      <c r="AY49" t="inlineStr">
        <is>
          <t>2260399260002656</t>
        </is>
      </c>
      <c r="AZ49" t="inlineStr">
        <is>
          <t>BOOK</t>
        </is>
      </c>
      <c r="BB49" t="inlineStr">
        <is>
          <t>9780877666592</t>
        </is>
      </c>
      <c r="BC49" t="inlineStr">
        <is>
          <t>32285003584363</t>
        </is>
      </c>
      <c r="BD49" t="inlineStr">
        <is>
          <t>893798902</t>
        </is>
      </c>
    </row>
    <row r="50">
      <c r="A50" t="inlineStr">
        <is>
          <t>No</t>
        </is>
      </c>
      <c r="B50" t="inlineStr">
        <is>
          <t>RA395.A3 I4925 1983</t>
        </is>
      </c>
      <c r="C50" t="inlineStr">
        <is>
          <t>0                      RA 0395000A  3                  I  4925        1983</t>
        </is>
      </c>
      <c r="D50" t="inlineStr">
        <is>
          <t>In search of equity : health needs and the health care system / edited by Ronald Bayer and Arthur L. Caplan and Norman Daniels.</t>
        </is>
      </c>
      <c r="F50" t="inlineStr">
        <is>
          <t>No</t>
        </is>
      </c>
      <c r="G50" t="inlineStr">
        <is>
          <t>1</t>
        </is>
      </c>
      <c r="H50" t="inlineStr">
        <is>
          <t>No</t>
        </is>
      </c>
      <c r="I50" t="inlineStr">
        <is>
          <t>No</t>
        </is>
      </c>
      <c r="J50" t="inlineStr">
        <is>
          <t>0</t>
        </is>
      </c>
      <c r="L50" t="inlineStr">
        <is>
          <t>New York : Plenum Press, c1983.</t>
        </is>
      </c>
      <c r="M50" t="inlineStr">
        <is>
          <t>1983</t>
        </is>
      </c>
      <c r="O50" t="inlineStr">
        <is>
          <t>eng</t>
        </is>
      </c>
      <c r="P50" t="inlineStr">
        <is>
          <t>nyu</t>
        </is>
      </c>
      <c r="Q50" t="inlineStr">
        <is>
          <t>The Hastings Center series in ethics</t>
        </is>
      </c>
      <c r="R50" t="inlineStr">
        <is>
          <t xml:space="preserve">RA </t>
        </is>
      </c>
      <c r="S50" t="n">
        <v>22</v>
      </c>
      <c r="T50" t="n">
        <v>22</v>
      </c>
      <c r="U50" t="inlineStr">
        <is>
          <t>2002-10-16</t>
        </is>
      </c>
      <c r="V50" t="inlineStr">
        <is>
          <t>2002-10-16</t>
        </is>
      </c>
      <c r="W50" t="inlineStr">
        <is>
          <t>1992-04-09</t>
        </is>
      </c>
      <c r="X50" t="inlineStr">
        <is>
          <t>1992-04-09</t>
        </is>
      </c>
      <c r="Y50" t="n">
        <v>343</v>
      </c>
      <c r="Z50" t="n">
        <v>283</v>
      </c>
      <c r="AA50" t="n">
        <v>306</v>
      </c>
      <c r="AB50" t="n">
        <v>1</v>
      </c>
      <c r="AC50" t="n">
        <v>1</v>
      </c>
      <c r="AD50" t="n">
        <v>14</v>
      </c>
      <c r="AE50" t="n">
        <v>17</v>
      </c>
      <c r="AF50" t="n">
        <v>3</v>
      </c>
      <c r="AG50" t="n">
        <v>5</v>
      </c>
      <c r="AH50" t="n">
        <v>5</v>
      </c>
      <c r="AI50" t="n">
        <v>6</v>
      </c>
      <c r="AJ50" t="n">
        <v>8</v>
      </c>
      <c r="AK50" t="n">
        <v>9</v>
      </c>
      <c r="AL50" t="n">
        <v>0</v>
      </c>
      <c r="AM50" t="n">
        <v>0</v>
      </c>
      <c r="AN50" t="n">
        <v>2</v>
      </c>
      <c r="AO50" t="n">
        <v>2</v>
      </c>
      <c r="AP50" t="inlineStr">
        <is>
          <t>No</t>
        </is>
      </c>
      <c r="AQ50" t="inlineStr">
        <is>
          <t>Yes</t>
        </is>
      </c>
      <c r="AR50">
        <f>HYPERLINK("http://catalog.hathitrust.org/Record/000116336","HathiTrust Record")</f>
        <v/>
      </c>
      <c r="AS50">
        <f>HYPERLINK("https://creighton-primo.hosted.exlibrisgroup.com/primo-explore/search?tab=default_tab&amp;search_scope=EVERYTHING&amp;vid=01CRU&amp;lang=en_US&amp;offset=0&amp;query=any,contains,991000179329702656","Catalog Record")</f>
        <v/>
      </c>
      <c r="AT50">
        <f>HYPERLINK("http://www.worldcat.org/oclc/9371079","WorldCat Record")</f>
        <v/>
      </c>
      <c r="AU50" t="inlineStr">
        <is>
          <t>836718431:eng</t>
        </is>
      </c>
      <c r="AV50" t="inlineStr">
        <is>
          <t>9371079</t>
        </is>
      </c>
      <c r="AW50" t="inlineStr">
        <is>
          <t>991000179329702656</t>
        </is>
      </c>
      <c r="AX50" t="inlineStr">
        <is>
          <t>991000179329702656</t>
        </is>
      </c>
      <c r="AY50" t="inlineStr">
        <is>
          <t>2267016080002656</t>
        </is>
      </c>
      <c r="AZ50" t="inlineStr">
        <is>
          <t>BOOK</t>
        </is>
      </c>
      <c r="BB50" t="inlineStr">
        <is>
          <t>9780306412127</t>
        </is>
      </c>
      <c r="BC50" t="inlineStr">
        <is>
          <t>32285001058253</t>
        </is>
      </c>
      <c r="BD50" t="inlineStr">
        <is>
          <t>893345456</t>
        </is>
      </c>
    </row>
    <row r="51">
      <c r="A51" t="inlineStr">
        <is>
          <t>No</t>
        </is>
      </c>
      <c r="B51" t="inlineStr">
        <is>
          <t>RA395.A3 L49</t>
        </is>
      </c>
      <c r="C51" t="inlineStr">
        <is>
          <t>0                      RA 0395000A  3                  L  49</t>
        </is>
      </c>
      <c r="D51" t="inlineStr">
        <is>
          <t>A right to health : the problem of access to primary medical care / Charles E. Lewis, Rashi Fein, David Mechanic.</t>
        </is>
      </c>
      <c r="F51" t="inlineStr">
        <is>
          <t>No</t>
        </is>
      </c>
      <c r="G51" t="inlineStr">
        <is>
          <t>1</t>
        </is>
      </c>
      <c r="H51" t="inlineStr">
        <is>
          <t>No</t>
        </is>
      </c>
      <c r="I51" t="inlineStr">
        <is>
          <t>No</t>
        </is>
      </c>
      <c r="J51" t="inlineStr">
        <is>
          <t>0</t>
        </is>
      </c>
      <c r="K51" t="inlineStr">
        <is>
          <t>Lewis, Charles E., 1928-</t>
        </is>
      </c>
      <c r="L51" t="inlineStr">
        <is>
          <t>New York : Wiley, c1976.</t>
        </is>
      </c>
      <c r="M51" t="inlineStr">
        <is>
          <t>1976</t>
        </is>
      </c>
      <c r="O51" t="inlineStr">
        <is>
          <t>eng</t>
        </is>
      </c>
      <c r="P51" t="inlineStr">
        <is>
          <t>nyu</t>
        </is>
      </c>
      <c r="Q51" t="inlineStr">
        <is>
          <t>Health, medicine, and society</t>
        </is>
      </c>
      <c r="R51" t="inlineStr">
        <is>
          <t xml:space="preserve">RA </t>
        </is>
      </c>
      <c r="S51" t="n">
        <v>26</v>
      </c>
      <c r="T51" t="n">
        <v>26</v>
      </c>
      <c r="U51" t="inlineStr">
        <is>
          <t>2007-04-18</t>
        </is>
      </c>
      <c r="V51" t="inlineStr">
        <is>
          <t>2007-04-18</t>
        </is>
      </c>
      <c r="W51" t="inlineStr">
        <is>
          <t>1990-03-07</t>
        </is>
      </c>
      <c r="X51" t="inlineStr">
        <is>
          <t>1990-03-07</t>
        </is>
      </c>
      <c r="Y51" t="n">
        <v>452</v>
      </c>
      <c r="Z51" t="n">
        <v>386</v>
      </c>
      <c r="AA51" t="n">
        <v>388</v>
      </c>
      <c r="AB51" t="n">
        <v>2</v>
      </c>
      <c r="AC51" t="n">
        <v>2</v>
      </c>
      <c r="AD51" t="n">
        <v>16</v>
      </c>
      <c r="AE51" t="n">
        <v>16</v>
      </c>
      <c r="AF51" t="n">
        <v>6</v>
      </c>
      <c r="AG51" t="n">
        <v>6</v>
      </c>
      <c r="AH51" t="n">
        <v>4</v>
      </c>
      <c r="AI51" t="n">
        <v>4</v>
      </c>
      <c r="AJ51" t="n">
        <v>8</v>
      </c>
      <c r="AK51" t="n">
        <v>8</v>
      </c>
      <c r="AL51" t="n">
        <v>1</v>
      </c>
      <c r="AM51" t="n">
        <v>1</v>
      </c>
      <c r="AN51" t="n">
        <v>1</v>
      </c>
      <c r="AO51" t="n">
        <v>1</v>
      </c>
      <c r="AP51" t="inlineStr">
        <is>
          <t>No</t>
        </is>
      </c>
      <c r="AQ51" t="inlineStr">
        <is>
          <t>Yes</t>
        </is>
      </c>
      <c r="AR51">
        <f>HYPERLINK("http://catalog.hathitrust.org/Record/000707172","HathiTrust Record")</f>
        <v/>
      </c>
      <c r="AS51">
        <f>HYPERLINK("https://creighton-primo.hosted.exlibrisgroup.com/primo-explore/search?tab=default_tab&amp;search_scope=EVERYTHING&amp;vid=01CRU&amp;lang=en_US&amp;offset=0&amp;query=any,contains,991004056259702656","Catalog Record")</f>
        <v/>
      </c>
      <c r="AT51">
        <f>HYPERLINK("http://www.worldcat.org/oclc/2225193","WorldCat Record")</f>
        <v/>
      </c>
      <c r="AU51" t="inlineStr">
        <is>
          <t>375551927:eng</t>
        </is>
      </c>
      <c r="AV51" t="inlineStr">
        <is>
          <t>2225193</t>
        </is>
      </c>
      <c r="AW51" t="inlineStr">
        <is>
          <t>991004056259702656</t>
        </is>
      </c>
      <c r="AX51" t="inlineStr">
        <is>
          <t>991004056259702656</t>
        </is>
      </c>
      <c r="AY51" t="inlineStr">
        <is>
          <t>2259110520002656</t>
        </is>
      </c>
      <c r="AZ51" t="inlineStr">
        <is>
          <t>BOOK</t>
        </is>
      </c>
      <c r="BB51" t="inlineStr">
        <is>
          <t>9780471014942</t>
        </is>
      </c>
      <c r="BC51" t="inlineStr">
        <is>
          <t>32285000080571</t>
        </is>
      </c>
      <c r="BD51" t="inlineStr">
        <is>
          <t>893599360</t>
        </is>
      </c>
    </row>
    <row r="52">
      <c r="A52" t="inlineStr">
        <is>
          <t>No</t>
        </is>
      </c>
      <c r="B52" t="inlineStr">
        <is>
          <t>RA395.A3 M45 1992</t>
        </is>
      </c>
      <c r="C52" t="inlineStr">
        <is>
          <t>0                      RA 0395000A  3                  M  45          1992</t>
        </is>
      </c>
      <c r="D52" t="inlineStr">
        <is>
          <t>The health care crisis : containing costs, expanding coverage / [writers, Keith Melville, Tom Piazza].</t>
        </is>
      </c>
      <c r="F52" t="inlineStr">
        <is>
          <t>No</t>
        </is>
      </c>
      <c r="G52" t="inlineStr">
        <is>
          <t>1</t>
        </is>
      </c>
      <c r="H52" t="inlineStr">
        <is>
          <t>No</t>
        </is>
      </c>
      <c r="I52" t="inlineStr">
        <is>
          <t>No</t>
        </is>
      </c>
      <c r="J52" t="inlineStr">
        <is>
          <t>0</t>
        </is>
      </c>
      <c r="K52" t="inlineStr">
        <is>
          <t>Melville, Keith.</t>
        </is>
      </c>
      <c r="L52" t="inlineStr">
        <is>
          <t>Dubuque, Iowa : Kendall/Hunt Pub. Co., c1992.</t>
        </is>
      </c>
      <c r="M52" t="inlineStr">
        <is>
          <t>1992</t>
        </is>
      </c>
      <c r="O52" t="inlineStr">
        <is>
          <t>eng</t>
        </is>
      </c>
      <c r="P52" t="inlineStr">
        <is>
          <t>iau</t>
        </is>
      </c>
      <c r="Q52" t="inlineStr">
        <is>
          <t>National issues forums</t>
        </is>
      </c>
      <c r="R52" t="inlineStr">
        <is>
          <t xml:space="preserve">RA </t>
        </is>
      </c>
      <c r="S52" t="n">
        <v>3</v>
      </c>
      <c r="T52" t="n">
        <v>3</v>
      </c>
      <c r="U52" t="inlineStr">
        <is>
          <t>2000-04-30</t>
        </is>
      </c>
      <c r="V52" t="inlineStr">
        <is>
          <t>2000-04-30</t>
        </is>
      </c>
      <c r="W52" t="inlineStr">
        <is>
          <t>1997-05-04</t>
        </is>
      </c>
      <c r="X52" t="inlineStr">
        <is>
          <t>1997-05-04</t>
        </is>
      </c>
      <c r="Y52" t="n">
        <v>48</v>
      </c>
      <c r="Z52" t="n">
        <v>47</v>
      </c>
      <c r="AA52" t="n">
        <v>62</v>
      </c>
      <c r="AB52" t="n">
        <v>1</v>
      </c>
      <c r="AC52" t="n">
        <v>1</v>
      </c>
      <c r="AD52" t="n">
        <v>0</v>
      </c>
      <c r="AE52" t="n">
        <v>0</v>
      </c>
      <c r="AF52" t="n">
        <v>0</v>
      </c>
      <c r="AG52" t="n">
        <v>0</v>
      </c>
      <c r="AH52" t="n">
        <v>0</v>
      </c>
      <c r="AI52" t="n">
        <v>0</v>
      </c>
      <c r="AJ52" t="n">
        <v>0</v>
      </c>
      <c r="AK52" t="n">
        <v>0</v>
      </c>
      <c r="AL52" t="n">
        <v>0</v>
      </c>
      <c r="AM52" t="n">
        <v>0</v>
      </c>
      <c r="AN52" t="n">
        <v>0</v>
      </c>
      <c r="AO52" t="n">
        <v>0</v>
      </c>
      <c r="AP52" t="inlineStr">
        <is>
          <t>No</t>
        </is>
      </c>
      <c r="AQ52" t="inlineStr">
        <is>
          <t>No</t>
        </is>
      </c>
      <c r="AS52">
        <f>HYPERLINK("https://creighton-primo.hosted.exlibrisgroup.com/primo-explore/search?tab=default_tab&amp;search_scope=EVERYTHING&amp;vid=01CRU&amp;lang=en_US&amp;offset=0&amp;query=any,contains,991002070249702656","Catalog Record")</f>
        <v/>
      </c>
      <c r="AT52">
        <f>HYPERLINK("http://www.worldcat.org/oclc/26521602","WorldCat Record")</f>
        <v/>
      </c>
      <c r="AU52" t="inlineStr">
        <is>
          <t>30454422:eng</t>
        </is>
      </c>
      <c r="AV52" t="inlineStr">
        <is>
          <t>26521602</t>
        </is>
      </c>
      <c r="AW52" t="inlineStr">
        <is>
          <t>991002070249702656</t>
        </is>
      </c>
      <c r="AX52" t="inlineStr">
        <is>
          <t>991002070249702656</t>
        </is>
      </c>
      <c r="AY52" t="inlineStr">
        <is>
          <t>2268661970002656</t>
        </is>
      </c>
      <c r="AZ52" t="inlineStr">
        <is>
          <t>BOOK</t>
        </is>
      </c>
      <c r="BB52" t="inlineStr">
        <is>
          <t>9780840374325</t>
        </is>
      </c>
      <c r="BC52" t="inlineStr">
        <is>
          <t>32285002543337</t>
        </is>
      </c>
      <c r="BD52" t="inlineStr">
        <is>
          <t>893892092</t>
        </is>
      </c>
    </row>
    <row r="53">
      <c r="A53" t="inlineStr">
        <is>
          <t>No</t>
        </is>
      </c>
      <c r="B53" t="inlineStr">
        <is>
          <t>RA395.A3 N48 1993</t>
        </is>
      </c>
      <c r="C53" t="inlineStr">
        <is>
          <t>0                      RA 0395000A  3                  N  48          1993</t>
        </is>
      </c>
      <c r="D53" t="inlineStr">
        <is>
          <t>A New deal for American health care : how reform will reshape health care delivery and payment for a new century / by Richard M. Sorian and the editors of the Healthcare Information Center ; introduction by Robert J. Blendon.</t>
        </is>
      </c>
      <c r="F53" t="inlineStr">
        <is>
          <t>No</t>
        </is>
      </c>
      <c r="G53" t="inlineStr">
        <is>
          <t>1</t>
        </is>
      </c>
      <c r="H53" t="inlineStr">
        <is>
          <t>No</t>
        </is>
      </c>
      <c r="I53" t="inlineStr">
        <is>
          <t>No</t>
        </is>
      </c>
      <c r="J53" t="inlineStr">
        <is>
          <t>0</t>
        </is>
      </c>
      <c r="L53" t="inlineStr">
        <is>
          <t>New York, [N.Y.] : Faulkner &amp; Gray ; Washington, DC : Healthcare Information Center, c1993.</t>
        </is>
      </c>
      <c r="M53" t="inlineStr">
        <is>
          <t>1993</t>
        </is>
      </c>
      <c r="O53" t="inlineStr">
        <is>
          <t>eng</t>
        </is>
      </c>
      <c r="P53" t="inlineStr">
        <is>
          <t>nyu</t>
        </is>
      </c>
      <c r="Q53" t="inlineStr">
        <is>
          <t>Future of American health care ; v. 3</t>
        </is>
      </c>
      <c r="R53" t="inlineStr">
        <is>
          <t xml:space="preserve">RA </t>
        </is>
      </c>
      <c r="S53" t="n">
        <v>12</v>
      </c>
      <c r="T53" t="n">
        <v>12</v>
      </c>
      <c r="U53" t="inlineStr">
        <is>
          <t>2010-04-22</t>
        </is>
      </c>
      <c r="V53" t="inlineStr">
        <is>
          <t>2010-04-22</t>
        </is>
      </c>
      <c r="W53" t="inlineStr">
        <is>
          <t>1994-07-20</t>
        </is>
      </c>
      <c r="X53" t="inlineStr">
        <is>
          <t>1994-07-20</t>
        </is>
      </c>
      <c r="Y53" t="n">
        <v>116</v>
      </c>
      <c r="Z53" t="n">
        <v>113</v>
      </c>
      <c r="AA53" t="n">
        <v>113</v>
      </c>
      <c r="AB53" t="n">
        <v>2</v>
      </c>
      <c r="AC53" t="n">
        <v>2</v>
      </c>
      <c r="AD53" t="n">
        <v>6</v>
      </c>
      <c r="AE53" t="n">
        <v>6</v>
      </c>
      <c r="AF53" t="n">
        <v>0</v>
      </c>
      <c r="AG53" t="n">
        <v>0</v>
      </c>
      <c r="AH53" t="n">
        <v>1</v>
      </c>
      <c r="AI53" t="n">
        <v>1</v>
      </c>
      <c r="AJ53" t="n">
        <v>2</v>
      </c>
      <c r="AK53" t="n">
        <v>2</v>
      </c>
      <c r="AL53" t="n">
        <v>1</v>
      </c>
      <c r="AM53" t="n">
        <v>1</v>
      </c>
      <c r="AN53" t="n">
        <v>3</v>
      </c>
      <c r="AO53" t="n">
        <v>3</v>
      </c>
      <c r="AP53" t="inlineStr">
        <is>
          <t>No</t>
        </is>
      </c>
      <c r="AQ53" t="inlineStr">
        <is>
          <t>No</t>
        </is>
      </c>
      <c r="AS53">
        <f>HYPERLINK("https://creighton-primo.hosted.exlibrisgroup.com/primo-explore/search?tab=default_tab&amp;search_scope=EVERYTHING&amp;vid=01CRU&amp;lang=en_US&amp;offset=0&amp;query=any,contains,991002279009702656","Catalog Record")</f>
        <v/>
      </c>
      <c r="AT53">
        <f>HYPERLINK("http://www.worldcat.org/oclc/29563628","WorldCat Record")</f>
        <v/>
      </c>
      <c r="AU53" t="inlineStr">
        <is>
          <t>31354310:eng</t>
        </is>
      </c>
      <c r="AV53" t="inlineStr">
        <is>
          <t>29563628</t>
        </is>
      </c>
      <c r="AW53" t="inlineStr">
        <is>
          <t>991002279009702656</t>
        </is>
      </c>
      <c r="AX53" t="inlineStr">
        <is>
          <t>991002279009702656</t>
        </is>
      </c>
      <c r="AY53" t="inlineStr">
        <is>
          <t>2263554810002656</t>
        </is>
      </c>
      <c r="AZ53" t="inlineStr">
        <is>
          <t>BOOK</t>
        </is>
      </c>
      <c r="BC53" t="inlineStr">
        <is>
          <t>32285001932242</t>
        </is>
      </c>
      <c r="BD53" t="inlineStr">
        <is>
          <t>893408910</t>
        </is>
      </c>
    </row>
    <row r="54">
      <c r="A54" t="inlineStr">
        <is>
          <t>No</t>
        </is>
      </c>
      <c r="B54" t="inlineStr">
        <is>
          <t>RA395.A3 P298 1993</t>
        </is>
      </c>
      <c r="C54" t="inlineStr">
        <is>
          <t>0                      RA 0395000A  3                  P  298         1993</t>
        </is>
      </c>
      <c r="D54" t="inlineStr">
        <is>
          <t>Health status and health policy : quality of life in health care evaluation and resource allocation / Donald L. Patrick, Pennifer Erickson.</t>
        </is>
      </c>
      <c r="F54" t="inlineStr">
        <is>
          <t>No</t>
        </is>
      </c>
      <c r="G54" t="inlineStr">
        <is>
          <t>1</t>
        </is>
      </c>
      <c r="H54" t="inlineStr">
        <is>
          <t>Yes</t>
        </is>
      </c>
      <c r="I54" t="inlineStr">
        <is>
          <t>No</t>
        </is>
      </c>
      <c r="J54" t="inlineStr">
        <is>
          <t>0</t>
        </is>
      </c>
      <c r="K54" t="inlineStr">
        <is>
          <t>Patrick, Donald L.</t>
        </is>
      </c>
      <c r="L54" t="inlineStr">
        <is>
          <t>New York : Oxford University Press, 1993.</t>
        </is>
      </c>
      <c r="M54" t="inlineStr">
        <is>
          <t>1993</t>
        </is>
      </c>
      <c r="O54" t="inlineStr">
        <is>
          <t>eng</t>
        </is>
      </c>
      <c r="P54" t="inlineStr">
        <is>
          <t>nyu</t>
        </is>
      </c>
      <c r="R54" t="inlineStr">
        <is>
          <t xml:space="preserve">RA </t>
        </is>
      </c>
      <c r="S54" t="n">
        <v>6</v>
      </c>
      <c r="T54" t="n">
        <v>15</v>
      </c>
      <c r="U54" t="inlineStr">
        <is>
          <t>2006-09-22</t>
        </is>
      </c>
      <c r="V54" t="inlineStr">
        <is>
          <t>2006-09-22</t>
        </is>
      </c>
      <c r="W54" t="inlineStr">
        <is>
          <t>1994-05-26</t>
        </is>
      </c>
      <c r="X54" t="inlineStr">
        <is>
          <t>1994-05-26</t>
        </is>
      </c>
      <c r="Y54" t="n">
        <v>404</v>
      </c>
      <c r="Z54" t="n">
        <v>297</v>
      </c>
      <c r="AA54" t="n">
        <v>304</v>
      </c>
      <c r="AB54" t="n">
        <v>3</v>
      </c>
      <c r="AC54" t="n">
        <v>3</v>
      </c>
      <c r="AD54" t="n">
        <v>14</v>
      </c>
      <c r="AE54" t="n">
        <v>14</v>
      </c>
      <c r="AF54" t="n">
        <v>6</v>
      </c>
      <c r="AG54" t="n">
        <v>6</v>
      </c>
      <c r="AH54" t="n">
        <v>5</v>
      </c>
      <c r="AI54" t="n">
        <v>5</v>
      </c>
      <c r="AJ54" t="n">
        <v>7</v>
      </c>
      <c r="AK54" t="n">
        <v>7</v>
      </c>
      <c r="AL54" t="n">
        <v>1</v>
      </c>
      <c r="AM54" t="n">
        <v>1</v>
      </c>
      <c r="AN54" t="n">
        <v>0</v>
      </c>
      <c r="AO54" t="n">
        <v>0</v>
      </c>
      <c r="AP54" t="inlineStr">
        <is>
          <t>No</t>
        </is>
      </c>
      <c r="AQ54" t="inlineStr">
        <is>
          <t>Yes</t>
        </is>
      </c>
      <c r="AR54">
        <f>HYPERLINK("http://catalog.hathitrust.org/Record/004547185","HathiTrust Record")</f>
        <v/>
      </c>
      <c r="AS54">
        <f>HYPERLINK("https://creighton-primo.hosted.exlibrisgroup.com/primo-explore/search?tab=default_tab&amp;search_scope=EVERYTHING&amp;vid=01CRU&amp;lang=en_US&amp;offset=0&amp;query=any,contains,991001799799702656","Catalog Record")</f>
        <v/>
      </c>
      <c r="AT54">
        <f>HYPERLINK("http://www.worldcat.org/oclc/25372498","WorldCat Record")</f>
        <v/>
      </c>
      <c r="AU54" t="inlineStr">
        <is>
          <t>836875955:eng</t>
        </is>
      </c>
      <c r="AV54" t="inlineStr">
        <is>
          <t>25372498</t>
        </is>
      </c>
      <c r="AW54" t="inlineStr">
        <is>
          <t>991001799799702656</t>
        </is>
      </c>
      <c r="AX54" t="inlineStr">
        <is>
          <t>991001799799702656</t>
        </is>
      </c>
      <c r="AY54" t="inlineStr">
        <is>
          <t>2269053190002656</t>
        </is>
      </c>
      <c r="AZ54" t="inlineStr">
        <is>
          <t>BOOK</t>
        </is>
      </c>
      <c r="BB54" t="inlineStr">
        <is>
          <t>9780195050271</t>
        </is>
      </c>
      <c r="BC54" t="inlineStr">
        <is>
          <t>32285001899938</t>
        </is>
      </c>
      <c r="BD54" t="inlineStr">
        <is>
          <t>893433148</t>
        </is>
      </c>
    </row>
    <row r="55">
      <c r="A55" t="inlineStr">
        <is>
          <t>No</t>
        </is>
      </c>
      <c r="B55" t="inlineStr">
        <is>
          <t>RA395.A3 R48 v.3, 1984</t>
        </is>
      </c>
      <c r="C55" t="inlineStr">
        <is>
          <t>0                      RA 0395000A  3                  R  48                                v.3, 1984</t>
        </is>
      </c>
      <c r="D55" t="inlineStr">
        <is>
          <t>The Control of costs and performance of medical services / editor, Julius A. Roth.</t>
        </is>
      </c>
      <c r="E55" t="inlineStr">
        <is>
          <t>V.3 1984</t>
        </is>
      </c>
      <c r="F55" t="inlineStr">
        <is>
          <t>No</t>
        </is>
      </c>
      <c r="G55" t="inlineStr">
        <is>
          <t>1</t>
        </is>
      </c>
      <c r="H55" t="inlineStr">
        <is>
          <t>No</t>
        </is>
      </c>
      <c r="I55" t="inlineStr">
        <is>
          <t>No</t>
        </is>
      </c>
      <c r="J55" t="inlineStr">
        <is>
          <t>0</t>
        </is>
      </c>
      <c r="L55" t="inlineStr">
        <is>
          <t>Greenwich, Conn. : JAI Press, 1984.</t>
        </is>
      </c>
      <c r="M55" t="inlineStr">
        <is>
          <t>1984</t>
        </is>
      </c>
      <c r="O55" t="inlineStr">
        <is>
          <t>eng</t>
        </is>
      </c>
      <c r="P55" t="inlineStr">
        <is>
          <t>ctu</t>
        </is>
      </c>
      <c r="Q55" t="inlineStr">
        <is>
          <t>Research in the sociology of health care ; v. 3</t>
        </is>
      </c>
      <c r="R55" t="inlineStr">
        <is>
          <t xml:space="preserve">RA </t>
        </is>
      </c>
      <c r="S55" t="n">
        <v>2</v>
      </c>
      <c r="T55" t="n">
        <v>2</v>
      </c>
      <c r="U55" t="inlineStr">
        <is>
          <t>1996-09-26</t>
        </is>
      </c>
      <c r="V55" t="inlineStr">
        <is>
          <t>1996-09-26</t>
        </is>
      </c>
      <c r="W55" t="inlineStr">
        <is>
          <t>1993-03-09</t>
        </is>
      </c>
      <c r="X55" t="inlineStr">
        <is>
          <t>1993-03-09</t>
        </is>
      </c>
      <c r="Y55" t="n">
        <v>62</v>
      </c>
      <c r="Z55" t="n">
        <v>44</v>
      </c>
      <c r="AA55" t="n">
        <v>44</v>
      </c>
      <c r="AB55" t="n">
        <v>2</v>
      </c>
      <c r="AC55" t="n">
        <v>2</v>
      </c>
      <c r="AD55" t="n">
        <v>2</v>
      </c>
      <c r="AE55" t="n">
        <v>2</v>
      </c>
      <c r="AF55" t="n">
        <v>0</v>
      </c>
      <c r="AG55" t="n">
        <v>0</v>
      </c>
      <c r="AH55" t="n">
        <v>1</v>
      </c>
      <c r="AI55" t="n">
        <v>1</v>
      </c>
      <c r="AJ55" t="n">
        <v>0</v>
      </c>
      <c r="AK55" t="n">
        <v>0</v>
      </c>
      <c r="AL55" t="n">
        <v>1</v>
      </c>
      <c r="AM55" t="n">
        <v>1</v>
      </c>
      <c r="AN55" t="n">
        <v>0</v>
      </c>
      <c r="AO55" t="n">
        <v>0</v>
      </c>
      <c r="AP55" t="inlineStr">
        <is>
          <t>No</t>
        </is>
      </c>
      <c r="AQ55" t="inlineStr">
        <is>
          <t>No</t>
        </is>
      </c>
      <c r="AS55">
        <f>HYPERLINK("https://creighton-primo.hosted.exlibrisgroup.com/primo-explore/search?tab=default_tab&amp;search_scope=EVERYTHING&amp;vid=01CRU&amp;lang=en_US&amp;offset=0&amp;query=any,contains,991000409989702656","Catalog Record")</f>
        <v/>
      </c>
      <c r="AT55">
        <f>HYPERLINK("http://www.worldcat.org/oclc/10700425","WorldCat Record")</f>
        <v/>
      </c>
      <c r="AU55" t="inlineStr">
        <is>
          <t>54640435:eng</t>
        </is>
      </c>
      <c r="AV55" t="inlineStr">
        <is>
          <t>10700425</t>
        </is>
      </c>
      <c r="AW55" t="inlineStr">
        <is>
          <t>991000409989702656</t>
        </is>
      </c>
      <c r="AX55" t="inlineStr">
        <is>
          <t>991000409989702656</t>
        </is>
      </c>
      <c r="AY55" t="inlineStr">
        <is>
          <t>2260812980002656</t>
        </is>
      </c>
      <c r="AZ55" t="inlineStr">
        <is>
          <t>BOOK</t>
        </is>
      </c>
      <c r="BB55" t="inlineStr">
        <is>
          <t>9780892323104</t>
        </is>
      </c>
      <c r="BC55" t="inlineStr">
        <is>
          <t>32285001586451</t>
        </is>
      </c>
      <c r="BD55" t="inlineStr">
        <is>
          <t>893790476</t>
        </is>
      </c>
    </row>
    <row r="56">
      <c r="A56" t="inlineStr">
        <is>
          <t>No</t>
        </is>
      </c>
      <c r="B56" t="inlineStr">
        <is>
          <t>RA395.A3 R48 v.4, 1986</t>
        </is>
      </c>
      <c r="C56" t="inlineStr">
        <is>
          <t>0                      RA 0395000A  3                  R  48                                v.4, 1986</t>
        </is>
      </c>
      <c r="D56" t="inlineStr">
        <is>
          <t>The Adoption and social consequences of medical technologies / editors, Julius A. Roth, Sheryl Burt Ruzek.</t>
        </is>
      </c>
      <c r="E56" t="inlineStr">
        <is>
          <t>V.4 1986</t>
        </is>
      </c>
      <c r="F56" t="inlineStr">
        <is>
          <t>No</t>
        </is>
      </c>
      <c r="G56" t="inlineStr">
        <is>
          <t>1</t>
        </is>
      </c>
      <c r="H56" t="inlineStr">
        <is>
          <t>No</t>
        </is>
      </c>
      <c r="I56" t="inlineStr">
        <is>
          <t>No</t>
        </is>
      </c>
      <c r="J56" t="inlineStr">
        <is>
          <t>0</t>
        </is>
      </c>
      <c r="L56" t="inlineStr">
        <is>
          <t>Greenwich, Conn. : JAI Press, 1986.</t>
        </is>
      </c>
      <c r="M56" t="inlineStr">
        <is>
          <t>1986</t>
        </is>
      </c>
      <c r="O56" t="inlineStr">
        <is>
          <t>eng</t>
        </is>
      </c>
      <c r="P56" t="inlineStr">
        <is>
          <t>ctu</t>
        </is>
      </c>
      <c r="Q56" t="inlineStr">
        <is>
          <t>Research in the sociology of health care ; v. 4</t>
        </is>
      </c>
      <c r="R56" t="inlineStr">
        <is>
          <t xml:space="preserve">RA </t>
        </is>
      </c>
      <c r="S56" t="n">
        <v>6</v>
      </c>
      <c r="T56" t="n">
        <v>6</v>
      </c>
      <c r="U56" t="inlineStr">
        <is>
          <t>1997-12-04</t>
        </is>
      </c>
      <c r="V56" t="inlineStr">
        <is>
          <t>1997-12-04</t>
        </is>
      </c>
      <c r="W56" t="inlineStr">
        <is>
          <t>1993-03-09</t>
        </is>
      </c>
      <c r="X56" t="inlineStr">
        <is>
          <t>1993-03-09</t>
        </is>
      </c>
      <c r="Y56" t="n">
        <v>75</v>
      </c>
      <c r="Z56" t="n">
        <v>53</v>
      </c>
      <c r="AA56" t="n">
        <v>53</v>
      </c>
      <c r="AB56" t="n">
        <v>2</v>
      </c>
      <c r="AC56" t="n">
        <v>2</v>
      </c>
      <c r="AD56" t="n">
        <v>3</v>
      </c>
      <c r="AE56" t="n">
        <v>3</v>
      </c>
      <c r="AF56" t="n">
        <v>0</v>
      </c>
      <c r="AG56" t="n">
        <v>0</v>
      </c>
      <c r="AH56" t="n">
        <v>1</v>
      </c>
      <c r="AI56" t="n">
        <v>1</v>
      </c>
      <c r="AJ56" t="n">
        <v>1</v>
      </c>
      <c r="AK56" t="n">
        <v>1</v>
      </c>
      <c r="AL56" t="n">
        <v>1</v>
      </c>
      <c r="AM56" t="n">
        <v>1</v>
      </c>
      <c r="AN56" t="n">
        <v>0</v>
      </c>
      <c r="AO56" t="n">
        <v>0</v>
      </c>
      <c r="AP56" t="inlineStr">
        <is>
          <t>No</t>
        </is>
      </c>
      <c r="AQ56" t="inlineStr">
        <is>
          <t>No</t>
        </is>
      </c>
      <c r="AS56">
        <f>HYPERLINK("https://creighton-primo.hosted.exlibrisgroup.com/primo-explore/search?tab=default_tab&amp;search_scope=EVERYTHING&amp;vid=01CRU&amp;lang=en_US&amp;offset=0&amp;query=any,contains,991000829399702656","Catalog Record")</f>
        <v/>
      </c>
      <c r="AT56">
        <f>HYPERLINK("http://www.worldcat.org/oclc/16276063","WorldCat Record")</f>
        <v/>
      </c>
      <c r="AU56" t="inlineStr">
        <is>
          <t>366756138:eng</t>
        </is>
      </c>
      <c r="AV56" t="inlineStr">
        <is>
          <t>16276063</t>
        </is>
      </c>
      <c r="AW56" t="inlineStr">
        <is>
          <t>991000829399702656</t>
        </is>
      </c>
      <c r="AX56" t="inlineStr">
        <is>
          <t>991000829399702656</t>
        </is>
      </c>
      <c r="AY56" t="inlineStr">
        <is>
          <t>2259458800002656</t>
        </is>
      </c>
      <c r="AZ56" t="inlineStr">
        <is>
          <t>BOOK</t>
        </is>
      </c>
      <c r="BB56" t="inlineStr">
        <is>
          <t>9780892324927</t>
        </is>
      </c>
      <c r="BC56" t="inlineStr">
        <is>
          <t>32285001586469</t>
        </is>
      </c>
      <c r="BD56" t="inlineStr">
        <is>
          <t>893333818</t>
        </is>
      </c>
    </row>
    <row r="57">
      <c r="A57" t="inlineStr">
        <is>
          <t>No</t>
        </is>
      </c>
      <c r="B57" t="inlineStr">
        <is>
          <t>RA395.A3 R86</t>
        </is>
      </c>
      <c r="C57" t="inlineStr">
        <is>
          <t>0                      RA 0395000A  3                  R  86</t>
        </is>
      </c>
      <c r="D57" t="inlineStr">
        <is>
          <t>Humanizing health care : alternative futures for medicine / Robert F. Rushmer.</t>
        </is>
      </c>
      <c r="F57" t="inlineStr">
        <is>
          <t>No</t>
        </is>
      </c>
      <c r="G57" t="inlineStr">
        <is>
          <t>1</t>
        </is>
      </c>
      <c r="H57" t="inlineStr">
        <is>
          <t>Yes</t>
        </is>
      </c>
      <c r="I57" t="inlineStr">
        <is>
          <t>No</t>
        </is>
      </c>
      <c r="J57" t="inlineStr">
        <is>
          <t>0</t>
        </is>
      </c>
      <c r="K57" t="inlineStr">
        <is>
          <t>Rushmer, Robert F. (Robert Frazer), 1914-2001.</t>
        </is>
      </c>
      <c r="L57" t="inlineStr">
        <is>
          <t>Cambridge, Mass. : MIT Press, [1975]</t>
        </is>
      </c>
      <c r="M57" t="inlineStr">
        <is>
          <t>1975</t>
        </is>
      </c>
      <c r="N57" t="inlineStr">
        <is>
          <t>[1st ed.]</t>
        </is>
      </c>
      <c r="O57" t="inlineStr">
        <is>
          <t>eng</t>
        </is>
      </c>
      <c r="P57" t="inlineStr">
        <is>
          <t>mau</t>
        </is>
      </c>
      <c r="R57" t="inlineStr">
        <is>
          <t xml:space="preserve">RA </t>
        </is>
      </c>
      <c r="S57" t="n">
        <v>11</v>
      </c>
      <c r="T57" t="n">
        <v>12</v>
      </c>
      <c r="U57" t="inlineStr">
        <is>
          <t>2000-03-23</t>
        </is>
      </c>
      <c r="V57" t="inlineStr">
        <is>
          <t>2000-03-23</t>
        </is>
      </c>
      <c r="W57" t="inlineStr">
        <is>
          <t>1992-04-02</t>
        </is>
      </c>
      <c r="X57" t="inlineStr">
        <is>
          <t>1992-04-02</t>
        </is>
      </c>
      <c r="Y57" t="n">
        <v>423</v>
      </c>
      <c r="Z57" t="n">
        <v>366</v>
      </c>
      <c r="AA57" t="n">
        <v>386</v>
      </c>
      <c r="AB57" t="n">
        <v>5</v>
      </c>
      <c r="AC57" t="n">
        <v>5</v>
      </c>
      <c r="AD57" t="n">
        <v>13</v>
      </c>
      <c r="AE57" t="n">
        <v>14</v>
      </c>
      <c r="AF57" t="n">
        <v>2</v>
      </c>
      <c r="AG57" t="n">
        <v>2</v>
      </c>
      <c r="AH57" t="n">
        <v>4</v>
      </c>
      <c r="AI57" t="n">
        <v>4</v>
      </c>
      <c r="AJ57" t="n">
        <v>7</v>
      </c>
      <c r="AK57" t="n">
        <v>8</v>
      </c>
      <c r="AL57" t="n">
        <v>3</v>
      </c>
      <c r="AM57" t="n">
        <v>3</v>
      </c>
      <c r="AN57" t="n">
        <v>1</v>
      </c>
      <c r="AO57" t="n">
        <v>1</v>
      </c>
      <c r="AP57" t="inlineStr">
        <is>
          <t>No</t>
        </is>
      </c>
      <c r="AQ57" t="inlineStr">
        <is>
          <t>Yes</t>
        </is>
      </c>
      <c r="AR57">
        <f>HYPERLINK("http://catalog.hathitrust.org/Record/000042737","HathiTrust Record")</f>
        <v/>
      </c>
      <c r="AS57">
        <f>HYPERLINK("https://creighton-primo.hosted.exlibrisgroup.com/primo-explore/search?tab=default_tab&amp;search_scope=EVERYTHING&amp;vid=01CRU&amp;lang=en_US&amp;offset=0&amp;query=any,contains,991001753079702656","Catalog Record")</f>
        <v/>
      </c>
      <c r="AT57">
        <f>HYPERLINK("http://www.worldcat.org/oclc/1177679","WorldCat Record")</f>
        <v/>
      </c>
      <c r="AU57" t="inlineStr">
        <is>
          <t>1089543641:eng</t>
        </is>
      </c>
      <c r="AV57" t="inlineStr">
        <is>
          <t>1177679</t>
        </is>
      </c>
      <c r="AW57" t="inlineStr">
        <is>
          <t>991001753079702656</t>
        </is>
      </c>
      <c r="AX57" t="inlineStr">
        <is>
          <t>991001753079702656</t>
        </is>
      </c>
      <c r="AY57" t="inlineStr">
        <is>
          <t>2264584150002656</t>
        </is>
      </c>
      <c r="AZ57" t="inlineStr">
        <is>
          <t>BOOK</t>
        </is>
      </c>
      <c r="BB57" t="inlineStr">
        <is>
          <t>9780262180757</t>
        </is>
      </c>
      <c r="BC57" t="inlineStr">
        <is>
          <t>32285001050938</t>
        </is>
      </c>
      <c r="BD57" t="inlineStr">
        <is>
          <t>893684614</t>
        </is>
      </c>
    </row>
    <row r="58">
      <c r="A58" t="inlineStr">
        <is>
          <t>No</t>
        </is>
      </c>
      <c r="B58" t="inlineStr">
        <is>
          <t>RA395.A3 R88</t>
        </is>
      </c>
      <c r="C58" t="inlineStr">
        <is>
          <t>0                      RA 0395000A  3                  R  88</t>
        </is>
      </c>
      <c r="D58" t="inlineStr">
        <is>
          <t>National priorities for health : past, present, and projected / Robert F. Rushmer.</t>
        </is>
      </c>
      <c r="F58" t="inlineStr">
        <is>
          <t>No</t>
        </is>
      </c>
      <c r="G58" t="inlineStr">
        <is>
          <t>1</t>
        </is>
      </c>
      <c r="H58" t="inlineStr">
        <is>
          <t>No</t>
        </is>
      </c>
      <c r="I58" t="inlineStr">
        <is>
          <t>No</t>
        </is>
      </c>
      <c r="J58" t="inlineStr">
        <is>
          <t>0</t>
        </is>
      </c>
      <c r="K58" t="inlineStr">
        <is>
          <t>Rushmer, Robert F. (Robert Frazer), 1914-2001.</t>
        </is>
      </c>
      <c r="L58" t="inlineStr">
        <is>
          <t>New York : Wiley, c1980.</t>
        </is>
      </c>
      <c r="M58" t="inlineStr">
        <is>
          <t>1980</t>
        </is>
      </c>
      <c r="O58" t="inlineStr">
        <is>
          <t>eng</t>
        </is>
      </c>
      <c r="P58" t="inlineStr">
        <is>
          <t>nyu</t>
        </is>
      </c>
      <c r="Q58" t="inlineStr">
        <is>
          <t>Wiley series in health services</t>
        </is>
      </c>
      <c r="R58" t="inlineStr">
        <is>
          <t xml:space="preserve">RA </t>
        </is>
      </c>
      <c r="S58" t="n">
        <v>5</v>
      </c>
      <c r="T58" t="n">
        <v>5</v>
      </c>
      <c r="U58" t="inlineStr">
        <is>
          <t>2009-05-05</t>
        </is>
      </c>
      <c r="V58" t="inlineStr">
        <is>
          <t>2009-05-05</t>
        </is>
      </c>
      <c r="W58" t="inlineStr">
        <is>
          <t>1990-03-13</t>
        </is>
      </c>
      <c r="X58" t="inlineStr">
        <is>
          <t>1990-03-13</t>
        </is>
      </c>
      <c r="Y58" t="n">
        <v>250</v>
      </c>
      <c r="Z58" t="n">
        <v>212</v>
      </c>
      <c r="AA58" t="n">
        <v>219</v>
      </c>
      <c r="AB58" t="n">
        <v>1</v>
      </c>
      <c r="AC58" t="n">
        <v>1</v>
      </c>
      <c r="AD58" t="n">
        <v>3</v>
      </c>
      <c r="AE58" t="n">
        <v>3</v>
      </c>
      <c r="AF58" t="n">
        <v>0</v>
      </c>
      <c r="AG58" t="n">
        <v>0</v>
      </c>
      <c r="AH58" t="n">
        <v>1</v>
      </c>
      <c r="AI58" t="n">
        <v>1</v>
      </c>
      <c r="AJ58" t="n">
        <v>3</v>
      </c>
      <c r="AK58" t="n">
        <v>3</v>
      </c>
      <c r="AL58" t="n">
        <v>0</v>
      </c>
      <c r="AM58" t="n">
        <v>0</v>
      </c>
      <c r="AN58" t="n">
        <v>0</v>
      </c>
      <c r="AO58" t="n">
        <v>0</v>
      </c>
      <c r="AP58" t="inlineStr">
        <is>
          <t>No</t>
        </is>
      </c>
      <c r="AQ58" t="inlineStr">
        <is>
          <t>Yes</t>
        </is>
      </c>
      <c r="AR58">
        <f>HYPERLINK("http://catalog.hathitrust.org/Record/000029338","HathiTrust Record")</f>
        <v/>
      </c>
      <c r="AS58">
        <f>HYPERLINK("https://creighton-primo.hosted.exlibrisgroup.com/primo-explore/search?tab=default_tab&amp;search_scope=EVERYTHING&amp;vid=01CRU&amp;lang=en_US&amp;offset=0&amp;query=any,contains,991004877369702656","Catalog Record")</f>
        <v/>
      </c>
      <c r="AT58">
        <f>HYPERLINK("http://www.worldcat.org/oclc/5798737","WorldCat Record")</f>
        <v/>
      </c>
      <c r="AU58" t="inlineStr">
        <is>
          <t>20356319:eng</t>
        </is>
      </c>
      <c r="AV58" t="inlineStr">
        <is>
          <t>5798737</t>
        </is>
      </c>
      <c r="AW58" t="inlineStr">
        <is>
          <t>991004877369702656</t>
        </is>
      </c>
      <c r="AX58" t="inlineStr">
        <is>
          <t>991004877369702656</t>
        </is>
      </c>
      <c r="AY58" t="inlineStr">
        <is>
          <t>2267528940002656</t>
        </is>
      </c>
      <c r="AZ58" t="inlineStr">
        <is>
          <t>BOOK</t>
        </is>
      </c>
      <c r="BB58" t="inlineStr">
        <is>
          <t>9780471064725</t>
        </is>
      </c>
      <c r="BC58" t="inlineStr">
        <is>
          <t>32285000085521</t>
        </is>
      </c>
      <c r="BD58" t="inlineStr">
        <is>
          <t>893241936</t>
        </is>
      </c>
    </row>
    <row r="59">
      <c r="A59" t="inlineStr">
        <is>
          <t>No</t>
        </is>
      </c>
      <c r="B59" t="inlineStr">
        <is>
          <t>RA395.A3 S66 1992</t>
        </is>
      </c>
      <c r="C59" t="inlineStr">
        <is>
          <t>0                      RA 0395000A  3                  S  66          1992</t>
        </is>
      </c>
      <c r="D59" t="inlineStr">
        <is>
          <t>Paying for medicare : the politics of reform / David G. Smith.</t>
        </is>
      </c>
      <c r="F59" t="inlineStr">
        <is>
          <t>No</t>
        </is>
      </c>
      <c r="G59" t="inlineStr">
        <is>
          <t>1</t>
        </is>
      </c>
      <c r="H59" t="inlineStr">
        <is>
          <t>No</t>
        </is>
      </c>
      <c r="I59" t="inlineStr">
        <is>
          <t>No</t>
        </is>
      </c>
      <c r="J59" t="inlineStr">
        <is>
          <t>0</t>
        </is>
      </c>
      <c r="K59" t="inlineStr">
        <is>
          <t>Smith, David G., 1926-</t>
        </is>
      </c>
      <c r="L59" t="inlineStr">
        <is>
          <t>New York : A. de Gruyter, c1992.</t>
        </is>
      </c>
      <c r="M59" t="inlineStr">
        <is>
          <t>1992</t>
        </is>
      </c>
      <c r="O59" t="inlineStr">
        <is>
          <t>eng</t>
        </is>
      </c>
      <c r="P59" t="inlineStr">
        <is>
          <t>nyu</t>
        </is>
      </c>
      <c r="Q59" t="inlineStr">
        <is>
          <t>Social institutions and social change</t>
        </is>
      </c>
      <c r="R59" t="inlineStr">
        <is>
          <t xml:space="preserve">RA </t>
        </is>
      </c>
      <c r="S59" t="n">
        <v>19</v>
      </c>
      <c r="T59" t="n">
        <v>19</v>
      </c>
      <c r="U59" t="inlineStr">
        <is>
          <t>2002-04-06</t>
        </is>
      </c>
      <c r="V59" t="inlineStr">
        <is>
          <t>2002-04-06</t>
        </is>
      </c>
      <c r="W59" t="inlineStr">
        <is>
          <t>1992-06-10</t>
        </is>
      </c>
      <c r="X59" t="inlineStr">
        <is>
          <t>1992-06-10</t>
        </is>
      </c>
      <c r="Y59" t="n">
        <v>375</v>
      </c>
      <c r="Z59" t="n">
        <v>333</v>
      </c>
      <c r="AA59" t="n">
        <v>355</v>
      </c>
      <c r="AB59" t="n">
        <v>3</v>
      </c>
      <c r="AC59" t="n">
        <v>3</v>
      </c>
      <c r="AD59" t="n">
        <v>12</v>
      </c>
      <c r="AE59" t="n">
        <v>12</v>
      </c>
      <c r="AF59" t="n">
        <v>4</v>
      </c>
      <c r="AG59" t="n">
        <v>4</v>
      </c>
      <c r="AH59" t="n">
        <v>5</v>
      </c>
      <c r="AI59" t="n">
        <v>5</v>
      </c>
      <c r="AJ59" t="n">
        <v>5</v>
      </c>
      <c r="AK59" t="n">
        <v>5</v>
      </c>
      <c r="AL59" t="n">
        <v>2</v>
      </c>
      <c r="AM59" t="n">
        <v>2</v>
      </c>
      <c r="AN59" t="n">
        <v>0</v>
      </c>
      <c r="AO59" t="n">
        <v>0</v>
      </c>
      <c r="AP59" t="inlineStr">
        <is>
          <t>No</t>
        </is>
      </c>
      <c r="AQ59" t="inlineStr">
        <is>
          <t>No</t>
        </is>
      </c>
      <c r="AS59">
        <f>HYPERLINK("https://creighton-primo.hosted.exlibrisgroup.com/primo-explore/search?tab=default_tab&amp;search_scope=EVERYTHING&amp;vid=01CRU&amp;lang=en_US&amp;offset=0&amp;query=any,contains,991001931219702656","Catalog Record")</f>
        <v/>
      </c>
      <c r="AT59">
        <f>HYPERLINK("http://www.worldcat.org/oclc/24378262","WorldCat Record")</f>
        <v/>
      </c>
      <c r="AU59" t="inlineStr">
        <is>
          <t>368497579:eng</t>
        </is>
      </c>
      <c r="AV59" t="inlineStr">
        <is>
          <t>24378262</t>
        </is>
      </c>
      <c r="AW59" t="inlineStr">
        <is>
          <t>991001931219702656</t>
        </is>
      </c>
      <c r="AX59" t="inlineStr">
        <is>
          <t>991001931219702656</t>
        </is>
      </c>
      <c r="AY59" t="inlineStr">
        <is>
          <t>2266379480002656</t>
        </is>
      </c>
      <c r="AZ59" t="inlineStr">
        <is>
          <t>BOOK</t>
        </is>
      </c>
      <c r="BB59" t="inlineStr">
        <is>
          <t>9780202303932</t>
        </is>
      </c>
      <c r="BC59" t="inlineStr">
        <is>
          <t>32285001127355</t>
        </is>
      </c>
      <c r="BD59" t="inlineStr">
        <is>
          <t>893503826</t>
        </is>
      </c>
    </row>
    <row r="60">
      <c r="A60" t="inlineStr">
        <is>
          <t>No</t>
        </is>
      </c>
      <c r="B60" t="inlineStr">
        <is>
          <t>RA395.A3 S75</t>
        </is>
      </c>
      <c r="C60" t="inlineStr">
        <is>
          <t>0                      RA 0395000A  3                  S  75</t>
        </is>
      </c>
      <c r="D60" t="inlineStr">
        <is>
          <t>Health and health care : policies in perspective / Anne R. Somers, Herman M. Somers.</t>
        </is>
      </c>
      <c r="F60" t="inlineStr">
        <is>
          <t>No</t>
        </is>
      </c>
      <c r="G60" t="inlineStr">
        <is>
          <t>1</t>
        </is>
      </c>
      <c r="H60" t="inlineStr">
        <is>
          <t>Yes</t>
        </is>
      </c>
      <c r="I60" t="inlineStr">
        <is>
          <t>No</t>
        </is>
      </c>
      <c r="J60" t="inlineStr">
        <is>
          <t>0</t>
        </is>
      </c>
      <c r="K60" t="inlineStr">
        <is>
          <t>Somers, Anne Ramsay.</t>
        </is>
      </c>
      <c r="L60" t="inlineStr">
        <is>
          <t>Germantown, Md. : Aspen Systems Corp., 1977.</t>
        </is>
      </c>
      <c r="M60" t="inlineStr">
        <is>
          <t>1977</t>
        </is>
      </c>
      <c r="O60" t="inlineStr">
        <is>
          <t>eng</t>
        </is>
      </c>
      <c r="P60" t="inlineStr">
        <is>
          <t>mdu</t>
        </is>
      </c>
      <c r="R60" t="inlineStr">
        <is>
          <t xml:space="preserve">RA </t>
        </is>
      </c>
      <c r="S60" t="n">
        <v>0</v>
      </c>
      <c r="T60" t="n">
        <v>4</v>
      </c>
      <c r="V60" t="inlineStr">
        <is>
          <t>1992-12-04</t>
        </is>
      </c>
      <c r="W60" t="inlineStr">
        <is>
          <t>1997-08-08</t>
        </is>
      </c>
      <c r="X60" t="inlineStr">
        <is>
          <t>1997-08-08</t>
        </is>
      </c>
      <c r="Y60" t="n">
        <v>377</v>
      </c>
      <c r="Z60" t="n">
        <v>343</v>
      </c>
      <c r="AA60" t="n">
        <v>351</v>
      </c>
      <c r="AB60" t="n">
        <v>4</v>
      </c>
      <c r="AC60" t="n">
        <v>4</v>
      </c>
      <c r="AD60" t="n">
        <v>13</v>
      </c>
      <c r="AE60" t="n">
        <v>13</v>
      </c>
      <c r="AF60" t="n">
        <v>3</v>
      </c>
      <c r="AG60" t="n">
        <v>3</v>
      </c>
      <c r="AH60" t="n">
        <v>4</v>
      </c>
      <c r="AI60" t="n">
        <v>4</v>
      </c>
      <c r="AJ60" t="n">
        <v>7</v>
      </c>
      <c r="AK60" t="n">
        <v>7</v>
      </c>
      <c r="AL60" t="n">
        <v>2</v>
      </c>
      <c r="AM60" t="n">
        <v>2</v>
      </c>
      <c r="AN60" t="n">
        <v>1</v>
      </c>
      <c r="AO60" t="n">
        <v>1</v>
      </c>
      <c r="AP60" t="inlineStr">
        <is>
          <t>No</t>
        </is>
      </c>
      <c r="AQ60" t="inlineStr">
        <is>
          <t>Yes</t>
        </is>
      </c>
      <c r="AR60">
        <f>HYPERLINK("http://catalog.hathitrust.org/Record/000293596","HathiTrust Record")</f>
        <v/>
      </c>
      <c r="AS60">
        <f>HYPERLINK("https://creighton-primo.hosted.exlibrisgroup.com/primo-explore/search?tab=default_tab&amp;search_scope=EVERYTHING&amp;vid=01CRU&amp;lang=en_US&amp;offset=0&amp;query=any,contains,991001752969702656","Catalog Record")</f>
        <v/>
      </c>
      <c r="AT60">
        <f>HYPERLINK("http://www.worldcat.org/oclc/3168384","WorldCat Record")</f>
        <v/>
      </c>
      <c r="AU60" t="inlineStr">
        <is>
          <t>8145625:eng</t>
        </is>
      </c>
      <c r="AV60" t="inlineStr">
        <is>
          <t>3168384</t>
        </is>
      </c>
      <c r="AW60" t="inlineStr">
        <is>
          <t>991001752969702656</t>
        </is>
      </c>
      <c r="AX60" t="inlineStr">
        <is>
          <t>991001752969702656</t>
        </is>
      </c>
      <c r="AY60" t="inlineStr">
        <is>
          <t>2263010710002656</t>
        </is>
      </c>
      <c r="AZ60" t="inlineStr">
        <is>
          <t>BOOK</t>
        </is>
      </c>
      <c r="BB60" t="inlineStr">
        <is>
          <t>9780912862453</t>
        </is>
      </c>
      <c r="BC60" t="inlineStr">
        <is>
          <t>32285003083291</t>
        </is>
      </c>
      <c r="BD60" t="inlineStr">
        <is>
          <t>893414447</t>
        </is>
      </c>
    </row>
    <row r="61">
      <c r="A61" t="inlineStr">
        <is>
          <t>No</t>
        </is>
      </c>
      <c r="B61" t="inlineStr">
        <is>
          <t>RA395.A55 T7 1980</t>
        </is>
      </c>
      <c r="C61" t="inlineStr">
        <is>
          <t>0                      RA 0395000A  55                 T  7           1980</t>
        </is>
      </c>
      <c r="D61" t="inlineStr">
        <is>
          <t>Traditional health care delivery in contemporary Africa / edited by Priscilla R. Ulin and Marshall H. Segall ; contributors, Charles M. Good ... [et al.].</t>
        </is>
      </c>
      <c r="F61" t="inlineStr">
        <is>
          <t>No</t>
        </is>
      </c>
      <c r="G61" t="inlineStr">
        <is>
          <t>1</t>
        </is>
      </c>
      <c r="H61" t="inlineStr">
        <is>
          <t>No</t>
        </is>
      </c>
      <c r="I61" t="inlineStr">
        <is>
          <t>No</t>
        </is>
      </c>
      <c r="J61" t="inlineStr">
        <is>
          <t>0</t>
        </is>
      </c>
      <c r="L61" t="inlineStr">
        <is>
          <t>Syracuse, N.Y. : Maxwell School of Citizenship and Public Affairs, Syracuse University, 1980.</t>
        </is>
      </c>
      <c r="M61" t="inlineStr">
        <is>
          <t>1980</t>
        </is>
      </c>
      <c r="O61" t="inlineStr">
        <is>
          <t>eng</t>
        </is>
      </c>
      <c r="P61" t="inlineStr">
        <is>
          <t>nyu</t>
        </is>
      </c>
      <c r="Q61" t="inlineStr">
        <is>
          <t>Foreign and comparative studies. African series ; 35</t>
        </is>
      </c>
      <c r="R61" t="inlineStr">
        <is>
          <t xml:space="preserve">RA </t>
        </is>
      </c>
      <c r="S61" t="n">
        <v>9</v>
      </c>
      <c r="T61" t="n">
        <v>9</v>
      </c>
      <c r="U61" t="inlineStr">
        <is>
          <t>2009-10-26</t>
        </is>
      </c>
      <c r="V61" t="inlineStr">
        <is>
          <t>2009-10-26</t>
        </is>
      </c>
      <c r="W61" t="inlineStr">
        <is>
          <t>1992-04-03</t>
        </is>
      </c>
      <c r="X61" t="inlineStr">
        <is>
          <t>1992-04-03</t>
        </is>
      </c>
      <c r="Y61" t="n">
        <v>128</v>
      </c>
      <c r="Z61" t="n">
        <v>106</v>
      </c>
      <c r="AA61" t="n">
        <v>111</v>
      </c>
      <c r="AB61" t="n">
        <v>1</v>
      </c>
      <c r="AC61" t="n">
        <v>1</v>
      </c>
      <c r="AD61" t="n">
        <v>2</v>
      </c>
      <c r="AE61" t="n">
        <v>2</v>
      </c>
      <c r="AF61" t="n">
        <v>0</v>
      </c>
      <c r="AG61" t="n">
        <v>0</v>
      </c>
      <c r="AH61" t="n">
        <v>2</v>
      </c>
      <c r="AI61" t="n">
        <v>2</v>
      </c>
      <c r="AJ61" t="n">
        <v>1</v>
      </c>
      <c r="AK61" t="n">
        <v>1</v>
      </c>
      <c r="AL61" t="n">
        <v>0</v>
      </c>
      <c r="AM61" t="n">
        <v>0</v>
      </c>
      <c r="AN61" t="n">
        <v>0</v>
      </c>
      <c r="AO61" t="n">
        <v>0</v>
      </c>
      <c r="AP61" t="inlineStr">
        <is>
          <t>No</t>
        </is>
      </c>
      <c r="AQ61" t="inlineStr">
        <is>
          <t>No</t>
        </is>
      </c>
      <c r="AS61">
        <f>HYPERLINK("https://creighton-primo.hosted.exlibrisgroup.com/primo-explore/search?tab=default_tab&amp;search_scope=EVERYTHING&amp;vid=01CRU&amp;lang=en_US&amp;offset=0&amp;query=any,contains,991005077899702656","Catalog Record")</f>
        <v/>
      </c>
      <c r="AT61">
        <f>HYPERLINK("http://www.worldcat.org/oclc/7152204","WorldCat Record")</f>
        <v/>
      </c>
      <c r="AU61" t="inlineStr">
        <is>
          <t>426778364:eng</t>
        </is>
      </c>
      <c r="AV61" t="inlineStr">
        <is>
          <t>7152204</t>
        </is>
      </c>
      <c r="AW61" t="inlineStr">
        <is>
          <t>991005077899702656</t>
        </is>
      </c>
      <c r="AX61" t="inlineStr">
        <is>
          <t>991005077899702656</t>
        </is>
      </c>
      <c r="AY61" t="inlineStr">
        <is>
          <t>2267389060002656</t>
        </is>
      </c>
      <c r="AZ61" t="inlineStr">
        <is>
          <t>BOOK</t>
        </is>
      </c>
      <c r="BB61" t="inlineStr">
        <is>
          <t>9780915984572</t>
        </is>
      </c>
      <c r="BC61" t="inlineStr">
        <is>
          <t>32285001033215</t>
        </is>
      </c>
      <c r="BD61" t="inlineStr">
        <is>
          <t>893776790</t>
        </is>
      </c>
    </row>
    <row r="62">
      <c r="A62" t="inlineStr">
        <is>
          <t>No</t>
        </is>
      </c>
      <c r="B62" t="inlineStr">
        <is>
          <t>RA395.A7 R38</t>
        </is>
      </c>
      <c r="C62" t="inlineStr">
        <is>
          <t>0                      RA 0395000A  7                  R  38</t>
        </is>
      </c>
      <c r="D62" t="inlineStr">
        <is>
          <t>Health and policymaking in the Arab Middle East / M. Susan Ueber Raymond.</t>
        </is>
      </c>
      <c r="F62" t="inlineStr">
        <is>
          <t>No</t>
        </is>
      </c>
      <c r="G62" t="inlineStr">
        <is>
          <t>1</t>
        </is>
      </c>
      <c r="H62" t="inlineStr">
        <is>
          <t>No</t>
        </is>
      </c>
      <c r="I62" t="inlineStr">
        <is>
          <t>No</t>
        </is>
      </c>
      <c r="J62" t="inlineStr">
        <is>
          <t>0</t>
        </is>
      </c>
      <c r="K62" t="inlineStr">
        <is>
          <t>Raymond, M. Susan Ueber, 1949-</t>
        </is>
      </c>
      <c r="L62" t="inlineStr">
        <is>
          <t>Washington : Center for Contemporary Arab Studies, Georgetown University, 1978.</t>
        </is>
      </c>
      <c r="M62" t="inlineStr">
        <is>
          <t>1978</t>
        </is>
      </c>
      <c r="O62" t="inlineStr">
        <is>
          <t>eng</t>
        </is>
      </c>
      <c r="P62" t="inlineStr">
        <is>
          <t>dcu</t>
        </is>
      </c>
      <c r="Q62" t="inlineStr">
        <is>
          <t>CCAS studies in Arab development</t>
        </is>
      </c>
      <c r="R62" t="inlineStr">
        <is>
          <t xml:space="preserve">RA </t>
        </is>
      </c>
      <c r="S62" t="n">
        <v>4</v>
      </c>
      <c r="T62" t="n">
        <v>4</v>
      </c>
      <c r="U62" t="inlineStr">
        <is>
          <t>1994-04-20</t>
        </is>
      </c>
      <c r="V62" t="inlineStr">
        <is>
          <t>1994-04-20</t>
        </is>
      </c>
      <c r="W62" t="inlineStr">
        <is>
          <t>1993-03-09</t>
        </is>
      </c>
      <c r="X62" t="inlineStr">
        <is>
          <t>1993-03-09</t>
        </is>
      </c>
      <c r="Y62" t="n">
        <v>65</v>
      </c>
      <c r="Z62" t="n">
        <v>51</v>
      </c>
      <c r="AA62" t="n">
        <v>52</v>
      </c>
      <c r="AB62" t="n">
        <v>1</v>
      </c>
      <c r="AC62" t="n">
        <v>1</v>
      </c>
      <c r="AD62" t="n">
        <v>2</v>
      </c>
      <c r="AE62" t="n">
        <v>2</v>
      </c>
      <c r="AF62" t="n">
        <v>0</v>
      </c>
      <c r="AG62" t="n">
        <v>0</v>
      </c>
      <c r="AH62" t="n">
        <v>2</v>
      </c>
      <c r="AI62" t="n">
        <v>2</v>
      </c>
      <c r="AJ62" t="n">
        <v>1</v>
      </c>
      <c r="AK62" t="n">
        <v>1</v>
      </c>
      <c r="AL62" t="n">
        <v>0</v>
      </c>
      <c r="AM62" t="n">
        <v>0</v>
      </c>
      <c r="AN62" t="n">
        <v>0</v>
      </c>
      <c r="AO62" t="n">
        <v>0</v>
      </c>
      <c r="AP62" t="inlineStr">
        <is>
          <t>No</t>
        </is>
      </c>
      <c r="AQ62" t="inlineStr">
        <is>
          <t>Yes</t>
        </is>
      </c>
      <c r="AR62">
        <f>HYPERLINK("http://catalog.hathitrust.org/Record/000255371","HathiTrust Record")</f>
        <v/>
      </c>
      <c r="AS62">
        <f>HYPERLINK("https://creighton-primo.hosted.exlibrisgroup.com/primo-explore/search?tab=default_tab&amp;search_scope=EVERYTHING&amp;vid=01CRU&amp;lang=en_US&amp;offset=0&amp;query=any,contains,991004645259702656","Catalog Record")</f>
        <v/>
      </c>
      <c r="AT62">
        <f>HYPERLINK("http://www.worldcat.org/oclc/4491104","WorldCat Record")</f>
        <v/>
      </c>
      <c r="AU62" t="inlineStr">
        <is>
          <t>14756561:eng</t>
        </is>
      </c>
      <c r="AV62" t="inlineStr">
        <is>
          <t>4491104</t>
        </is>
      </c>
      <c r="AW62" t="inlineStr">
        <is>
          <t>991004645259702656</t>
        </is>
      </c>
      <c r="AX62" t="inlineStr">
        <is>
          <t>991004645259702656</t>
        </is>
      </c>
      <c r="AY62" t="inlineStr">
        <is>
          <t>2264037730002656</t>
        </is>
      </c>
      <c r="AZ62" t="inlineStr">
        <is>
          <t>BOOK</t>
        </is>
      </c>
      <c r="BC62" t="inlineStr">
        <is>
          <t>32285001586485</t>
        </is>
      </c>
      <c r="BD62" t="inlineStr">
        <is>
          <t>893442891</t>
        </is>
      </c>
    </row>
    <row r="63">
      <c r="A63" t="inlineStr">
        <is>
          <t>No</t>
        </is>
      </c>
      <c r="B63" t="inlineStr">
        <is>
          <t>RA395.C53 S35 1988</t>
        </is>
      </c>
      <c r="C63" t="inlineStr">
        <is>
          <t>0                      RA 0395000C  53                 S  35          1988</t>
        </is>
      </c>
      <c r="D63" t="inlineStr">
        <is>
          <t>Science and medicine in twentieth-century China : research and education / edited by John Z. Bowers, J. William Hess, Nathan Sivin.</t>
        </is>
      </c>
      <c r="F63" t="inlineStr">
        <is>
          <t>No</t>
        </is>
      </c>
      <c r="G63" t="inlineStr">
        <is>
          <t>1</t>
        </is>
      </c>
      <c r="H63" t="inlineStr">
        <is>
          <t>No</t>
        </is>
      </c>
      <c r="I63" t="inlineStr">
        <is>
          <t>No</t>
        </is>
      </c>
      <c r="J63" t="inlineStr">
        <is>
          <t>0</t>
        </is>
      </c>
      <c r="L63" t="inlineStr">
        <is>
          <t>Ann Arbor : Center for Chinese Studies, the University of Michigan, 1988.</t>
        </is>
      </c>
      <c r="M63" t="inlineStr">
        <is>
          <t>1988</t>
        </is>
      </c>
      <c r="O63" t="inlineStr">
        <is>
          <t>eng</t>
        </is>
      </c>
      <c r="P63" t="inlineStr">
        <is>
          <t>miu</t>
        </is>
      </c>
      <c r="Q63" t="inlineStr">
        <is>
          <t>Science, medicine, and technology in East Asia ; v. 3</t>
        </is>
      </c>
      <c r="R63" t="inlineStr">
        <is>
          <t xml:space="preserve">RA </t>
        </is>
      </c>
      <c r="S63" t="n">
        <v>2</v>
      </c>
      <c r="T63" t="n">
        <v>2</v>
      </c>
      <c r="U63" t="inlineStr">
        <is>
          <t>1998-03-28</t>
        </is>
      </c>
      <c r="V63" t="inlineStr">
        <is>
          <t>1998-03-28</t>
        </is>
      </c>
      <c r="W63" t="inlineStr">
        <is>
          <t>1995-01-10</t>
        </is>
      </c>
      <c r="X63" t="inlineStr">
        <is>
          <t>1995-01-10</t>
        </is>
      </c>
      <c r="Y63" t="n">
        <v>174</v>
      </c>
      <c r="Z63" t="n">
        <v>134</v>
      </c>
      <c r="AA63" t="n">
        <v>136</v>
      </c>
      <c r="AB63" t="n">
        <v>1</v>
      </c>
      <c r="AC63" t="n">
        <v>1</v>
      </c>
      <c r="AD63" t="n">
        <v>3</v>
      </c>
      <c r="AE63" t="n">
        <v>3</v>
      </c>
      <c r="AF63" t="n">
        <v>1</v>
      </c>
      <c r="AG63" t="n">
        <v>1</v>
      </c>
      <c r="AH63" t="n">
        <v>1</v>
      </c>
      <c r="AI63" t="n">
        <v>1</v>
      </c>
      <c r="AJ63" t="n">
        <v>2</v>
      </c>
      <c r="AK63" t="n">
        <v>2</v>
      </c>
      <c r="AL63" t="n">
        <v>0</v>
      </c>
      <c r="AM63" t="n">
        <v>0</v>
      </c>
      <c r="AN63" t="n">
        <v>0</v>
      </c>
      <c r="AO63" t="n">
        <v>0</v>
      </c>
      <c r="AP63" t="inlineStr">
        <is>
          <t>No</t>
        </is>
      </c>
      <c r="AQ63" t="inlineStr">
        <is>
          <t>Yes</t>
        </is>
      </c>
      <c r="AR63">
        <f>HYPERLINK("http://catalog.hathitrust.org/Record/001825094","HathiTrust Record")</f>
        <v/>
      </c>
      <c r="AS63">
        <f>HYPERLINK("https://creighton-primo.hosted.exlibrisgroup.com/primo-explore/search?tab=default_tab&amp;search_scope=EVERYTHING&amp;vid=01CRU&amp;lang=en_US&amp;offset=0&amp;query=any,contains,991001419919702656","Catalog Record")</f>
        <v/>
      </c>
      <c r="AT63">
        <f>HYPERLINK("http://www.worldcat.org/oclc/18962716","WorldCat Record")</f>
        <v/>
      </c>
      <c r="AU63" t="inlineStr">
        <is>
          <t>427062162:eng</t>
        </is>
      </c>
      <c r="AV63" t="inlineStr">
        <is>
          <t>18962716</t>
        </is>
      </c>
      <c r="AW63" t="inlineStr">
        <is>
          <t>991001419919702656</t>
        </is>
      </c>
      <c r="AX63" t="inlineStr">
        <is>
          <t>991001419919702656</t>
        </is>
      </c>
      <c r="AY63" t="inlineStr">
        <is>
          <t>2263940150002656</t>
        </is>
      </c>
      <c r="AZ63" t="inlineStr">
        <is>
          <t>BOOK</t>
        </is>
      </c>
      <c r="BB63" t="inlineStr">
        <is>
          <t>9780892640775</t>
        </is>
      </c>
      <c r="BC63" t="inlineStr">
        <is>
          <t>32285001991917</t>
        </is>
      </c>
      <c r="BD63" t="inlineStr">
        <is>
          <t>893809065</t>
        </is>
      </c>
    </row>
    <row r="64">
      <c r="A64" t="inlineStr">
        <is>
          <t>No</t>
        </is>
      </c>
      <c r="B64" t="inlineStr">
        <is>
          <t>RA395.G6 E2</t>
        </is>
      </c>
      <c r="C64" t="inlineStr">
        <is>
          <t>0                      RA 0395000G  6                  E  2</t>
        </is>
      </c>
      <c r="D64" t="inlineStr">
        <is>
          <t>The English health service : it origins, structure, and achievements / foreword by James Howard Means.</t>
        </is>
      </c>
      <c r="F64" t="inlineStr">
        <is>
          <t>No</t>
        </is>
      </c>
      <c r="G64" t="inlineStr">
        <is>
          <t>1</t>
        </is>
      </c>
      <c r="H64" t="inlineStr">
        <is>
          <t>No</t>
        </is>
      </c>
      <c r="I64" t="inlineStr">
        <is>
          <t>No</t>
        </is>
      </c>
      <c r="J64" t="inlineStr">
        <is>
          <t>0</t>
        </is>
      </c>
      <c r="K64" t="inlineStr">
        <is>
          <t>Eckstein, Harry.</t>
        </is>
      </c>
      <c r="L64" t="inlineStr">
        <is>
          <t>Cambridge : Harvard University Press, 1958.</t>
        </is>
      </c>
      <c r="M64" t="inlineStr">
        <is>
          <t>1958</t>
        </is>
      </c>
      <c r="O64" t="inlineStr">
        <is>
          <t>eng</t>
        </is>
      </c>
      <c r="P64" t="inlineStr">
        <is>
          <t>mau</t>
        </is>
      </c>
      <c r="Q64" t="inlineStr">
        <is>
          <t>Harvard political studies</t>
        </is>
      </c>
      <c r="R64" t="inlineStr">
        <is>
          <t xml:space="preserve">RA </t>
        </is>
      </c>
      <c r="S64" t="n">
        <v>3</v>
      </c>
      <c r="T64" t="n">
        <v>3</v>
      </c>
      <c r="U64" t="inlineStr">
        <is>
          <t>1994-04-20</t>
        </is>
      </c>
      <c r="V64" t="inlineStr">
        <is>
          <t>1994-04-20</t>
        </is>
      </c>
      <c r="W64" t="inlineStr">
        <is>
          <t>1992-04-27</t>
        </is>
      </c>
      <c r="X64" t="inlineStr">
        <is>
          <t>1992-04-27</t>
        </is>
      </c>
      <c r="Y64" t="n">
        <v>436</v>
      </c>
      <c r="Z64" t="n">
        <v>336</v>
      </c>
      <c r="AA64" t="n">
        <v>361</v>
      </c>
      <c r="AB64" t="n">
        <v>3</v>
      </c>
      <c r="AC64" t="n">
        <v>3</v>
      </c>
      <c r="AD64" t="n">
        <v>11</v>
      </c>
      <c r="AE64" t="n">
        <v>13</v>
      </c>
      <c r="AF64" t="n">
        <v>1</v>
      </c>
      <c r="AG64" t="n">
        <v>3</v>
      </c>
      <c r="AH64" t="n">
        <v>3</v>
      </c>
      <c r="AI64" t="n">
        <v>3</v>
      </c>
      <c r="AJ64" t="n">
        <v>8</v>
      </c>
      <c r="AK64" t="n">
        <v>9</v>
      </c>
      <c r="AL64" t="n">
        <v>2</v>
      </c>
      <c r="AM64" t="n">
        <v>2</v>
      </c>
      <c r="AN64" t="n">
        <v>0</v>
      </c>
      <c r="AO64" t="n">
        <v>0</v>
      </c>
      <c r="AP64" t="inlineStr">
        <is>
          <t>No</t>
        </is>
      </c>
      <c r="AQ64" t="inlineStr">
        <is>
          <t>No</t>
        </is>
      </c>
      <c r="AS64">
        <f>HYPERLINK("https://creighton-primo.hosted.exlibrisgroup.com/primo-explore/search?tab=default_tab&amp;search_scope=EVERYTHING&amp;vid=01CRU&amp;lang=en_US&amp;offset=0&amp;query=any,contains,991002506609702656","Catalog Record")</f>
        <v/>
      </c>
      <c r="AT64">
        <f>HYPERLINK("http://www.worldcat.org/oclc/364696","WorldCat Record")</f>
        <v/>
      </c>
      <c r="AU64" t="inlineStr">
        <is>
          <t>2906251:eng</t>
        </is>
      </c>
      <c r="AV64" t="inlineStr">
        <is>
          <t>364696</t>
        </is>
      </c>
      <c r="AW64" t="inlineStr">
        <is>
          <t>991002506609702656</t>
        </is>
      </c>
      <c r="AX64" t="inlineStr">
        <is>
          <t>991002506609702656</t>
        </is>
      </c>
      <c r="AY64" t="inlineStr">
        <is>
          <t>2263046090002656</t>
        </is>
      </c>
      <c r="AZ64" t="inlineStr">
        <is>
          <t>BOOK</t>
        </is>
      </c>
      <c r="BC64" t="inlineStr">
        <is>
          <t>32285001087880</t>
        </is>
      </c>
      <c r="BD64" t="inlineStr">
        <is>
          <t>893262325</t>
        </is>
      </c>
    </row>
    <row r="65">
      <c r="A65" t="inlineStr">
        <is>
          <t>No</t>
        </is>
      </c>
      <c r="B65" t="inlineStr">
        <is>
          <t>RA395.G6 E54 1997</t>
        </is>
      </c>
      <c r="C65" t="inlineStr">
        <is>
          <t>0                      RA 0395000G  6                  E  54          1997</t>
        </is>
      </c>
      <c r="D65" t="inlineStr">
        <is>
          <t>Enhancing health services management : the role of decision support systems / edited by Steve Cropper and Paul Forte.</t>
        </is>
      </c>
      <c r="F65" t="inlineStr">
        <is>
          <t>No</t>
        </is>
      </c>
      <c r="G65" t="inlineStr">
        <is>
          <t>1</t>
        </is>
      </c>
      <c r="H65" t="inlineStr">
        <is>
          <t>No</t>
        </is>
      </c>
      <c r="I65" t="inlineStr">
        <is>
          <t>No</t>
        </is>
      </c>
      <c r="J65" t="inlineStr">
        <is>
          <t>0</t>
        </is>
      </c>
      <c r="L65" t="inlineStr">
        <is>
          <t>Buckingham ; Philadelphia : Open University Press, 1997.</t>
        </is>
      </c>
      <c r="M65" t="inlineStr">
        <is>
          <t>1997</t>
        </is>
      </c>
      <c r="O65" t="inlineStr">
        <is>
          <t>eng</t>
        </is>
      </c>
      <c r="P65" t="inlineStr">
        <is>
          <t>enk</t>
        </is>
      </c>
      <c r="Q65" t="inlineStr">
        <is>
          <t>Health services management</t>
        </is>
      </c>
      <c r="R65" t="inlineStr">
        <is>
          <t xml:space="preserve">RA </t>
        </is>
      </c>
      <c r="S65" t="n">
        <v>2</v>
      </c>
      <c r="T65" t="n">
        <v>2</v>
      </c>
      <c r="U65" t="inlineStr">
        <is>
          <t>1999-02-16</t>
        </is>
      </c>
      <c r="V65" t="inlineStr">
        <is>
          <t>1999-02-16</t>
        </is>
      </c>
      <c r="W65" t="inlineStr">
        <is>
          <t>1998-05-11</t>
        </is>
      </c>
      <c r="X65" t="inlineStr">
        <is>
          <t>1998-05-11</t>
        </is>
      </c>
      <c r="Y65" t="n">
        <v>113</v>
      </c>
      <c r="Z65" t="n">
        <v>39</v>
      </c>
      <c r="AA65" t="n">
        <v>39</v>
      </c>
      <c r="AB65" t="n">
        <v>1</v>
      </c>
      <c r="AC65" t="n">
        <v>1</v>
      </c>
      <c r="AD65" t="n">
        <v>1</v>
      </c>
      <c r="AE65" t="n">
        <v>1</v>
      </c>
      <c r="AF65" t="n">
        <v>0</v>
      </c>
      <c r="AG65" t="n">
        <v>0</v>
      </c>
      <c r="AH65" t="n">
        <v>1</v>
      </c>
      <c r="AI65" t="n">
        <v>1</v>
      </c>
      <c r="AJ65" t="n">
        <v>0</v>
      </c>
      <c r="AK65" t="n">
        <v>0</v>
      </c>
      <c r="AL65" t="n">
        <v>0</v>
      </c>
      <c r="AM65" t="n">
        <v>0</v>
      </c>
      <c r="AN65" t="n">
        <v>0</v>
      </c>
      <c r="AO65" t="n">
        <v>0</v>
      </c>
      <c r="AP65" t="inlineStr">
        <is>
          <t>No</t>
        </is>
      </c>
      <c r="AQ65" t="inlineStr">
        <is>
          <t>No</t>
        </is>
      </c>
      <c r="AS65">
        <f>HYPERLINK("https://creighton-primo.hosted.exlibrisgroup.com/primo-explore/search?tab=default_tab&amp;search_scope=EVERYTHING&amp;vid=01CRU&amp;lang=en_US&amp;offset=0&amp;query=any,contains,991002742219702656","Catalog Record")</f>
        <v/>
      </c>
      <c r="AT65">
        <f>HYPERLINK("http://www.worldcat.org/oclc/36008612","WorldCat Record")</f>
        <v/>
      </c>
      <c r="AU65" t="inlineStr">
        <is>
          <t>368054006:eng</t>
        </is>
      </c>
      <c r="AV65" t="inlineStr">
        <is>
          <t>36008612</t>
        </is>
      </c>
      <c r="AW65" t="inlineStr">
        <is>
          <t>991002742219702656</t>
        </is>
      </c>
      <c r="AX65" t="inlineStr">
        <is>
          <t>991002742219702656</t>
        </is>
      </c>
      <c r="AY65" t="inlineStr">
        <is>
          <t>2258969630002656</t>
        </is>
      </c>
      <c r="AZ65" t="inlineStr">
        <is>
          <t>BOOK</t>
        </is>
      </c>
      <c r="BB65" t="inlineStr">
        <is>
          <t>9780335196340</t>
        </is>
      </c>
      <c r="BC65" t="inlineStr">
        <is>
          <t>32285003407425</t>
        </is>
      </c>
      <c r="BD65" t="inlineStr">
        <is>
          <t>893409473</t>
        </is>
      </c>
    </row>
    <row r="66">
      <c r="A66" t="inlineStr">
        <is>
          <t>No</t>
        </is>
      </c>
      <c r="B66" t="inlineStr">
        <is>
          <t>RA395.G6 P3 1981</t>
        </is>
      </c>
      <c r="C66" t="inlineStr">
        <is>
          <t>0                      RA 0395000G  6                  P  3           1981</t>
        </is>
      </c>
      <c r="D66" t="inlineStr">
        <is>
          <t>The making of the National Health Service / by John E. Pater.</t>
        </is>
      </c>
      <c r="F66" t="inlineStr">
        <is>
          <t>No</t>
        </is>
      </c>
      <c r="G66" t="inlineStr">
        <is>
          <t>1</t>
        </is>
      </c>
      <c r="H66" t="inlineStr">
        <is>
          <t>No</t>
        </is>
      </c>
      <c r="I66" t="inlineStr">
        <is>
          <t>No</t>
        </is>
      </c>
      <c r="J66" t="inlineStr">
        <is>
          <t>0</t>
        </is>
      </c>
      <c r="K66" t="inlineStr">
        <is>
          <t>Pater, John E.</t>
        </is>
      </c>
      <c r="L66" t="inlineStr">
        <is>
          <t>London : King Edward's Hospital Fund for London, c1981.</t>
        </is>
      </c>
      <c r="M66" t="inlineStr">
        <is>
          <t>1981</t>
        </is>
      </c>
      <c r="O66" t="inlineStr">
        <is>
          <t>eng</t>
        </is>
      </c>
      <c r="P66" t="inlineStr">
        <is>
          <t>enk</t>
        </is>
      </c>
      <c r="Q66" t="inlineStr">
        <is>
          <t>King's Fund historical series ; 1</t>
        </is>
      </c>
      <c r="R66" t="inlineStr">
        <is>
          <t xml:space="preserve">RA </t>
        </is>
      </c>
      <c r="S66" t="n">
        <v>6</v>
      </c>
      <c r="T66" t="n">
        <v>6</v>
      </c>
      <c r="U66" t="inlineStr">
        <is>
          <t>1998-10-20</t>
        </is>
      </c>
      <c r="V66" t="inlineStr">
        <is>
          <t>1998-10-20</t>
        </is>
      </c>
      <c r="W66" t="inlineStr">
        <is>
          <t>1992-04-27</t>
        </is>
      </c>
      <c r="X66" t="inlineStr">
        <is>
          <t>1992-04-27</t>
        </is>
      </c>
      <c r="Y66" t="n">
        <v>128</v>
      </c>
      <c r="Z66" t="n">
        <v>42</v>
      </c>
      <c r="AA66" t="n">
        <v>43</v>
      </c>
      <c r="AB66" t="n">
        <v>1</v>
      </c>
      <c r="AC66" t="n">
        <v>1</v>
      </c>
      <c r="AD66" t="n">
        <v>0</v>
      </c>
      <c r="AE66" t="n">
        <v>0</v>
      </c>
      <c r="AF66" t="n">
        <v>0</v>
      </c>
      <c r="AG66" t="n">
        <v>0</v>
      </c>
      <c r="AH66" t="n">
        <v>0</v>
      </c>
      <c r="AI66" t="n">
        <v>0</v>
      </c>
      <c r="AJ66" t="n">
        <v>0</v>
      </c>
      <c r="AK66" t="n">
        <v>0</v>
      </c>
      <c r="AL66" t="n">
        <v>0</v>
      </c>
      <c r="AM66" t="n">
        <v>0</v>
      </c>
      <c r="AN66" t="n">
        <v>0</v>
      </c>
      <c r="AO66" t="n">
        <v>0</v>
      </c>
      <c r="AP66" t="inlineStr">
        <is>
          <t>No</t>
        </is>
      </c>
      <c r="AQ66" t="inlineStr">
        <is>
          <t>Yes</t>
        </is>
      </c>
      <c r="AR66">
        <f>HYPERLINK("http://catalog.hathitrust.org/Record/000231544","HathiTrust Record")</f>
        <v/>
      </c>
      <c r="AS66">
        <f>HYPERLINK("https://creighton-primo.hosted.exlibrisgroup.com/primo-explore/search?tab=default_tab&amp;search_scope=EVERYTHING&amp;vid=01CRU&amp;lang=en_US&amp;offset=0&amp;query=any,contains,991005220639702656","Catalog Record")</f>
        <v/>
      </c>
      <c r="AT66">
        <f>HYPERLINK("http://www.worldcat.org/oclc/13002765","WorldCat Record")</f>
        <v/>
      </c>
      <c r="AU66" t="inlineStr">
        <is>
          <t>5386846:eng</t>
        </is>
      </c>
      <c r="AV66" t="inlineStr">
        <is>
          <t>13002765</t>
        </is>
      </c>
      <c r="AW66" t="inlineStr">
        <is>
          <t>991005220639702656</t>
        </is>
      </c>
      <c r="AX66" t="inlineStr">
        <is>
          <t>991005220639702656</t>
        </is>
      </c>
      <c r="AY66" t="inlineStr">
        <is>
          <t>2266836720002656</t>
        </is>
      </c>
      <c r="AZ66" t="inlineStr">
        <is>
          <t>BOOK</t>
        </is>
      </c>
      <c r="BB66" t="inlineStr">
        <is>
          <t>9780900889844</t>
        </is>
      </c>
      <c r="BC66" t="inlineStr">
        <is>
          <t>32285001072544</t>
        </is>
      </c>
      <c r="BD66" t="inlineStr">
        <is>
          <t>893688788</t>
        </is>
      </c>
    </row>
    <row r="67">
      <c r="A67" t="inlineStr">
        <is>
          <t>No</t>
        </is>
      </c>
      <c r="B67" t="inlineStr">
        <is>
          <t>RA395.S8 H44 1980</t>
        </is>
      </c>
      <c r="C67" t="inlineStr">
        <is>
          <t>0                      RA 0395000S  8                  H  44          1980</t>
        </is>
      </c>
      <c r="D67" t="inlineStr">
        <is>
          <t>The shaping of the Swedish health system / edited by Arnold J. Heidenheimer and Nils Elvander, with the assistance of Charly Hultén.</t>
        </is>
      </c>
      <c r="F67" t="inlineStr">
        <is>
          <t>No</t>
        </is>
      </c>
      <c r="G67" t="inlineStr">
        <is>
          <t>1</t>
        </is>
      </c>
      <c r="H67" t="inlineStr">
        <is>
          <t>No</t>
        </is>
      </c>
      <c r="I67" t="inlineStr">
        <is>
          <t>No</t>
        </is>
      </c>
      <c r="J67" t="inlineStr">
        <is>
          <t>0</t>
        </is>
      </c>
      <c r="K67" t="inlineStr">
        <is>
          <t>Heidenheimer, Arnold J.</t>
        </is>
      </c>
      <c r="L67" t="inlineStr">
        <is>
          <t>New York : St. Martin's Press, 1980.</t>
        </is>
      </c>
      <c r="M67" t="inlineStr">
        <is>
          <t>1980</t>
        </is>
      </c>
      <c r="O67" t="inlineStr">
        <is>
          <t>eng</t>
        </is>
      </c>
      <c r="P67" t="inlineStr">
        <is>
          <t>nyu</t>
        </is>
      </c>
      <c r="R67" t="inlineStr">
        <is>
          <t xml:space="preserve">RA </t>
        </is>
      </c>
      <c r="S67" t="n">
        <v>10</v>
      </c>
      <c r="T67" t="n">
        <v>10</v>
      </c>
      <c r="U67" t="inlineStr">
        <is>
          <t>2009-05-05</t>
        </is>
      </c>
      <c r="V67" t="inlineStr">
        <is>
          <t>2009-05-05</t>
        </is>
      </c>
      <c r="W67" t="inlineStr">
        <is>
          <t>1990-03-13</t>
        </is>
      </c>
      <c r="X67" t="inlineStr">
        <is>
          <t>1990-03-13</t>
        </is>
      </c>
      <c r="Y67" t="n">
        <v>203</v>
      </c>
      <c r="Z67" t="n">
        <v>178</v>
      </c>
      <c r="AA67" t="n">
        <v>189</v>
      </c>
      <c r="AB67" t="n">
        <v>1</v>
      </c>
      <c r="AC67" t="n">
        <v>1</v>
      </c>
      <c r="AD67" t="n">
        <v>3</v>
      </c>
      <c r="AE67" t="n">
        <v>3</v>
      </c>
      <c r="AF67" t="n">
        <v>0</v>
      </c>
      <c r="AG67" t="n">
        <v>0</v>
      </c>
      <c r="AH67" t="n">
        <v>0</v>
      </c>
      <c r="AI67" t="n">
        <v>0</v>
      </c>
      <c r="AJ67" t="n">
        <v>2</v>
      </c>
      <c r="AK67" t="n">
        <v>2</v>
      </c>
      <c r="AL67" t="n">
        <v>0</v>
      </c>
      <c r="AM67" t="n">
        <v>0</v>
      </c>
      <c r="AN67" t="n">
        <v>1</v>
      </c>
      <c r="AO67" t="n">
        <v>1</v>
      </c>
      <c r="AP67" t="inlineStr">
        <is>
          <t>No</t>
        </is>
      </c>
      <c r="AQ67" t="inlineStr">
        <is>
          <t>No</t>
        </is>
      </c>
      <c r="AS67">
        <f>HYPERLINK("https://creighton-primo.hosted.exlibrisgroup.com/primo-explore/search?tab=default_tab&amp;search_scope=EVERYTHING&amp;vid=01CRU&amp;lang=en_US&amp;offset=0&amp;query=any,contains,991004936069702656","Catalog Record")</f>
        <v/>
      </c>
      <c r="AT67">
        <f>HYPERLINK("http://www.worldcat.org/oclc/6143050","WorldCat Record")</f>
        <v/>
      </c>
      <c r="AU67" t="inlineStr">
        <is>
          <t>351961243:eng</t>
        </is>
      </c>
      <c r="AV67" t="inlineStr">
        <is>
          <t>6143050</t>
        </is>
      </c>
      <c r="AW67" t="inlineStr">
        <is>
          <t>991004936069702656</t>
        </is>
      </c>
      <c r="AX67" t="inlineStr">
        <is>
          <t>991004936069702656</t>
        </is>
      </c>
      <c r="AY67" t="inlineStr">
        <is>
          <t>2259864160002656</t>
        </is>
      </c>
      <c r="AZ67" t="inlineStr">
        <is>
          <t>BOOK</t>
        </is>
      </c>
      <c r="BB67" t="inlineStr">
        <is>
          <t>9780312716271</t>
        </is>
      </c>
      <c r="BC67" t="inlineStr">
        <is>
          <t>32285000085547</t>
        </is>
      </c>
      <c r="BD67" t="inlineStr">
        <is>
          <t>893424359</t>
        </is>
      </c>
    </row>
    <row r="68">
      <c r="A68" t="inlineStr">
        <is>
          <t>No</t>
        </is>
      </c>
      <c r="B68" t="inlineStr">
        <is>
          <t>RA396.A3 G73 1984</t>
        </is>
      </c>
      <c r="C68" t="inlineStr">
        <is>
          <t>0                      RA 0396000A  3                  G  73          1984</t>
        </is>
      </c>
      <c r="D68" t="inlineStr">
        <is>
          <t>Of foxes and hen houses : licensing and the health professions / Stanley J. Gross.</t>
        </is>
      </c>
      <c r="F68" t="inlineStr">
        <is>
          <t>No</t>
        </is>
      </c>
      <c r="G68" t="inlineStr">
        <is>
          <t>1</t>
        </is>
      </c>
      <c r="H68" t="inlineStr">
        <is>
          <t>No</t>
        </is>
      </c>
      <c r="I68" t="inlineStr">
        <is>
          <t>No</t>
        </is>
      </c>
      <c r="J68" t="inlineStr">
        <is>
          <t>0</t>
        </is>
      </c>
      <c r="K68" t="inlineStr">
        <is>
          <t>Gross, Stanley J.</t>
        </is>
      </c>
      <c r="L68" t="inlineStr">
        <is>
          <t>Westport, Conn. : Quorum Books, 1984.</t>
        </is>
      </c>
      <c r="M68" t="inlineStr">
        <is>
          <t>1984</t>
        </is>
      </c>
      <c r="O68" t="inlineStr">
        <is>
          <t>eng</t>
        </is>
      </c>
      <c r="P68" t="inlineStr">
        <is>
          <t>ctu</t>
        </is>
      </c>
      <c r="R68" t="inlineStr">
        <is>
          <t xml:space="preserve">RA </t>
        </is>
      </c>
      <c r="S68" t="n">
        <v>6</v>
      </c>
      <c r="T68" t="n">
        <v>6</v>
      </c>
      <c r="U68" t="inlineStr">
        <is>
          <t>1993-07-12</t>
        </is>
      </c>
      <c r="V68" t="inlineStr">
        <is>
          <t>1993-07-12</t>
        </is>
      </c>
      <c r="W68" t="inlineStr">
        <is>
          <t>1992-05-07</t>
        </is>
      </c>
      <c r="X68" t="inlineStr">
        <is>
          <t>1992-05-07</t>
        </is>
      </c>
      <c r="Y68" t="n">
        <v>491</v>
      </c>
      <c r="Z68" t="n">
        <v>459</v>
      </c>
      <c r="AA68" t="n">
        <v>465</v>
      </c>
      <c r="AB68" t="n">
        <v>5</v>
      </c>
      <c r="AC68" t="n">
        <v>5</v>
      </c>
      <c r="AD68" t="n">
        <v>21</v>
      </c>
      <c r="AE68" t="n">
        <v>21</v>
      </c>
      <c r="AF68" t="n">
        <v>3</v>
      </c>
      <c r="AG68" t="n">
        <v>3</v>
      </c>
      <c r="AH68" t="n">
        <v>5</v>
      </c>
      <c r="AI68" t="n">
        <v>5</v>
      </c>
      <c r="AJ68" t="n">
        <v>6</v>
      </c>
      <c r="AK68" t="n">
        <v>6</v>
      </c>
      <c r="AL68" t="n">
        <v>2</v>
      </c>
      <c r="AM68" t="n">
        <v>2</v>
      </c>
      <c r="AN68" t="n">
        <v>9</v>
      </c>
      <c r="AO68" t="n">
        <v>9</v>
      </c>
      <c r="AP68" t="inlineStr">
        <is>
          <t>No</t>
        </is>
      </c>
      <c r="AQ68" t="inlineStr">
        <is>
          <t>Yes</t>
        </is>
      </c>
      <c r="AR68">
        <f>HYPERLINK("http://catalog.hathitrust.org/Record/000784738","HathiTrust Record")</f>
        <v/>
      </c>
      <c r="AS68">
        <f>HYPERLINK("https://creighton-primo.hosted.exlibrisgroup.com/primo-explore/search?tab=default_tab&amp;search_scope=EVERYTHING&amp;vid=01CRU&amp;lang=en_US&amp;offset=0&amp;query=any,contains,991000225979702656","Catalog Record")</f>
        <v/>
      </c>
      <c r="AT68">
        <f>HYPERLINK("http://www.worldcat.org/oclc/9619935","WorldCat Record")</f>
        <v/>
      </c>
      <c r="AU68" t="inlineStr">
        <is>
          <t>836621033:eng</t>
        </is>
      </c>
      <c r="AV68" t="inlineStr">
        <is>
          <t>9619935</t>
        </is>
      </c>
      <c r="AW68" t="inlineStr">
        <is>
          <t>991000225979702656</t>
        </is>
      </c>
      <c r="AX68" t="inlineStr">
        <is>
          <t>991000225979702656</t>
        </is>
      </c>
      <c r="AY68" t="inlineStr">
        <is>
          <t>2255572220002656</t>
        </is>
      </c>
      <c r="AZ68" t="inlineStr">
        <is>
          <t>BOOK</t>
        </is>
      </c>
      <c r="BB68" t="inlineStr">
        <is>
          <t>9780899300597</t>
        </is>
      </c>
      <c r="BC68" t="inlineStr">
        <is>
          <t>32285001097152</t>
        </is>
      </c>
      <c r="BD68" t="inlineStr">
        <is>
          <t>893407037</t>
        </is>
      </c>
    </row>
    <row r="69">
      <c r="A69" t="inlineStr">
        <is>
          <t>No</t>
        </is>
      </c>
      <c r="B69" t="inlineStr">
        <is>
          <t>RA398.A3 S63 1996</t>
        </is>
      </c>
      <c r="C69" t="inlineStr">
        <is>
          <t>0                      RA 0398000A  3                  S  63          1996</t>
        </is>
      </c>
      <c r="D69" t="inlineStr">
        <is>
          <t>Medicaid and the limits of state health reform / Michael S. Sparer.</t>
        </is>
      </c>
      <c r="F69" t="inlineStr">
        <is>
          <t>No</t>
        </is>
      </c>
      <c r="G69" t="inlineStr">
        <is>
          <t>1</t>
        </is>
      </c>
      <c r="H69" t="inlineStr">
        <is>
          <t>No</t>
        </is>
      </c>
      <c r="I69" t="inlineStr">
        <is>
          <t>No</t>
        </is>
      </c>
      <c r="J69" t="inlineStr">
        <is>
          <t>0</t>
        </is>
      </c>
      <c r="K69" t="inlineStr">
        <is>
          <t>Sparer, Michael.</t>
        </is>
      </c>
      <c r="L69" t="inlineStr">
        <is>
          <t>Philadelphia : Temple University Press, 1996.</t>
        </is>
      </c>
      <c r="M69" t="inlineStr">
        <is>
          <t>1996</t>
        </is>
      </c>
      <c r="O69" t="inlineStr">
        <is>
          <t>eng</t>
        </is>
      </c>
      <c r="P69" t="inlineStr">
        <is>
          <t>pau</t>
        </is>
      </c>
      <c r="R69" t="inlineStr">
        <is>
          <t xml:space="preserve">RA </t>
        </is>
      </c>
      <c r="S69" t="n">
        <v>12</v>
      </c>
      <c r="T69" t="n">
        <v>12</v>
      </c>
      <c r="U69" t="inlineStr">
        <is>
          <t>2002-04-06</t>
        </is>
      </c>
      <c r="V69" t="inlineStr">
        <is>
          <t>2002-04-06</t>
        </is>
      </c>
      <c r="W69" t="inlineStr">
        <is>
          <t>1996-08-06</t>
        </is>
      </c>
      <c r="X69" t="inlineStr">
        <is>
          <t>1996-08-06</t>
        </is>
      </c>
      <c r="Y69" t="n">
        <v>324</v>
      </c>
      <c r="Z69" t="n">
        <v>304</v>
      </c>
      <c r="AA69" t="n">
        <v>533</v>
      </c>
      <c r="AB69" t="n">
        <v>1</v>
      </c>
      <c r="AC69" t="n">
        <v>2</v>
      </c>
      <c r="AD69" t="n">
        <v>14</v>
      </c>
      <c r="AE69" t="n">
        <v>24</v>
      </c>
      <c r="AF69" t="n">
        <v>2</v>
      </c>
      <c r="AG69" t="n">
        <v>9</v>
      </c>
      <c r="AH69" t="n">
        <v>4</v>
      </c>
      <c r="AI69" t="n">
        <v>7</v>
      </c>
      <c r="AJ69" t="n">
        <v>9</v>
      </c>
      <c r="AK69" t="n">
        <v>12</v>
      </c>
      <c r="AL69" t="n">
        <v>0</v>
      </c>
      <c r="AM69" t="n">
        <v>1</v>
      </c>
      <c r="AN69" t="n">
        <v>3</v>
      </c>
      <c r="AO69" t="n">
        <v>3</v>
      </c>
      <c r="AP69" t="inlineStr">
        <is>
          <t>No</t>
        </is>
      </c>
      <c r="AQ69" t="inlineStr">
        <is>
          <t>Yes</t>
        </is>
      </c>
      <c r="AR69">
        <f>HYPERLINK("http://catalog.hathitrust.org/Record/003080991","HathiTrust Record")</f>
        <v/>
      </c>
      <c r="AS69">
        <f>HYPERLINK("https://creighton-primo.hosted.exlibrisgroup.com/primo-explore/search?tab=default_tab&amp;search_scope=EVERYTHING&amp;vid=01CRU&amp;lang=en_US&amp;offset=0&amp;query=any,contains,991002579759702656","Catalog Record")</f>
        <v/>
      </c>
      <c r="AT69">
        <f>HYPERLINK("http://www.worldcat.org/oclc/33817647","WorldCat Record")</f>
        <v/>
      </c>
      <c r="AU69" t="inlineStr">
        <is>
          <t>38912162:eng</t>
        </is>
      </c>
      <c r="AV69" t="inlineStr">
        <is>
          <t>33817647</t>
        </is>
      </c>
      <c r="AW69" t="inlineStr">
        <is>
          <t>991002579759702656</t>
        </is>
      </c>
      <c r="AX69" t="inlineStr">
        <is>
          <t>991002579759702656</t>
        </is>
      </c>
      <c r="AY69" t="inlineStr">
        <is>
          <t>2267525080002656</t>
        </is>
      </c>
      <c r="AZ69" t="inlineStr">
        <is>
          <t>BOOK</t>
        </is>
      </c>
      <c r="BB69" t="inlineStr">
        <is>
          <t>9781566394338</t>
        </is>
      </c>
      <c r="BC69" t="inlineStr">
        <is>
          <t>32285002271004</t>
        </is>
      </c>
      <c r="BD69" t="inlineStr">
        <is>
          <t>893867411</t>
        </is>
      </c>
    </row>
    <row r="70">
      <c r="A70" t="inlineStr">
        <is>
          <t>No</t>
        </is>
      </c>
      <c r="B70" t="inlineStr">
        <is>
          <t>RA399.A1 G735 2001</t>
        </is>
      </c>
      <c r="C70" t="inlineStr">
        <is>
          <t>0                      RA 0399000A  1                  G  735         2001</t>
        </is>
      </c>
      <c r="D70" t="inlineStr">
        <is>
          <t>The practice of health program evaluation / David Grembowski.</t>
        </is>
      </c>
      <c r="F70" t="inlineStr">
        <is>
          <t>No</t>
        </is>
      </c>
      <c r="G70" t="inlineStr">
        <is>
          <t>1</t>
        </is>
      </c>
      <c r="H70" t="inlineStr">
        <is>
          <t>No</t>
        </is>
      </c>
      <c r="I70" t="inlineStr">
        <is>
          <t>No</t>
        </is>
      </c>
      <c r="J70" t="inlineStr">
        <is>
          <t>0</t>
        </is>
      </c>
      <c r="K70" t="inlineStr">
        <is>
          <t>Grembowski, David.</t>
        </is>
      </c>
      <c r="L70" t="inlineStr">
        <is>
          <t>Thousand Oaks, Calif. : Sage Publications, c2001.</t>
        </is>
      </c>
      <c r="M70" t="inlineStr">
        <is>
          <t>2001</t>
        </is>
      </c>
      <c r="O70" t="inlineStr">
        <is>
          <t>eng</t>
        </is>
      </c>
      <c r="P70" t="inlineStr">
        <is>
          <t>cau</t>
        </is>
      </c>
      <c r="R70" t="inlineStr">
        <is>
          <t xml:space="preserve">RA </t>
        </is>
      </c>
      <c r="S70" t="n">
        <v>1</v>
      </c>
      <c r="T70" t="n">
        <v>1</v>
      </c>
      <c r="U70" t="inlineStr">
        <is>
          <t>2005-03-14</t>
        </is>
      </c>
      <c r="V70" t="inlineStr">
        <is>
          <t>2005-03-14</t>
        </is>
      </c>
      <c r="W70" t="inlineStr">
        <is>
          <t>2005-03-14</t>
        </is>
      </c>
      <c r="X70" t="inlineStr">
        <is>
          <t>2005-03-14</t>
        </is>
      </c>
      <c r="Y70" t="n">
        <v>365</v>
      </c>
      <c r="Z70" t="n">
        <v>272</v>
      </c>
      <c r="AA70" t="n">
        <v>357</v>
      </c>
      <c r="AB70" t="n">
        <v>3</v>
      </c>
      <c r="AC70" t="n">
        <v>4</v>
      </c>
      <c r="AD70" t="n">
        <v>14</v>
      </c>
      <c r="AE70" t="n">
        <v>19</v>
      </c>
      <c r="AF70" t="n">
        <v>7</v>
      </c>
      <c r="AG70" t="n">
        <v>8</v>
      </c>
      <c r="AH70" t="n">
        <v>2</v>
      </c>
      <c r="AI70" t="n">
        <v>4</v>
      </c>
      <c r="AJ70" t="n">
        <v>5</v>
      </c>
      <c r="AK70" t="n">
        <v>6</v>
      </c>
      <c r="AL70" t="n">
        <v>2</v>
      </c>
      <c r="AM70" t="n">
        <v>3</v>
      </c>
      <c r="AN70" t="n">
        <v>0</v>
      </c>
      <c r="AO70" t="n">
        <v>0</v>
      </c>
      <c r="AP70" t="inlineStr">
        <is>
          <t>No</t>
        </is>
      </c>
      <c r="AQ70" t="inlineStr">
        <is>
          <t>No</t>
        </is>
      </c>
      <c r="AS70">
        <f>HYPERLINK("https://creighton-primo.hosted.exlibrisgroup.com/primo-explore/search?tab=default_tab&amp;search_scope=EVERYTHING&amp;vid=01CRU&amp;lang=en_US&amp;offset=0&amp;query=any,contains,991004479039702656","Catalog Record")</f>
        <v/>
      </c>
      <c r="AT70">
        <f>HYPERLINK("http://www.worldcat.org/oclc/45556119","WorldCat Record")</f>
        <v/>
      </c>
      <c r="AU70" t="inlineStr">
        <is>
          <t>2729774:eng</t>
        </is>
      </c>
      <c r="AV70" t="inlineStr">
        <is>
          <t>45556119</t>
        </is>
      </c>
      <c r="AW70" t="inlineStr">
        <is>
          <t>991004479039702656</t>
        </is>
      </c>
      <c r="AX70" t="inlineStr">
        <is>
          <t>991004479039702656</t>
        </is>
      </c>
      <c r="AY70" t="inlineStr">
        <is>
          <t>2259387490002656</t>
        </is>
      </c>
      <c r="AZ70" t="inlineStr">
        <is>
          <t>BOOK</t>
        </is>
      </c>
      <c r="BB70" t="inlineStr">
        <is>
          <t>9780761918462</t>
        </is>
      </c>
      <c r="BC70" t="inlineStr">
        <is>
          <t>32285005040802</t>
        </is>
      </c>
      <c r="BD70" t="inlineStr">
        <is>
          <t>893693992</t>
        </is>
      </c>
    </row>
    <row r="71">
      <c r="A71" t="inlineStr">
        <is>
          <t>No</t>
        </is>
      </c>
      <c r="B71" t="inlineStr">
        <is>
          <t>RA399.A1 K39 1995</t>
        </is>
      </c>
      <c r="C71" t="inlineStr">
        <is>
          <t>0                      RA 0399000A  1                  K  39          1995</t>
        </is>
      </c>
      <c r="D71" t="inlineStr">
        <is>
          <t>The epidemiology of quality / Vahé A. Kazandjian with Elizabeth L. Sternberg.</t>
        </is>
      </c>
      <c r="F71" t="inlineStr">
        <is>
          <t>No</t>
        </is>
      </c>
      <c r="G71" t="inlineStr">
        <is>
          <t>1</t>
        </is>
      </c>
      <c r="H71" t="inlineStr">
        <is>
          <t>No</t>
        </is>
      </c>
      <c r="I71" t="inlineStr">
        <is>
          <t>No</t>
        </is>
      </c>
      <c r="J71" t="inlineStr">
        <is>
          <t>0</t>
        </is>
      </c>
      <c r="K71" t="inlineStr">
        <is>
          <t>Kazandjian, Vahé A.</t>
        </is>
      </c>
      <c r="L71" t="inlineStr">
        <is>
          <t>Gaithersburg, Md. : Aspen, 1995.</t>
        </is>
      </c>
      <c r="M71" t="inlineStr">
        <is>
          <t>1995</t>
        </is>
      </c>
      <c r="O71" t="inlineStr">
        <is>
          <t>eng</t>
        </is>
      </c>
      <c r="P71" t="inlineStr">
        <is>
          <t>mdu</t>
        </is>
      </c>
      <c r="R71" t="inlineStr">
        <is>
          <t xml:space="preserve">RA </t>
        </is>
      </c>
      <c r="S71" t="n">
        <v>1</v>
      </c>
      <c r="T71" t="n">
        <v>1</v>
      </c>
      <c r="U71" t="inlineStr">
        <is>
          <t>2002-04-09</t>
        </is>
      </c>
      <c r="V71" t="inlineStr">
        <is>
          <t>2002-04-09</t>
        </is>
      </c>
      <c r="W71" t="inlineStr">
        <is>
          <t>2002-03-19</t>
        </is>
      </c>
      <c r="X71" t="inlineStr">
        <is>
          <t>2002-03-19</t>
        </is>
      </c>
      <c r="Y71" t="n">
        <v>214</v>
      </c>
      <c r="Z71" t="n">
        <v>180</v>
      </c>
      <c r="AA71" t="n">
        <v>181</v>
      </c>
      <c r="AB71" t="n">
        <v>2</v>
      </c>
      <c r="AC71" t="n">
        <v>2</v>
      </c>
      <c r="AD71" t="n">
        <v>11</v>
      </c>
      <c r="AE71" t="n">
        <v>11</v>
      </c>
      <c r="AF71" t="n">
        <v>3</v>
      </c>
      <c r="AG71" t="n">
        <v>3</v>
      </c>
      <c r="AH71" t="n">
        <v>1</v>
      </c>
      <c r="AI71" t="n">
        <v>1</v>
      </c>
      <c r="AJ71" t="n">
        <v>6</v>
      </c>
      <c r="AK71" t="n">
        <v>6</v>
      </c>
      <c r="AL71" t="n">
        <v>1</v>
      </c>
      <c r="AM71" t="n">
        <v>1</v>
      </c>
      <c r="AN71" t="n">
        <v>0</v>
      </c>
      <c r="AO71" t="n">
        <v>0</v>
      </c>
      <c r="AP71" t="inlineStr">
        <is>
          <t>No</t>
        </is>
      </c>
      <c r="AQ71" t="inlineStr">
        <is>
          <t>No</t>
        </is>
      </c>
      <c r="AS71">
        <f>HYPERLINK("https://creighton-primo.hosted.exlibrisgroup.com/primo-explore/search?tab=default_tab&amp;search_scope=EVERYTHING&amp;vid=01CRU&amp;lang=en_US&amp;offset=0&amp;query=any,contains,991003727279702656","Catalog Record")</f>
        <v/>
      </c>
      <c r="AT71">
        <f>HYPERLINK("http://www.worldcat.org/oclc/31903423","WorldCat Record")</f>
        <v/>
      </c>
      <c r="AU71" t="inlineStr">
        <is>
          <t>33640090:eng</t>
        </is>
      </c>
      <c r="AV71" t="inlineStr">
        <is>
          <t>31903423</t>
        </is>
      </c>
      <c r="AW71" t="inlineStr">
        <is>
          <t>991003727279702656</t>
        </is>
      </c>
      <c r="AX71" t="inlineStr">
        <is>
          <t>991003727279702656</t>
        </is>
      </c>
      <c r="AY71" t="inlineStr">
        <is>
          <t>2268432750002656</t>
        </is>
      </c>
      <c r="AZ71" t="inlineStr">
        <is>
          <t>BOOK</t>
        </is>
      </c>
      <c r="BB71" t="inlineStr">
        <is>
          <t>9780834205338</t>
        </is>
      </c>
      <c r="BC71" t="inlineStr">
        <is>
          <t>32285004462569</t>
        </is>
      </c>
      <c r="BD71" t="inlineStr">
        <is>
          <t>893887814</t>
        </is>
      </c>
    </row>
    <row r="72">
      <c r="A72" t="inlineStr">
        <is>
          <t>No</t>
        </is>
      </c>
      <c r="B72" t="inlineStr">
        <is>
          <t>RA399.A1 S74 1990</t>
        </is>
      </c>
      <c r="C72" t="inlineStr">
        <is>
          <t>0                      RA 0399000A  1                  S  74          1990</t>
        </is>
      </c>
      <c r="D72" t="inlineStr">
        <is>
          <t>Measuring and managing patient satisfaction / Steven R. Steiber and William J. Krowinski.</t>
        </is>
      </c>
      <c r="F72" t="inlineStr">
        <is>
          <t>No</t>
        </is>
      </c>
      <c r="G72" t="inlineStr">
        <is>
          <t>1</t>
        </is>
      </c>
      <c r="H72" t="inlineStr">
        <is>
          <t>No</t>
        </is>
      </c>
      <c r="I72" t="inlineStr">
        <is>
          <t>No</t>
        </is>
      </c>
      <c r="J72" t="inlineStr">
        <is>
          <t>0</t>
        </is>
      </c>
      <c r="K72" t="inlineStr">
        <is>
          <t>Steiber, Steven R.</t>
        </is>
      </c>
      <c r="L72" t="inlineStr">
        <is>
          <t>Chicago, Ill. : American Hospital Pub., c1990.</t>
        </is>
      </c>
      <c r="M72" t="inlineStr">
        <is>
          <t>1990</t>
        </is>
      </c>
      <c r="O72" t="inlineStr">
        <is>
          <t>eng</t>
        </is>
      </c>
      <c r="P72" t="inlineStr">
        <is>
          <t>ilu</t>
        </is>
      </c>
      <c r="R72" t="inlineStr">
        <is>
          <t xml:space="preserve">RA </t>
        </is>
      </c>
      <c r="S72" t="n">
        <v>2</v>
      </c>
      <c r="T72" t="n">
        <v>2</v>
      </c>
      <c r="U72" t="inlineStr">
        <is>
          <t>1993-10-16</t>
        </is>
      </c>
      <c r="V72" t="inlineStr">
        <is>
          <t>1993-10-16</t>
        </is>
      </c>
      <c r="W72" t="inlineStr">
        <is>
          <t>1991-05-16</t>
        </is>
      </c>
      <c r="X72" t="inlineStr">
        <is>
          <t>1991-05-16</t>
        </is>
      </c>
      <c r="Y72" t="n">
        <v>192</v>
      </c>
      <c r="Z72" t="n">
        <v>166</v>
      </c>
      <c r="AA72" t="n">
        <v>219</v>
      </c>
      <c r="AB72" t="n">
        <v>1</v>
      </c>
      <c r="AC72" t="n">
        <v>1</v>
      </c>
      <c r="AD72" t="n">
        <v>7</v>
      </c>
      <c r="AE72" t="n">
        <v>11</v>
      </c>
      <c r="AF72" t="n">
        <v>3</v>
      </c>
      <c r="AG72" t="n">
        <v>5</v>
      </c>
      <c r="AH72" t="n">
        <v>2</v>
      </c>
      <c r="AI72" t="n">
        <v>3</v>
      </c>
      <c r="AJ72" t="n">
        <v>4</v>
      </c>
      <c r="AK72" t="n">
        <v>5</v>
      </c>
      <c r="AL72" t="n">
        <v>0</v>
      </c>
      <c r="AM72" t="n">
        <v>0</v>
      </c>
      <c r="AN72" t="n">
        <v>0</v>
      </c>
      <c r="AO72" t="n">
        <v>1</v>
      </c>
      <c r="AP72" t="inlineStr">
        <is>
          <t>No</t>
        </is>
      </c>
      <c r="AQ72" t="inlineStr">
        <is>
          <t>No</t>
        </is>
      </c>
      <c r="AS72">
        <f>HYPERLINK("https://creighton-primo.hosted.exlibrisgroup.com/primo-explore/search?tab=default_tab&amp;search_scope=EVERYTHING&amp;vid=01CRU&amp;lang=en_US&amp;offset=0&amp;query=any,contains,991001733249702656","Catalog Record")</f>
        <v/>
      </c>
      <c r="AT72">
        <f>HYPERLINK("http://www.worldcat.org/oclc/21949774","WorldCat Record")</f>
        <v/>
      </c>
      <c r="AU72" t="inlineStr">
        <is>
          <t>23956503:eng</t>
        </is>
      </c>
      <c r="AV72" t="inlineStr">
        <is>
          <t>21949774</t>
        </is>
      </c>
      <c r="AW72" t="inlineStr">
        <is>
          <t>991001733249702656</t>
        </is>
      </c>
      <c r="AX72" t="inlineStr">
        <is>
          <t>991001733249702656</t>
        </is>
      </c>
      <c r="AY72" t="inlineStr">
        <is>
          <t>2258548700002656</t>
        </is>
      </c>
      <c r="AZ72" t="inlineStr">
        <is>
          <t>BOOK</t>
        </is>
      </c>
      <c r="BB72" t="inlineStr">
        <is>
          <t>9781556480522</t>
        </is>
      </c>
      <c r="BC72" t="inlineStr">
        <is>
          <t>32285000573815</t>
        </is>
      </c>
      <c r="BD72" t="inlineStr">
        <is>
          <t>893346734</t>
        </is>
      </c>
    </row>
    <row r="73">
      <c r="A73" t="inlineStr">
        <is>
          <t>No</t>
        </is>
      </c>
      <c r="B73" t="inlineStr">
        <is>
          <t>RA402.A1 L5</t>
        </is>
      </c>
      <c r="C73" t="inlineStr">
        <is>
          <t>0                      RA 0402000A  1                  L  5</t>
        </is>
      </c>
      <c r="D73" t="inlineStr">
        <is>
          <t>The development of a single convention on narcotic drugs : a historical survey for the international cooperation in solving the crucial problem of narcotic drugs / by Hsien Chou Liu.</t>
        </is>
      </c>
      <c r="F73" t="inlineStr">
        <is>
          <t>No</t>
        </is>
      </c>
      <c r="G73" t="inlineStr">
        <is>
          <t>1</t>
        </is>
      </c>
      <c r="H73" t="inlineStr">
        <is>
          <t>No</t>
        </is>
      </c>
      <c r="I73" t="inlineStr">
        <is>
          <t>No</t>
        </is>
      </c>
      <c r="J73" t="inlineStr">
        <is>
          <t>0</t>
        </is>
      </c>
      <c r="K73" t="inlineStr">
        <is>
          <t>Liu, Hsien Chou.</t>
        </is>
      </c>
      <c r="L73" t="inlineStr">
        <is>
          <t>Bangkok : The Academy of New Society, 1979.</t>
        </is>
      </c>
      <c r="M73" t="inlineStr">
        <is>
          <t>1979</t>
        </is>
      </c>
      <c r="O73" t="inlineStr">
        <is>
          <t>eng</t>
        </is>
      </c>
      <c r="P73" t="inlineStr">
        <is>
          <t xml:space="preserve">xx </t>
        </is>
      </c>
      <c r="R73" t="inlineStr">
        <is>
          <t xml:space="preserve">RA </t>
        </is>
      </c>
      <c r="S73" t="n">
        <v>1</v>
      </c>
      <c r="T73" t="n">
        <v>1</v>
      </c>
      <c r="U73" t="inlineStr">
        <is>
          <t>2003-11-24</t>
        </is>
      </c>
      <c r="V73" t="inlineStr">
        <is>
          <t>2003-11-24</t>
        </is>
      </c>
      <c r="W73" t="inlineStr">
        <is>
          <t>1994-03-03</t>
        </is>
      </c>
      <c r="X73" t="inlineStr">
        <is>
          <t>1994-03-03</t>
        </is>
      </c>
      <c r="Y73" t="n">
        <v>158</v>
      </c>
      <c r="Z73" t="n">
        <v>151</v>
      </c>
      <c r="AA73" t="n">
        <v>152</v>
      </c>
      <c r="AB73" t="n">
        <v>3</v>
      </c>
      <c r="AC73" t="n">
        <v>3</v>
      </c>
      <c r="AD73" t="n">
        <v>12</v>
      </c>
      <c r="AE73" t="n">
        <v>12</v>
      </c>
      <c r="AF73" t="n">
        <v>3</v>
      </c>
      <c r="AG73" t="n">
        <v>3</v>
      </c>
      <c r="AH73" t="n">
        <v>2</v>
      </c>
      <c r="AI73" t="n">
        <v>2</v>
      </c>
      <c r="AJ73" t="n">
        <v>6</v>
      </c>
      <c r="AK73" t="n">
        <v>6</v>
      </c>
      <c r="AL73" t="n">
        <v>2</v>
      </c>
      <c r="AM73" t="n">
        <v>2</v>
      </c>
      <c r="AN73" t="n">
        <v>1</v>
      </c>
      <c r="AO73" t="n">
        <v>1</v>
      </c>
      <c r="AP73" t="inlineStr">
        <is>
          <t>No</t>
        </is>
      </c>
      <c r="AQ73" t="inlineStr">
        <is>
          <t>No</t>
        </is>
      </c>
      <c r="AS73">
        <f>HYPERLINK("https://creighton-primo.hosted.exlibrisgroup.com/primo-explore/search?tab=default_tab&amp;search_scope=EVERYTHING&amp;vid=01CRU&amp;lang=en_US&amp;offset=0&amp;query=any,contains,991004898339702656","Catalog Record")</f>
        <v/>
      </c>
      <c r="AT73">
        <f>HYPERLINK("http://www.worldcat.org/oclc/5906241","WorldCat Record")</f>
        <v/>
      </c>
      <c r="AU73" t="inlineStr">
        <is>
          <t>20438811:eng</t>
        </is>
      </c>
      <c r="AV73" t="inlineStr">
        <is>
          <t>5906241</t>
        </is>
      </c>
      <c r="AW73" t="inlineStr">
        <is>
          <t>991004898339702656</t>
        </is>
      </c>
      <c r="AX73" t="inlineStr">
        <is>
          <t>991004898339702656</t>
        </is>
      </c>
      <c r="AY73" t="inlineStr">
        <is>
          <t>2272746810002656</t>
        </is>
      </c>
      <c r="AZ73" t="inlineStr">
        <is>
          <t>BOOK</t>
        </is>
      </c>
      <c r="BC73" t="inlineStr">
        <is>
          <t>32285001851418</t>
        </is>
      </c>
      <c r="BD73" t="inlineStr">
        <is>
          <t>893807602</t>
        </is>
      </c>
    </row>
    <row r="74">
      <c r="A74" t="inlineStr">
        <is>
          <t>No</t>
        </is>
      </c>
      <c r="B74" t="inlineStr">
        <is>
          <t>RA407 .F35 1990</t>
        </is>
      </c>
      <c r="C74" t="inlineStr">
        <is>
          <t>0                      RA 0407000F  35          1990</t>
        </is>
      </c>
      <c r="D74" t="inlineStr">
        <is>
          <t>The quality of life : the missing measurement in health care / Lesley Fallowfield.</t>
        </is>
      </c>
      <c r="F74" t="inlineStr">
        <is>
          <t>No</t>
        </is>
      </c>
      <c r="G74" t="inlineStr">
        <is>
          <t>1</t>
        </is>
      </c>
      <c r="H74" t="inlineStr">
        <is>
          <t>No</t>
        </is>
      </c>
      <c r="I74" t="inlineStr">
        <is>
          <t>No</t>
        </is>
      </c>
      <c r="J74" t="inlineStr">
        <is>
          <t>0</t>
        </is>
      </c>
      <c r="K74" t="inlineStr">
        <is>
          <t>Fallowfield, Lesley.</t>
        </is>
      </c>
      <c r="L74" t="inlineStr">
        <is>
          <t>London : Souvenir, 1990.</t>
        </is>
      </c>
      <c r="M74" t="inlineStr">
        <is>
          <t>1990</t>
        </is>
      </c>
      <c r="O74" t="inlineStr">
        <is>
          <t>eng</t>
        </is>
      </c>
      <c r="P74" t="inlineStr">
        <is>
          <t>enk</t>
        </is>
      </c>
      <c r="Q74" t="inlineStr">
        <is>
          <t>Human horizons series</t>
        </is>
      </c>
      <c r="R74" t="inlineStr">
        <is>
          <t xml:space="preserve">RA </t>
        </is>
      </c>
      <c r="S74" t="n">
        <v>10</v>
      </c>
      <c r="T74" t="n">
        <v>10</v>
      </c>
      <c r="U74" t="inlineStr">
        <is>
          <t>1999-02-21</t>
        </is>
      </c>
      <c r="V74" t="inlineStr">
        <is>
          <t>1999-02-21</t>
        </is>
      </c>
      <c r="W74" t="inlineStr">
        <is>
          <t>1993-04-13</t>
        </is>
      </c>
      <c r="X74" t="inlineStr">
        <is>
          <t>1993-04-13</t>
        </is>
      </c>
      <c r="Y74" t="n">
        <v>324</v>
      </c>
      <c r="Z74" t="n">
        <v>210</v>
      </c>
      <c r="AA74" t="n">
        <v>225</v>
      </c>
      <c r="AB74" t="n">
        <v>2</v>
      </c>
      <c r="AC74" t="n">
        <v>2</v>
      </c>
      <c r="AD74" t="n">
        <v>12</v>
      </c>
      <c r="AE74" t="n">
        <v>12</v>
      </c>
      <c r="AF74" t="n">
        <v>4</v>
      </c>
      <c r="AG74" t="n">
        <v>4</v>
      </c>
      <c r="AH74" t="n">
        <v>3</v>
      </c>
      <c r="AI74" t="n">
        <v>3</v>
      </c>
      <c r="AJ74" t="n">
        <v>8</v>
      </c>
      <c r="AK74" t="n">
        <v>8</v>
      </c>
      <c r="AL74" t="n">
        <v>1</v>
      </c>
      <c r="AM74" t="n">
        <v>1</v>
      </c>
      <c r="AN74" t="n">
        <v>0</v>
      </c>
      <c r="AO74" t="n">
        <v>0</v>
      </c>
      <c r="AP74" t="inlineStr">
        <is>
          <t>No</t>
        </is>
      </c>
      <c r="AQ74" t="inlineStr">
        <is>
          <t>Yes</t>
        </is>
      </c>
      <c r="AR74">
        <f>HYPERLINK("http://catalog.hathitrust.org/Record/002228751","HathiTrust Record")</f>
        <v/>
      </c>
      <c r="AS74">
        <f>HYPERLINK("https://creighton-primo.hosted.exlibrisgroup.com/primo-explore/search?tab=default_tab&amp;search_scope=EVERYTHING&amp;vid=01CRU&amp;lang=en_US&amp;offset=0&amp;query=any,contains,991001739379702656","Catalog Record")</f>
        <v/>
      </c>
      <c r="AT74">
        <f>HYPERLINK("http://www.worldcat.org/oclc/28674664","WorldCat Record")</f>
        <v/>
      </c>
      <c r="AU74" t="inlineStr">
        <is>
          <t>29380245:eng</t>
        </is>
      </c>
      <c r="AV74" t="inlineStr">
        <is>
          <t>28674664</t>
        </is>
      </c>
      <c r="AW74" t="inlineStr">
        <is>
          <t>991001739379702656</t>
        </is>
      </c>
      <c r="AX74" t="inlineStr">
        <is>
          <t>991001739379702656</t>
        </is>
      </c>
      <c r="AY74" t="inlineStr">
        <is>
          <t>2270012150002656</t>
        </is>
      </c>
      <c r="AZ74" t="inlineStr">
        <is>
          <t>BOOK</t>
        </is>
      </c>
      <c r="BB74" t="inlineStr">
        <is>
          <t>9780285629523</t>
        </is>
      </c>
      <c r="BC74" t="inlineStr">
        <is>
          <t>32285001445336</t>
        </is>
      </c>
      <c r="BD74" t="inlineStr">
        <is>
          <t>893346740</t>
        </is>
      </c>
    </row>
    <row r="75">
      <c r="A75" t="inlineStr">
        <is>
          <t>No</t>
        </is>
      </c>
      <c r="B75" t="inlineStr">
        <is>
          <t>RA409 .D35 1983</t>
        </is>
      </c>
      <c r="C75" t="inlineStr">
        <is>
          <t>0                      RA 0409000D  35          1983</t>
        </is>
      </c>
      <c r="D75" t="inlineStr">
        <is>
          <t>Biostatistics : a foundation for analysis in the health sciences / Wayne W. Daniel.</t>
        </is>
      </c>
      <c r="F75" t="inlineStr">
        <is>
          <t>No</t>
        </is>
      </c>
      <c r="G75" t="inlineStr">
        <is>
          <t>1</t>
        </is>
      </c>
      <c r="H75" t="inlineStr">
        <is>
          <t>No</t>
        </is>
      </c>
      <c r="I75" t="inlineStr">
        <is>
          <t>Yes</t>
        </is>
      </c>
      <c r="J75" t="inlineStr">
        <is>
          <t>0</t>
        </is>
      </c>
      <c r="K75" t="inlineStr">
        <is>
          <t>Daniel, Wayne W., 1929-</t>
        </is>
      </c>
      <c r="L75" t="inlineStr">
        <is>
          <t>New York : Wiley, 1983.</t>
        </is>
      </c>
      <c r="M75" t="inlineStr">
        <is>
          <t>1983</t>
        </is>
      </c>
      <c r="N75" t="inlineStr">
        <is>
          <t>3rd ed.</t>
        </is>
      </c>
      <c r="O75" t="inlineStr">
        <is>
          <t>eng</t>
        </is>
      </c>
      <c r="P75" t="inlineStr">
        <is>
          <t>nyu</t>
        </is>
      </c>
      <c r="Q75" t="inlineStr">
        <is>
          <t>Wiley series in probability and mathematical statistics, 0271-6356</t>
        </is>
      </c>
      <c r="R75" t="inlineStr">
        <is>
          <t xml:space="preserve">RA </t>
        </is>
      </c>
      <c r="S75" t="n">
        <v>9</v>
      </c>
      <c r="T75" t="n">
        <v>9</v>
      </c>
      <c r="U75" t="inlineStr">
        <is>
          <t>2001-08-10</t>
        </is>
      </c>
      <c r="V75" t="inlineStr">
        <is>
          <t>2001-08-10</t>
        </is>
      </c>
      <c r="W75" t="inlineStr">
        <is>
          <t>1991-12-06</t>
        </is>
      </c>
      <c r="X75" t="inlineStr">
        <is>
          <t>1991-12-06</t>
        </is>
      </c>
      <c r="Y75" t="n">
        <v>239</v>
      </c>
      <c r="Z75" t="n">
        <v>169</v>
      </c>
      <c r="AA75" t="n">
        <v>780</v>
      </c>
      <c r="AB75" t="n">
        <v>1</v>
      </c>
      <c r="AC75" t="n">
        <v>6</v>
      </c>
      <c r="AD75" t="n">
        <v>4</v>
      </c>
      <c r="AE75" t="n">
        <v>31</v>
      </c>
      <c r="AF75" t="n">
        <v>0</v>
      </c>
      <c r="AG75" t="n">
        <v>10</v>
      </c>
      <c r="AH75" t="n">
        <v>2</v>
      </c>
      <c r="AI75" t="n">
        <v>10</v>
      </c>
      <c r="AJ75" t="n">
        <v>4</v>
      </c>
      <c r="AK75" t="n">
        <v>17</v>
      </c>
      <c r="AL75" t="n">
        <v>0</v>
      </c>
      <c r="AM75" t="n">
        <v>3</v>
      </c>
      <c r="AN75" t="n">
        <v>0</v>
      </c>
      <c r="AO75" t="n">
        <v>0</v>
      </c>
      <c r="AP75" t="inlineStr">
        <is>
          <t>No</t>
        </is>
      </c>
      <c r="AQ75" t="inlineStr">
        <is>
          <t>Yes</t>
        </is>
      </c>
      <c r="AR75">
        <f>HYPERLINK("http://catalog.hathitrust.org/Record/000308158","HathiTrust Record")</f>
        <v/>
      </c>
      <c r="AS75">
        <f>HYPERLINK("https://creighton-primo.hosted.exlibrisgroup.com/primo-explore/search?tab=default_tab&amp;search_scope=EVERYTHING&amp;vid=01CRU&amp;lang=en_US&amp;offset=0&amp;query=any,contains,991000028239702656","Catalog Record")</f>
        <v/>
      </c>
      <c r="AT75">
        <f>HYPERLINK("http://www.worldcat.org/oclc/8590463","WorldCat Record")</f>
        <v/>
      </c>
      <c r="AU75" t="inlineStr">
        <is>
          <t>1823591:eng</t>
        </is>
      </c>
      <c r="AV75" t="inlineStr">
        <is>
          <t>8590463</t>
        </is>
      </c>
      <c r="AW75" t="inlineStr">
        <is>
          <t>991000028239702656</t>
        </is>
      </c>
      <c r="AX75" t="inlineStr">
        <is>
          <t>991000028239702656</t>
        </is>
      </c>
      <c r="AY75" t="inlineStr">
        <is>
          <t>2272079150002656</t>
        </is>
      </c>
      <c r="AZ75" t="inlineStr">
        <is>
          <t>BOOK</t>
        </is>
      </c>
      <c r="BB75" t="inlineStr">
        <is>
          <t>9780471097532</t>
        </is>
      </c>
      <c r="BC75" t="inlineStr">
        <is>
          <t>32285000837848</t>
        </is>
      </c>
      <c r="BD75" t="inlineStr">
        <is>
          <t>893595190</t>
        </is>
      </c>
    </row>
    <row r="76">
      <c r="A76" t="inlineStr">
        <is>
          <t>No</t>
        </is>
      </c>
      <c r="B76" t="inlineStr">
        <is>
          <t>RA409 .M43 1986</t>
        </is>
      </c>
      <c r="C76" t="inlineStr">
        <is>
          <t>0                      RA 0409000M  43          1986</t>
        </is>
      </c>
      <c r="D76" t="inlineStr">
        <is>
          <t>Medical uses of statistics / edited by John C. Bailar III, Frederick Mosteller.</t>
        </is>
      </c>
      <c r="F76" t="inlineStr">
        <is>
          <t>No</t>
        </is>
      </c>
      <c r="G76" t="inlineStr">
        <is>
          <t>1</t>
        </is>
      </c>
      <c r="H76" t="inlineStr">
        <is>
          <t>Yes</t>
        </is>
      </c>
      <c r="I76" t="inlineStr">
        <is>
          <t>No</t>
        </is>
      </c>
      <c r="J76" t="inlineStr">
        <is>
          <t>0</t>
        </is>
      </c>
      <c r="L76" t="inlineStr">
        <is>
          <t>Waltham, Mass. : NEJM Books, 1986.</t>
        </is>
      </c>
      <c r="M76" t="inlineStr">
        <is>
          <t>1986</t>
        </is>
      </c>
      <c r="O76" t="inlineStr">
        <is>
          <t>eng</t>
        </is>
      </c>
      <c r="P76" t="inlineStr">
        <is>
          <t>mau</t>
        </is>
      </c>
      <c r="R76" t="inlineStr">
        <is>
          <t xml:space="preserve">RA </t>
        </is>
      </c>
      <c r="S76" t="n">
        <v>3</v>
      </c>
      <c r="T76" t="n">
        <v>3</v>
      </c>
      <c r="U76" t="inlineStr">
        <is>
          <t>1995-06-03</t>
        </is>
      </c>
      <c r="V76" t="inlineStr">
        <is>
          <t>1995-06-03</t>
        </is>
      </c>
      <c r="W76" t="inlineStr">
        <is>
          <t>1990-03-08</t>
        </is>
      </c>
      <c r="X76" t="inlineStr">
        <is>
          <t>1990-03-08</t>
        </is>
      </c>
      <c r="Y76" t="n">
        <v>257</v>
      </c>
      <c r="Z76" t="n">
        <v>187</v>
      </c>
      <c r="AA76" t="n">
        <v>619</v>
      </c>
      <c r="AB76" t="n">
        <v>3</v>
      </c>
      <c r="AC76" t="n">
        <v>4</v>
      </c>
      <c r="AD76" t="n">
        <v>1</v>
      </c>
      <c r="AE76" t="n">
        <v>24</v>
      </c>
      <c r="AF76" t="n">
        <v>0</v>
      </c>
      <c r="AG76" t="n">
        <v>9</v>
      </c>
      <c r="AH76" t="n">
        <v>0</v>
      </c>
      <c r="AI76" t="n">
        <v>6</v>
      </c>
      <c r="AJ76" t="n">
        <v>0</v>
      </c>
      <c r="AK76" t="n">
        <v>10</v>
      </c>
      <c r="AL76" t="n">
        <v>1</v>
      </c>
      <c r="AM76" t="n">
        <v>2</v>
      </c>
      <c r="AN76" t="n">
        <v>0</v>
      </c>
      <c r="AO76" t="n">
        <v>2</v>
      </c>
      <c r="AP76" t="inlineStr">
        <is>
          <t>No</t>
        </is>
      </c>
      <c r="AQ76" t="inlineStr">
        <is>
          <t>Yes</t>
        </is>
      </c>
      <c r="AR76">
        <f>HYPERLINK("http://catalog.hathitrust.org/Record/000832596","HathiTrust Record")</f>
        <v/>
      </c>
      <c r="AS76">
        <f>HYPERLINK("https://creighton-primo.hosted.exlibrisgroup.com/primo-explore/search?tab=default_tab&amp;search_scope=EVERYTHING&amp;vid=01CRU&amp;lang=en_US&amp;offset=0&amp;query=any,contains,991000804839702656","Catalog Record")</f>
        <v/>
      </c>
      <c r="AT76">
        <f>HYPERLINK("http://www.worldcat.org/oclc/13270827","WorldCat Record")</f>
        <v/>
      </c>
      <c r="AU76" t="inlineStr">
        <is>
          <t>509890106:eng</t>
        </is>
      </c>
      <c r="AV76" t="inlineStr">
        <is>
          <t>13270827</t>
        </is>
      </c>
      <c r="AW76" t="inlineStr">
        <is>
          <t>991000804839702656</t>
        </is>
      </c>
      <c r="AX76" t="inlineStr">
        <is>
          <t>991000804839702656</t>
        </is>
      </c>
      <c r="AY76" t="inlineStr">
        <is>
          <t>2271780490002656</t>
        </is>
      </c>
      <c r="AZ76" t="inlineStr">
        <is>
          <t>BOOK</t>
        </is>
      </c>
      <c r="BB76" t="inlineStr">
        <is>
          <t>9780910133166</t>
        </is>
      </c>
      <c r="BC76" t="inlineStr">
        <is>
          <t>32285000043157</t>
        </is>
      </c>
      <c r="BD76" t="inlineStr">
        <is>
          <t>893771975</t>
        </is>
      </c>
    </row>
    <row r="77">
      <c r="A77" t="inlineStr">
        <is>
          <t>No</t>
        </is>
      </c>
      <c r="B77" t="inlineStr">
        <is>
          <t>RA409 .W62 1987</t>
        </is>
      </c>
      <c r="C77" t="inlineStr">
        <is>
          <t>0                      RA 0409000W  62          1987</t>
        </is>
      </c>
      <c r="D77" t="inlineStr">
        <is>
          <t>Statistical methods for the analysis of biomedical data / Robert F. Woolson.</t>
        </is>
      </c>
      <c r="F77" t="inlineStr">
        <is>
          <t>No</t>
        </is>
      </c>
      <c r="G77" t="inlineStr">
        <is>
          <t>1</t>
        </is>
      </c>
      <c r="H77" t="inlineStr">
        <is>
          <t>No</t>
        </is>
      </c>
      <c r="I77" t="inlineStr">
        <is>
          <t>No</t>
        </is>
      </c>
      <c r="J77" t="inlineStr">
        <is>
          <t>0</t>
        </is>
      </c>
      <c r="K77" t="inlineStr">
        <is>
          <t>Woolson, Robert F.</t>
        </is>
      </c>
      <c r="L77" t="inlineStr">
        <is>
          <t>New York : Wiley, 1987.</t>
        </is>
      </c>
      <c r="M77" t="inlineStr">
        <is>
          <t>1987</t>
        </is>
      </c>
      <c r="O77" t="inlineStr">
        <is>
          <t>eng</t>
        </is>
      </c>
      <c r="P77" t="inlineStr">
        <is>
          <t>nyu</t>
        </is>
      </c>
      <c r="Q77" t="inlineStr">
        <is>
          <t>Wiley series in probability and mathematical statistics. Applied probability and statistics, 0271-6356</t>
        </is>
      </c>
      <c r="R77" t="inlineStr">
        <is>
          <t xml:space="preserve">RA </t>
        </is>
      </c>
      <c r="S77" t="n">
        <v>7</v>
      </c>
      <c r="T77" t="n">
        <v>7</v>
      </c>
      <c r="U77" t="inlineStr">
        <is>
          <t>2001-02-02</t>
        </is>
      </c>
      <c r="V77" t="inlineStr">
        <is>
          <t>2001-02-02</t>
        </is>
      </c>
      <c r="W77" t="inlineStr">
        <is>
          <t>1992-11-13</t>
        </is>
      </c>
      <c r="X77" t="inlineStr">
        <is>
          <t>1992-11-13</t>
        </is>
      </c>
      <c r="Y77" t="n">
        <v>345</v>
      </c>
      <c r="Z77" t="n">
        <v>253</v>
      </c>
      <c r="AA77" t="n">
        <v>371</v>
      </c>
      <c r="AB77" t="n">
        <v>2</v>
      </c>
      <c r="AC77" t="n">
        <v>4</v>
      </c>
      <c r="AD77" t="n">
        <v>8</v>
      </c>
      <c r="AE77" t="n">
        <v>18</v>
      </c>
      <c r="AF77" t="n">
        <v>4</v>
      </c>
      <c r="AG77" t="n">
        <v>6</v>
      </c>
      <c r="AH77" t="n">
        <v>3</v>
      </c>
      <c r="AI77" t="n">
        <v>7</v>
      </c>
      <c r="AJ77" t="n">
        <v>2</v>
      </c>
      <c r="AK77" t="n">
        <v>6</v>
      </c>
      <c r="AL77" t="n">
        <v>1</v>
      </c>
      <c r="AM77" t="n">
        <v>3</v>
      </c>
      <c r="AN77" t="n">
        <v>0</v>
      </c>
      <c r="AO77" t="n">
        <v>0</v>
      </c>
      <c r="AP77" t="inlineStr">
        <is>
          <t>No</t>
        </is>
      </c>
      <c r="AQ77" t="inlineStr">
        <is>
          <t>Yes</t>
        </is>
      </c>
      <c r="AR77">
        <f>HYPERLINK("http://catalog.hathitrust.org/Record/000880793","HathiTrust Record")</f>
        <v/>
      </c>
      <c r="AS77">
        <f>HYPERLINK("https://creighton-primo.hosted.exlibrisgroup.com/primo-explore/search?tab=default_tab&amp;search_scope=EVERYTHING&amp;vid=01CRU&amp;lang=en_US&amp;offset=0&amp;query=any,contains,991001011049702656","Catalog Record")</f>
        <v/>
      </c>
      <c r="AT77">
        <f>HYPERLINK("http://www.worldcat.org/oclc/15283456","WorldCat Record")</f>
        <v/>
      </c>
      <c r="AU77" t="inlineStr">
        <is>
          <t>6394446:eng</t>
        </is>
      </c>
      <c r="AV77" t="inlineStr">
        <is>
          <t>15283456</t>
        </is>
      </c>
      <c r="AW77" t="inlineStr">
        <is>
          <t>991001011049702656</t>
        </is>
      </c>
      <c r="AX77" t="inlineStr">
        <is>
          <t>991001011049702656</t>
        </is>
      </c>
      <c r="AY77" t="inlineStr">
        <is>
          <t>2264326050002656</t>
        </is>
      </c>
      <c r="AZ77" t="inlineStr">
        <is>
          <t>BOOK</t>
        </is>
      </c>
      <c r="BB77" t="inlineStr">
        <is>
          <t>9780471806158</t>
        </is>
      </c>
      <c r="BC77" t="inlineStr">
        <is>
          <t>32285001384782</t>
        </is>
      </c>
      <c r="BD77" t="inlineStr">
        <is>
          <t>893413878</t>
        </is>
      </c>
    </row>
    <row r="78">
      <c r="A78" t="inlineStr">
        <is>
          <t>No</t>
        </is>
      </c>
      <c r="B78" t="inlineStr">
        <is>
          <t>RA410 .S6</t>
        </is>
      </c>
      <c r="C78" t="inlineStr">
        <is>
          <t>0                      RA 0410000S  6</t>
        </is>
      </c>
      <c r="D78" t="inlineStr">
        <is>
          <t>Doctors, patients, and health insurance : the organization and financing of medical care / by Herman Miles Somers [and] Anne Ramsay Somers.</t>
        </is>
      </c>
      <c r="F78" t="inlineStr">
        <is>
          <t>No</t>
        </is>
      </c>
      <c r="G78" t="inlineStr">
        <is>
          <t>1</t>
        </is>
      </c>
      <c r="H78" t="inlineStr">
        <is>
          <t>No</t>
        </is>
      </c>
      <c r="I78" t="inlineStr">
        <is>
          <t>No</t>
        </is>
      </c>
      <c r="J78" t="inlineStr">
        <is>
          <t>0</t>
        </is>
      </c>
      <c r="K78" t="inlineStr">
        <is>
          <t>Somers, Herman Miles, 1911-1991.</t>
        </is>
      </c>
      <c r="L78" t="inlineStr">
        <is>
          <t>Washington : Brookings Institution, [1961]</t>
        </is>
      </c>
      <c r="M78" t="inlineStr">
        <is>
          <t>1961</t>
        </is>
      </c>
      <c r="O78" t="inlineStr">
        <is>
          <t>eng</t>
        </is>
      </c>
      <c r="P78" t="inlineStr">
        <is>
          <t>dcu</t>
        </is>
      </c>
      <c r="R78" t="inlineStr">
        <is>
          <t xml:space="preserve">RA </t>
        </is>
      </c>
      <c r="S78" t="n">
        <v>5</v>
      </c>
      <c r="T78" t="n">
        <v>5</v>
      </c>
      <c r="U78" t="inlineStr">
        <is>
          <t>1999-11-29</t>
        </is>
      </c>
      <c r="V78" t="inlineStr">
        <is>
          <t>1999-11-29</t>
        </is>
      </c>
      <c r="W78" t="inlineStr">
        <is>
          <t>1992-12-10</t>
        </is>
      </c>
      <c r="X78" t="inlineStr">
        <is>
          <t>1992-12-10</t>
        </is>
      </c>
      <c r="Y78" t="n">
        <v>589</v>
      </c>
      <c r="Z78" t="n">
        <v>516</v>
      </c>
      <c r="AA78" t="n">
        <v>546</v>
      </c>
      <c r="AB78" t="n">
        <v>5</v>
      </c>
      <c r="AC78" t="n">
        <v>5</v>
      </c>
      <c r="AD78" t="n">
        <v>21</v>
      </c>
      <c r="AE78" t="n">
        <v>22</v>
      </c>
      <c r="AF78" t="n">
        <v>2</v>
      </c>
      <c r="AG78" t="n">
        <v>3</v>
      </c>
      <c r="AH78" t="n">
        <v>4</v>
      </c>
      <c r="AI78" t="n">
        <v>4</v>
      </c>
      <c r="AJ78" t="n">
        <v>11</v>
      </c>
      <c r="AK78" t="n">
        <v>11</v>
      </c>
      <c r="AL78" t="n">
        <v>3</v>
      </c>
      <c r="AM78" t="n">
        <v>3</v>
      </c>
      <c r="AN78" t="n">
        <v>6</v>
      </c>
      <c r="AO78" t="n">
        <v>6</v>
      </c>
      <c r="AP78" t="inlineStr">
        <is>
          <t>No</t>
        </is>
      </c>
      <c r="AQ78" t="inlineStr">
        <is>
          <t>Yes</t>
        </is>
      </c>
      <c r="AR78">
        <f>HYPERLINK("http://catalog.hathitrust.org/Record/001577334","HathiTrust Record")</f>
        <v/>
      </c>
      <c r="AS78">
        <f>HYPERLINK("https://creighton-primo.hosted.exlibrisgroup.com/primo-explore/search?tab=default_tab&amp;search_scope=EVERYTHING&amp;vid=01CRU&amp;lang=en_US&amp;offset=0&amp;query=any,contains,991003082739702656","Catalog Record")</f>
        <v/>
      </c>
      <c r="AT78">
        <f>HYPERLINK("http://www.worldcat.org/oclc/634547","WorldCat Record")</f>
        <v/>
      </c>
      <c r="AU78" t="inlineStr">
        <is>
          <t>288938131:eng</t>
        </is>
      </c>
      <c r="AV78" t="inlineStr">
        <is>
          <t>634547</t>
        </is>
      </c>
      <c r="AW78" t="inlineStr">
        <is>
          <t>991003082739702656</t>
        </is>
      </c>
      <c r="AX78" t="inlineStr">
        <is>
          <t>991003082739702656</t>
        </is>
      </c>
      <c r="AY78" t="inlineStr">
        <is>
          <t>2255484200002656</t>
        </is>
      </c>
      <c r="AZ78" t="inlineStr">
        <is>
          <t>BOOK</t>
        </is>
      </c>
      <c r="BC78" t="inlineStr">
        <is>
          <t>32285001414886</t>
        </is>
      </c>
      <c r="BD78" t="inlineStr">
        <is>
          <t>893227660</t>
        </is>
      </c>
    </row>
    <row r="79">
      <c r="A79" t="inlineStr">
        <is>
          <t>No</t>
        </is>
      </c>
      <c r="B79" t="inlineStr">
        <is>
          <t>RA410.5 .C65 1982</t>
        </is>
      </c>
      <c r="C79" t="inlineStr">
        <is>
          <t>0                      RA 0410500C  65          1982</t>
        </is>
      </c>
      <c r="D79" t="inlineStr">
        <is>
          <t>Health care marketing management : a case approach / Philip D. Cooper, Larry M. Robinson.</t>
        </is>
      </c>
      <c r="F79" t="inlineStr">
        <is>
          <t>No</t>
        </is>
      </c>
      <c r="G79" t="inlineStr">
        <is>
          <t>1</t>
        </is>
      </c>
      <c r="H79" t="inlineStr">
        <is>
          <t>No</t>
        </is>
      </c>
      <c r="I79" t="inlineStr">
        <is>
          <t>No</t>
        </is>
      </c>
      <c r="J79" t="inlineStr">
        <is>
          <t>0</t>
        </is>
      </c>
      <c r="K79" t="inlineStr">
        <is>
          <t>Cooper, Philip D., 1942-</t>
        </is>
      </c>
      <c r="L79" t="inlineStr">
        <is>
          <t>Rockville, Md. : Aspen Systems Corp., 1982.</t>
        </is>
      </c>
      <c r="M79" t="inlineStr">
        <is>
          <t>1982</t>
        </is>
      </c>
      <c r="O79" t="inlineStr">
        <is>
          <t>eng</t>
        </is>
      </c>
      <c r="P79" t="inlineStr">
        <is>
          <t>mdu</t>
        </is>
      </c>
      <c r="R79" t="inlineStr">
        <is>
          <t xml:space="preserve">RA </t>
        </is>
      </c>
      <c r="S79" t="n">
        <v>3</v>
      </c>
      <c r="T79" t="n">
        <v>3</v>
      </c>
      <c r="U79" t="inlineStr">
        <is>
          <t>2000-11-09</t>
        </is>
      </c>
      <c r="V79" t="inlineStr">
        <is>
          <t>2000-11-09</t>
        </is>
      </c>
      <c r="W79" t="inlineStr">
        <is>
          <t>1990-02-21</t>
        </is>
      </c>
      <c r="X79" t="inlineStr">
        <is>
          <t>1990-02-21</t>
        </is>
      </c>
      <c r="Y79" t="n">
        <v>180</v>
      </c>
      <c r="Z79" t="n">
        <v>175</v>
      </c>
      <c r="AA79" t="n">
        <v>180</v>
      </c>
      <c r="AB79" t="n">
        <v>2</v>
      </c>
      <c r="AC79" t="n">
        <v>2</v>
      </c>
      <c r="AD79" t="n">
        <v>6</v>
      </c>
      <c r="AE79" t="n">
        <v>6</v>
      </c>
      <c r="AF79" t="n">
        <v>1</v>
      </c>
      <c r="AG79" t="n">
        <v>1</v>
      </c>
      <c r="AH79" t="n">
        <v>1</v>
      </c>
      <c r="AI79" t="n">
        <v>1</v>
      </c>
      <c r="AJ79" t="n">
        <v>4</v>
      </c>
      <c r="AK79" t="n">
        <v>4</v>
      </c>
      <c r="AL79" t="n">
        <v>1</v>
      </c>
      <c r="AM79" t="n">
        <v>1</v>
      </c>
      <c r="AN79" t="n">
        <v>0</v>
      </c>
      <c r="AO79" t="n">
        <v>0</v>
      </c>
      <c r="AP79" t="inlineStr">
        <is>
          <t>No</t>
        </is>
      </c>
      <c r="AQ79" t="inlineStr">
        <is>
          <t>No</t>
        </is>
      </c>
      <c r="AS79">
        <f>HYPERLINK("https://creighton-primo.hosted.exlibrisgroup.com/primo-explore/search?tab=default_tab&amp;search_scope=EVERYTHING&amp;vid=01CRU&amp;lang=en_US&amp;offset=0&amp;query=any,contains,991005226279702656","Catalog Record")</f>
        <v/>
      </c>
      <c r="AT79">
        <f>HYPERLINK("http://www.worldcat.org/oclc/8282924","WorldCat Record")</f>
        <v/>
      </c>
      <c r="AU79" t="inlineStr">
        <is>
          <t>2590927200:eng</t>
        </is>
      </c>
      <c r="AV79" t="inlineStr">
        <is>
          <t>8282924</t>
        </is>
      </c>
      <c r="AW79" t="inlineStr">
        <is>
          <t>991005226279702656</t>
        </is>
      </c>
      <c r="AX79" t="inlineStr">
        <is>
          <t>991005226279702656</t>
        </is>
      </c>
      <c r="AY79" t="inlineStr">
        <is>
          <t>2268757230002656</t>
        </is>
      </c>
      <c r="AZ79" t="inlineStr">
        <is>
          <t>BOOK</t>
        </is>
      </c>
      <c r="BB79" t="inlineStr">
        <is>
          <t>9780894433948</t>
        </is>
      </c>
      <c r="BC79" t="inlineStr">
        <is>
          <t>32285000056555</t>
        </is>
      </c>
      <c r="BD79" t="inlineStr">
        <is>
          <t>893808035</t>
        </is>
      </c>
    </row>
    <row r="80">
      <c r="A80" t="inlineStr">
        <is>
          <t>No</t>
        </is>
      </c>
      <c r="B80" t="inlineStr">
        <is>
          <t>RA410.5 .D73 2003</t>
        </is>
      </c>
      <c r="C80" t="inlineStr">
        <is>
          <t>0                      RA 0410500D  73          2003</t>
        </is>
      </c>
      <c r="D80" t="inlineStr">
        <is>
          <t>What's your life worth? : health care rationing-- who lives? who dies? who decides? / David Dranove.</t>
        </is>
      </c>
      <c r="F80" t="inlineStr">
        <is>
          <t>No</t>
        </is>
      </c>
      <c r="G80" t="inlineStr">
        <is>
          <t>1</t>
        </is>
      </c>
      <c r="H80" t="inlineStr">
        <is>
          <t>No</t>
        </is>
      </c>
      <c r="I80" t="inlineStr">
        <is>
          <t>No</t>
        </is>
      </c>
      <c r="J80" t="inlineStr">
        <is>
          <t>0</t>
        </is>
      </c>
      <c r="K80" t="inlineStr">
        <is>
          <t>Dranove, David.</t>
        </is>
      </c>
      <c r="L80" t="inlineStr">
        <is>
          <t>Upper Saddle River, NJ : FT Prentice Hall, c2003.</t>
        </is>
      </c>
      <c r="M80" t="inlineStr">
        <is>
          <t>2003</t>
        </is>
      </c>
      <c r="O80" t="inlineStr">
        <is>
          <t>eng</t>
        </is>
      </c>
      <c r="P80" t="inlineStr">
        <is>
          <t>nju</t>
        </is>
      </c>
      <c r="R80" t="inlineStr">
        <is>
          <t xml:space="preserve">RA </t>
        </is>
      </c>
      <c r="S80" t="n">
        <v>2</v>
      </c>
      <c r="T80" t="n">
        <v>2</v>
      </c>
      <c r="U80" t="inlineStr">
        <is>
          <t>2005-09-14</t>
        </is>
      </c>
      <c r="V80" t="inlineStr">
        <is>
          <t>2005-09-14</t>
        </is>
      </c>
      <c r="W80" t="inlineStr">
        <is>
          <t>2004-01-06</t>
        </is>
      </c>
      <c r="X80" t="inlineStr">
        <is>
          <t>2004-01-06</t>
        </is>
      </c>
      <c r="Y80" t="n">
        <v>545</v>
      </c>
      <c r="Z80" t="n">
        <v>494</v>
      </c>
      <c r="AA80" t="n">
        <v>920</v>
      </c>
      <c r="AB80" t="n">
        <v>5</v>
      </c>
      <c r="AC80" t="n">
        <v>5</v>
      </c>
      <c r="AD80" t="n">
        <v>21</v>
      </c>
      <c r="AE80" t="n">
        <v>24</v>
      </c>
      <c r="AF80" t="n">
        <v>8</v>
      </c>
      <c r="AG80" t="n">
        <v>9</v>
      </c>
      <c r="AH80" t="n">
        <v>4</v>
      </c>
      <c r="AI80" t="n">
        <v>6</v>
      </c>
      <c r="AJ80" t="n">
        <v>9</v>
      </c>
      <c r="AK80" t="n">
        <v>10</v>
      </c>
      <c r="AL80" t="n">
        <v>4</v>
      </c>
      <c r="AM80" t="n">
        <v>4</v>
      </c>
      <c r="AN80" t="n">
        <v>0</v>
      </c>
      <c r="AO80" t="n">
        <v>0</v>
      </c>
      <c r="AP80" t="inlineStr">
        <is>
          <t>No</t>
        </is>
      </c>
      <c r="AQ80" t="inlineStr">
        <is>
          <t>No</t>
        </is>
      </c>
      <c r="AS80">
        <f>HYPERLINK("https://creighton-primo.hosted.exlibrisgroup.com/primo-explore/search?tab=default_tab&amp;search_scope=EVERYTHING&amp;vid=01CRU&amp;lang=en_US&amp;offset=0&amp;query=any,contains,991004180509702656","Catalog Record")</f>
        <v/>
      </c>
      <c r="AT80">
        <f>HYPERLINK("http://www.worldcat.org/oclc/51907191","WorldCat Record")</f>
        <v/>
      </c>
      <c r="AU80" t="inlineStr">
        <is>
          <t>800656250:eng</t>
        </is>
      </c>
      <c r="AV80" t="inlineStr">
        <is>
          <t>51907191</t>
        </is>
      </c>
      <c r="AW80" t="inlineStr">
        <is>
          <t>991004180509702656</t>
        </is>
      </c>
      <c r="AX80" t="inlineStr">
        <is>
          <t>991004180509702656</t>
        </is>
      </c>
      <c r="AY80" t="inlineStr">
        <is>
          <t>2255984540002656</t>
        </is>
      </c>
      <c r="AZ80" t="inlineStr">
        <is>
          <t>BOOK</t>
        </is>
      </c>
      <c r="BB80" t="inlineStr">
        <is>
          <t>9780130671653</t>
        </is>
      </c>
      <c r="BC80" t="inlineStr">
        <is>
          <t>32285004849575</t>
        </is>
      </c>
      <c r="BD80" t="inlineStr">
        <is>
          <t>893532082</t>
        </is>
      </c>
    </row>
    <row r="81">
      <c r="A81" t="inlineStr">
        <is>
          <t>No</t>
        </is>
      </c>
      <c r="B81" t="inlineStr">
        <is>
          <t>RA410.5 .M329 1986</t>
        </is>
      </c>
      <c r="C81" t="inlineStr">
        <is>
          <t>0                      RA 0410500M  329         1986</t>
        </is>
      </c>
      <c r="D81" t="inlineStr">
        <is>
          <t>Managing health care marketing communications / Robin E. Scott MacStravic.</t>
        </is>
      </c>
      <c r="F81" t="inlineStr">
        <is>
          <t>No</t>
        </is>
      </c>
      <c r="G81" t="inlineStr">
        <is>
          <t>1</t>
        </is>
      </c>
      <c r="H81" t="inlineStr">
        <is>
          <t>No</t>
        </is>
      </c>
      <c r="I81" t="inlineStr">
        <is>
          <t>No</t>
        </is>
      </c>
      <c r="J81" t="inlineStr">
        <is>
          <t>0</t>
        </is>
      </c>
      <c r="K81" t="inlineStr">
        <is>
          <t>MacStravic, Robin E. Scott.</t>
        </is>
      </c>
      <c r="L81" t="inlineStr">
        <is>
          <t>Rockville, Md. : Aspen Systems Corp., 1986.</t>
        </is>
      </c>
      <c r="M81" t="inlineStr">
        <is>
          <t>1986</t>
        </is>
      </c>
      <c r="O81" t="inlineStr">
        <is>
          <t>eng</t>
        </is>
      </c>
      <c r="P81" t="inlineStr">
        <is>
          <t>mdu</t>
        </is>
      </c>
      <c r="R81" t="inlineStr">
        <is>
          <t xml:space="preserve">RA </t>
        </is>
      </c>
      <c r="S81" t="n">
        <v>3</v>
      </c>
      <c r="T81" t="n">
        <v>3</v>
      </c>
      <c r="U81" t="inlineStr">
        <is>
          <t>2004-10-24</t>
        </is>
      </c>
      <c r="V81" t="inlineStr">
        <is>
          <t>2004-10-24</t>
        </is>
      </c>
      <c r="W81" t="inlineStr">
        <is>
          <t>1990-03-01</t>
        </is>
      </c>
      <c r="X81" t="inlineStr">
        <is>
          <t>1990-03-01</t>
        </is>
      </c>
      <c r="Y81" t="n">
        <v>157</v>
      </c>
      <c r="Z81" t="n">
        <v>149</v>
      </c>
      <c r="AA81" t="n">
        <v>150</v>
      </c>
      <c r="AB81" t="n">
        <v>1</v>
      </c>
      <c r="AC81" t="n">
        <v>1</v>
      </c>
      <c r="AD81" t="n">
        <v>3</v>
      </c>
      <c r="AE81" t="n">
        <v>3</v>
      </c>
      <c r="AF81" t="n">
        <v>0</v>
      </c>
      <c r="AG81" t="n">
        <v>0</v>
      </c>
      <c r="AH81" t="n">
        <v>1</v>
      </c>
      <c r="AI81" t="n">
        <v>1</v>
      </c>
      <c r="AJ81" t="n">
        <v>3</v>
      </c>
      <c r="AK81" t="n">
        <v>3</v>
      </c>
      <c r="AL81" t="n">
        <v>0</v>
      </c>
      <c r="AM81" t="n">
        <v>0</v>
      </c>
      <c r="AN81" t="n">
        <v>0</v>
      </c>
      <c r="AO81" t="n">
        <v>0</v>
      </c>
      <c r="AP81" t="inlineStr">
        <is>
          <t>No</t>
        </is>
      </c>
      <c r="AQ81" t="inlineStr">
        <is>
          <t>No</t>
        </is>
      </c>
      <c r="AS81">
        <f>HYPERLINK("https://creighton-primo.hosted.exlibrisgroup.com/primo-explore/search?tab=default_tab&amp;search_scope=EVERYTHING&amp;vid=01CRU&amp;lang=en_US&amp;offset=0&amp;query=any,contains,991000650309702656","Catalog Record")</f>
        <v/>
      </c>
      <c r="AT81">
        <f>HYPERLINK("http://www.worldcat.org/oclc/12162592","WorldCat Record")</f>
        <v/>
      </c>
      <c r="AU81" t="inlineStr">
        <is>
          <t>4909816:eng</t>
        </is>
      </c>
      <c r="AV81" t="inlineStr">
        <is>
          <t>12162592</t>
        </is>
      </c>
      <c r="AW81" t="inlineStr">
        <is>
          <t>991000650309702656</t>
        </is>
      </c>
      <c r="AX81" t="inlineStr">
        <is>
          <t>991000650309702656</t>
        </is>
      </c>
      <c r="AY81" t="inlineStr">
        <is>
          <t>2272200530002656</t>
        </is>
      </c>
      <c r="AZ81" t="inlineStr">
        <is>
          <t>BOOK</t>
        </is>
      </c>
      <c r="BB81" t="inlineStr">
        <is>
          <t>9780871892317</t>
        </is>
      </c>
      <c r="BC81" t="inlineStr">
        <is>
          <t>32285000075316</t>
        </is>
      </c>
      <c r="BD81" t="inlineStr">
        <is>
          <t>893321225</t>
        </is>
      </c>
    </row>
    <row r="82">
      <c r="A82" t="inlineStr">
        <is>
          <t>No</t>
        </is>
      </c>
      <c r="B82" t="inlineStr">
        <is>
          <t>RA410.5 .N33</t>
        </is>
      </c>
      <c r="C82" t="inlineStr">
        <is>
          <t>0                      RA 0410500N  33</t>
        </is>
      </c>
      <c r="D82" t="inlineStr">
        <is>
          <t>Medicine under capitalism / Vicente Navarro.</t>
        </is>
      </c>
      <c r="F82" t="inlineStr">
        <is>
          <t>No</t>
        </is>
      </c>
      <c r="G82" t="inlineStr">
        <is>
          <t>1</t>
        </is>
      </c>
      <c r="H82" t="inlineStr">
        <is>
          <t>No</t>
        </is>
      </c>
      <c r="I82" t="inlineStr">
        <is>
          <t>No</t>
        </is>
      </c>
      <c r="J82" t="inlineStr">
        <is>
          <t>0</t>
        </is>
      </c>
      <c r="K82" t="inlineStr">
        <is>
          <t>Navarro, Vicente.</t>
        </is>
      </c>
      <c r="L82" t="inlineStr">
        <is>
          <t>New York : Prodist, c1976.</t>
        </is>
      </c>
      <c r="M82" t="inlineStr">
        <is>
          <t>1976</t>
        </is>
      </c>
      <c r="O82" t="inlineStr">
        <is>
          <t>eng</t>
        </is>
      </c>
      <c r="P82" t="inlineStr">
        <is>
          <t>nyu</t>
        </is>
      </c>
      <c r="R82" t="inlineStr">
        <is>
          <t xml:space="preserve">RA </t>
        </is>
      </c>
      <c r="S82" t="n">
        <v>7</v>
      </c>
      <c r="T82" t="n">
        <v>7</v>
      </c>
      <c r="U82" t="inlineStr">
        <is>
          <t>2001-08-29</t>
        </is>
      </c>
      <c r="V82" t="inlineStr">
        <is>
          <t>2001-08-29</t>
        </is>
      </c>
      <c r="W82" t="inlineStr">
        <is>
          <t>1990-06-06</t>
        </is>
      </c>
      <c r="X82" t="inlineStr">
        <is>
          <t>1990-06-06</t>
        </is>
      </c>
      <c r="Y82" t="n">
        <v>495</v>
      </c>
      <c r="Z82" t="n">
        <v>350</v>
      </c>
      <c r="AA82" t="n">
        <v>352</v>
      </c>
      <c r="AB82" t="n">
        <v>1</v>
      </c>
      <c r="AC82" t="n">
        <v>1</v>
      </c>
      <c r="AD82" t="n">
        <v>15</v>
      </c>
      <c r="AE82" t="n">
        <v>15</v>
      </c>
      <c r="AF82" t="n">
        <v>3</v>
      </c>
      <c r="AG82" t="n">
        <v>3</v>
      </c>
      <c r="AH82" t="n">
        <v>5</v>
      </c>
      <c r="AI82" t="n">
        <v>5</v>
      </c>
      <c r="AJ82" t="n">
        <v>11</v>
      </c>
      <c r="AK82" t="n">
        <v>11</v>
      </c>
      <c r="AL82" t="n">
        <v>0</v>
      </c>
      <c r="AM82" t="n">
        <v>0</v>
      </c>
      <c r="AN82" t="n">
        <v>1</v>
      </c>
      <c r="AO82" t="n">
        <v>1</v>
      </c>
      <c r="AP82" t="inlineStr">
        <is>
          <t>No</t>
        </is>
      </c>
      <c r="AQ82" t="inlineStr">
        <is>
          <t>Yes</t>
        </is>
      </c>
      <c r="AR82">
        <f>HYPERLINK("http://catalog.hathitrust.org/Record/000738378","HathiTrust Record")</f>
        <v/>
      </c>
      <c r="AS82">
        <f>HYPERLINK("https://creighton-primo.hosted.exlibrisgroup.com/primo-explore/search?tab=default_tab&amp;search_scope=EVERYTHING&amp;vid=01CRU&amp;lang=en_US&amp;offset=0&amp;query=any,contains,991004108539702656","Catalog Record")</f>
        <v/>
      </c>
      <c r="AT82">
        <f>HYPERLINK("http://www.worldcat.org/oclc/2388399","WorldCat Record")</f>
        <v/>
      </c>
      <c r="AU82" t="inlineStr">
        <is>
          <t>4955692:eng</t>
        </is>
      </c>
      <c r="AV82" t="inlineStr">
        <is>
          <t>2388399</t>
        </is>
      </c>
      <c r="AW82" t="inlineStr">
        <is>
          <t>991004108539702656</t>
        </is>
      </c>
      <c r="AX82" t="inlineStr">
        <is>
          <t>991004108539702656</t>
        </is>
      </c>
      <c r="AY82" t="inlineStr">
        <is>
          <t>2259248330002656</t>
        </is>
      </c>
      <c r="AZ82" t="inlineStr">
        <is>
          <t>BOOK</t>
        </is>
      </c>
      <c r="BB82" t="inlineStr">
        <is>
          <t>9780882021164</t>
        </is>
      </c>
      <c r="BC82" t="inlineStr">
        <is>
          <t>32285000176734</t>
        </is>
      </c>
      <c r="BD82" t="inlineStr">
        <is>
          <t>893810358</t>
        </is>
      </c>
    </row>
    <row r="83">
      <c r="A83" t="inlineStr">
        <is>
          <t>No</t>
        </is>
      </c>
      <c r="B83" t="inlineStr">
        <is>
          <t>RA410.53 .A64</t>
        </is>
      </c>
      <c r="C83" t="inlineStr">
        <is>
          <t>0                      RA 0410530A  64</t>
        </is>
      </c>
      <c r="D83" t="inlineStr">
        <is>
          <t>Health care in the U. S. : equitable for whom? / Lu Ann Aday, Ronald Andersen, Gretchen V. Fleming ; foreword by David E. Rogers, Linda H. Aiken.</t>
        </is>
      </c>
      <c r="F83" t="inlineStr">
        <is>
          <t>No</t>
        </is>
      </c>
      <c r="G83" t="inlineStr">
        <is>
          <t>1</t>
        </is>
      </c>
      <c r="H83" t="inlineStr">
        <is>
          <t>No</t>
        </is>
      </c>
      <c r="I83" t="inlineStr">
        <is>
          <t>No</t>
        </is>
      </c>
      <c r="J83" t="inlineStr">
        <is>
          <t>0</t>
        </is>
      </c>
      <c r="K83" t="inlineStr">
        <is>
          <t>Aday, Lu Ann.</t>
        </is>
      </c>
      <c r="L83" t="inlineStr">
        <is>
          <t>Beverly Hills, Calif. : Sage Publications, c1980.</t>
        </is>
      </c>
      <c r="M83" t="inlineStr">
        <is>
          <t>1980</t>
        </is>
      </c>
      <c r="O83" t="inlineStr">
        <is>
          <t>eng</t>
        </is>
      </c>
      <c r="P83" t="inlineStr">
        <is>
          <t xml:space="preserve">xx </t>
        </is>
      </c>
      <c r="R83" t="inlineStr">
        <is>
          <t xml:space="preserve">RA </t>
        </is>
      </c>
      <c r="S83" t="n">
        <v>9</v>
      </c>
      <c r="T83" t="n">
        <v>9</v>
      </c>
      <c r="U83" t="inlineStr">
        <is>
          <t>2001-09-18</t>
        </is>
      </c>
      <c r="V83" t="inlineStr">
        <is>
          <t>2001-09-18</t>
        </is>
      </c>
      <c r="W83" t="inlineStr">
        <is>
          <t>1991-10-23</t>
        </is>
      </c>
      <c r="X83" t="inlineStr">
        <is>
          <t>1991-10-23</t>
        </is>
      </c>
      <c r="Y83" t="n">
        <v>348</v>
      </c>
      <c r="Z83" t="n">
        <v>301</v>
      </c>
      <c r="AA83" t="n">
        <v>308</v>
      </c>
      <c r="AB83" t="n">
        <v>1</v>
      </c>
      <c r="AC83" t="n">
        <v>1</v>
      </c>
      <c r="AD83" t="n">
        <v>9</v>
      </c>
      <c r="AE83" t="n">
        <v>9</v>
      </c>
      <c r="AF83" t="n">
        <v>3</v>
      </c>
      <c r="AG83" t="n">
        <v>3</v>
      </c>
      <c r="AH83" t="n">
        <v>2</v>
      </c>
      <c r="AI83" t="n">
        <v>2</v>
      </c>
      <c r="AJ83" t="n">
        <v>7</v>
      </c>
      <c r="AK83" t="n">
        <v>7</v>
      </c>
      <c r="AL83" t="n">
        <v>0</v>
      </c>
      <c r="AM83" t="n">
        <v>0</v>
      </c>
      <c r="AN83" t="n">
        <v>0</v>
      </c>
      <c r="AO83" t="n">
        <v>0</v>
      </c>
      <c r="AP83" t="inlineStr">
        <is>
          <t>No</t>
        </is>
      </c>
      <c r="AQ83" t="inlineStr">
        <is>
          <t>Yes</t>
        </is>
      </c>
      <c r="AR83">
        <f>HYPERLINK("http://catalog.hathitrust.org/Record/000018390","HathiTrust Record")</f>
        <v/>
      </c>
      <c r="AS83">
        <f>HYPERLINK("https://creighton-primo.hosted.exlibrisgroup.com/primo-explore/search?tab=default_tab&amp;search_scope=EVERYTHING&amp;vid=01CRU&amp;lang=en_US&amp;offset=0&amp;query=any,contains,991004940089702656","Catalog Record")</f>
        <v/>
      </c>
      <c r="AT83">
        <f>HYPERLINK("http://www.worldcat.org/oclc/6176125","WorldCat Record")</f>
        <v/>
      </c>
      <c r="AU83" t="inlineStr">
        <is>
          <t>457104:eng</t>
        </is>
      </c>
      <c r="AV83" t="inlineStr">
        <is>
          <t>6176125</t>
        </is>
      </c>
      <c r="AW83" t="inlineStr">
        <is>
          <t>991004940089702656</t>
        </is>
      </c>
      <c r="AX83" t="inlineStr">
        <is>
          <t>991004940089702656</t>
        </is>
      </c>
      <c r="AY83" t="inlineStr">
        <is>
          <t>2258120520002656</t>
        </is>
      </c>
      <c r="AZ83" t="inlineStr">
        <is>
          <t>BOOK</t>
        </is>
      </c>
      <c r="BB83" t="inlineStr">
        <is>
          <t>9780803913738</t>
        </is>
      </c>
      <c r="BC83" t="inlineStr">
        <is>
          <t>32285000779461</t>
        </is>
      </c>
      <c r="BD83" t="inlineStr">
        <is>
          <t>893526678</t>
        </is>
      </c>
    </row>
    <row r="84">
      <c r="A84" t="inlineStr">
        <is>
          <t>No</t>
        </is>
      </c>
      <c r="B84" t="inlineStr">
        <is>
          <t>RA410.53 .B55 1995</t>
        </is>
      </c>
      <c r="C84" t="inlineStr">
        <is>
          <t>0                      RA 0410530B  55          1995</t>
        </is>
      </c>
      <c r="D84" t="inlineStr">
        <is>
          <t>Putting health care on the national agenda / Arnold Birenbaum.</t>
        </is>
      </c>
      <c r="F84" t="inlineStr">
        <is>
          <t>No</t>
        </is>
      </c>
      <c r="G84" t="inlineStr">
        <is>
          <t>1</t>
        </is>
      </c>
      <c r="H84" t="inlineStr">
        <is>
          <t>No</t>
        </is>
      </c>
      <c r="I84" t="inlineStr">
        <is>
          <t>No</t>
        </is>
      </c>
      <c r="J84" t="inlineStr">
        <is>
          <t>0</t>
        </is>
      </c>
      <c r="K84" t="inlineStr">
        <is>
          <t>Birenbaum, Arnold.</t>
        </is>
      </c>
      <c r="L84" t="inlineStr">
        <is>
          <t>Westport, Conn. : Praeger, 1995.</t>
        </is>
      </c>
      <c r="M84" t="inlineStr">
        <is>
          <t>1995</t>
        </is>
      </c>
      <c r="N84" t="inlineStr">
        <is>
          <t>Rev. and updated ed.</t>
        </is>
      </c>
      <c r="O84" t="inlineStr">
        <is>
          <t>eng</t>
        </is>
      </c>
      <c r="P84" t="inlineStr">
        <is>
          <t>ctu</t>
        </is>
      </c>
      <c r="R84" t="inlineStr">
        <is>
          <t xml:space="preserve">RA </t>
        </is>
      </c>
      <c r="S84" t="n">
        <v>2</v>
      </c>
      <c r="T84" t="n">
        <v>2</v>
      </c>
      <c r="U84" t="inlineStr">
        <is>
          <t>2007-11-16</t>
        </is>
      </c>
      <c r="V84" t="inlineStr">
        <is>
          <t>2007-11-16</t>
        </is>
      </c>
      <c r="W84" t="inlineStr">
        <is>
          <t>1998-05-05</t>
        </is>
      </c>
      <c r="X84" t="inlineStr">
        <is>
          <t>1998-05-05</t>
        </is>
      </c>
      <c r="Y84" t="n">
        <v>297</v>
      </c>
      <c r="Z84" t="n">
        <v>272</v>
      </c>
      <c r="AA84" t="n">
        <v>466</v>
      </c>
      <c r="AB84" t="n">
        <v>2</v>
      </c>
      <c r="AC84" t="n">
        <v>3</v>
      </c>
      <c r="AD84" t="n">
        <v>9</v>
      </c>
      <c r="AE84" t="n">
        <v>21</v>
      </c>
      <c r="AF84" t="n">
        <v>3</v>
      </c>
      <c r="AG84" t="n">
        <v>8</v>
      </c>
      <c r="AH84" t="n">
        <v>1</v>
      </c>
      <c r="AI84" t="n">
        <v>4</v>
      </c>
      <c r="AJ84" t="n">
        <v>5</v>
      </c>
      <c r="AK84" t="n">
        <v>13</v>
      </c>
      <c r="AL84" t="n">
        <v>1</v>
      </c>
      <c r="AM84" t="n">
        <v>2</v>
      </c>
      <c r="AN84" t="n">
        <v>0</v>
      </c>
      <c r="AO84" t="n">
        <v>1</v>
      </c>
      <c r="AP84" t="inlineStr">
        <is>
          <t>No</t>
        </is>
      </c>
      <c r="AQ84" t="inlineStr">
        <is>
          <t>Yes</t>
        </is>
      </c>
      <c r="AR84">
        <f>HYPERLINK("http://catalog.hathitrust.org/Record/004567450","HathiTrust Record")</f>
        <v/>
      </c>
      <c r="AS84">
        <f>HYPERLINK("https://creighton-primo.hosted.exlibrisgroup.com/primo-explore/search?tab=default_tab&amp;search_scope=EVERYTHING&amp;vid=01CRU&amp;lang=en_US&amp;offset=0&amp;query=any,contains,991002450749702656","Catalog Record")</f>
        <v/>
      </c>
      <c r="AT84">
        <f>HYPERLINK("http://www.worldcat.org/oclc/31969418","WorldCat Record")</f>
        <v/>
      </c>
      <c r="AU84" t="inlineStr">
        <is>
          <t>2575167:eng</t>
        </is>
      </c>
      <c r="AV84" t="inlineStr">
        <is>
          <t>31969418</t>
        </is>
      </c>
      <c r="AW84" t="inlineStr">
        <is>
          <t>991002450749702656</t>
        </is>
      </c>
      <c r="AX84" t="inlineStr">
        <is>
          <t>991002450749702656</t>
        </is>
      </c>
      <c r="AY84" t="inlineStr">
        <is>
          <t>2260890020002656</t>
        </is>
      </c>
      <c r="AZ84" t="inlineStr">
        <is>
          <t>BOOK</t>
        </is>
      </c>
      <c r="BB84" t="inlineStr">
        <is>
          <t>9780275951634</t>
        </is>
      </c>
      <c r="BC84" t="inlineStr">
        <is>
          <t>32285003406013</t>
        </is>
      </c>
      <c r="BD84" t="inlineStr">
        <is>
          <t>893892563</t>
        </is>
      </c>
    </row>
    <row r="85">
      <c r="A85" t="inlineStr">
        <is>
          <t>No</t>
        </is>
      </c>
      <c r="B85" t="inlineStr">
        <is>
          <t>RA410.53 .F82 1975</t>
        </is>
      </c>
      <c r="C85" t="inlineStr">
        <is>
          <t>0                      RA 0410530F  82          1975</t>
        </is>
      </c>
      <c r="D85" t="inlineStr">
        <is>
          <t>Who shall live? : health, economics, and social choice / [by] Victor R. Fuchs.</t>
        </is>
      </c>
      <c r="F85" t="inlineStr">
        <is>
          <t>No</t>
        </is>
      </c>
      <c r="G85" t="inlineStr">
        <is>
          <t>1</t>
        </is>
      </c>
      <c r="H85" t="inlineStr">
        <is>
          <t>No</t>
        </is>
      </c>
      <c r="I85" t="inlineStr">
        <is>
          <t>Yes</t>
        </is>
      </c>
      <c r="J85" t="inlineStr">
        <is>
          <t>0</t>
        </is>
      </c>
      <c r="K85" t="inlineStr">
        <is>
          <t>Fuchs, Victor R.</t>
        </is>
      </c>
      <c r="L85" t="inlineStr">
        <is>
          <t>New York : Basic Books, [1975, c1974]</t>
        </is>
      </c>
      <c r="M85" t="inlineStr">
        <is>
          <t>1975</t>
        </is>
      </c>
      <c r="O85" t="inlineStr">
        <is>
          <t>eng</t>
        </is>
      </c>
      <c r="P85" t="inlineStr">
        <is>
          <t>nyu</t>
        </is>
      </c>
      <c r="R85" t="inlineStr">
        <is>
          <t xml:space="preserve">RA </t>
        </is>
      </c>
      <c r="S85" t="n">
        <v>12</v>
      </c>
      <c r="T85" t="n">
        <v>12</v>
      </c>
      <c r="U85" t="inlineStr">
        <is>
          <t>2001-11-18</t>
        </is>
      </c>
      <c r="V85" t="inlineStr">
        <is>
          <t>2001-11-18</t>
        </is>
      </c>
      <c r="W85" t="inlineStr">
        <is>
          <t>1990-06-06</t>
        </is>
      </c>
      <c r="X85" t="inlineStr">
        <is>
          <t>1990-06-06</t>
        </is>
      </c>
      <c r="Y85" t="n">
        <v>959</v>
      </c>
      <c r="Z85" t="n">
        <v>888</v>
      </c>
      <c r="AA85" t="n">
        <v>1508</v>
      </c>
      <c r="AB85" t="n">
        <v>7</v>
      </c>
      <c r="AC85" t="n">
        <v>13</v>
      </c>
      <c r="AD85" t="n">
        <v>31</v>
      </c>
      <c r="AE85" t="n">
        <v>54</v>
      </c>
      <c r="AF85" t="n">
        <v>11</v>
      </c>
      <c r="AG85" t="n">
        <v>17</v>
      </c>
      <c r="AH85" t="n">
        <v>5</v>
      </c>
      <c r="AI85" t="n">
        <v>10</v>
      </c>
      <c r="AJ85" t="n">
        <v>14</v>
      </c>
      <c r="AK85" t="n">
        <v>22</v>
      </c>
      <c r="AL85" t="n">
        <v>5</v>
      </c>
      <c r="AM85" t="n">
        <v>10</v>
      </c>
      <c r="AN85" t="n">
        <v>4</v>
      </c>
      <c r="AO85" t="n">
        <v>6</v>
      </c>
      <c r="AP85" t="inlineStr">
        <is>
          <t>No</t>
        </is>
      </c>
      <c r="AQ85" t="inlineStr">
        <is>
          <t>Yes</t>
        </is>
      </c>
      <c r="AR85">
        <f>HYPERLINK("http://catalog.hathitrust.org/Record/000137924","HathiTrust Record")</f>
        <v/>
      </c>
      <c r="AS85">
        <f>HYPERLINK("https://creighton-primo.hosted.exlibrisgroup.com/primo-explore/search?tab=default_tab&amp;search_scope=EVERYTHING&amp;vid=01CRU&amp;lang=en_US&amp;offset=0&amp;query=any,contains,991003468699702656","Catalog Record")</f>
        <v/>
      </c>
      <c r="AT85">
        <f>HYPERLINK("http://www.worldcat.org/oclc/1009852","WorldCat Record")</f>
        <v/>
      </c>
      <c r="AU85" t="inlineStr">
        <is>
          <t>1930142:eng</t>
        </is>
      </c>
      <c r="AV85" t="inlineStr">
        <is>
          <t>1009852</t>
        </is>
      </c>
      <c r="AW85" t="inlineStr">
        <is>
          <t>991003468699702656</t>
        </is>
      </c>
      <c r="AX85" t="inlineStr">
        <is>
          <t>991003468699702656</t>
        </is>
      </c>
      <c r="AY85" t="inlineStr">
        <is>
          <t>2263865630002656</t>
        </is>
      </c>
      <c r="AZ85" t="inlineStr">
        <is>
          <t>BOOK</t>
        </is>
      </c>
      <c r="BB85" t="inlineStr">
        <is>
          <t>9780465091850</t>
        </is>
      </c>
      <c r="BC85" t="inlineStr">
        <is>
          <t>32285000176726</t>
        </is>
      </c>
      <c r="BD85" t="inlineStr">
        <is>
          <t>893511970</t>
        </is>
      </c>
    </row>
    <row r="86">
      <c r="A86" t="inlineStr">
        <is>
          <t>No</t>
        </is>
      </c>
      <c r="B86" t="inlineStr">
        <is>
          <t>RA410.53 .G56 1985</t>
        </is>
      </c>
      <c r="C86" t="inlineStr">
        <is>
          <t>0                      RA 0410530G  56          1985</t>
        </is>
      </c>
      <c r="D86" t="inlineStr">
        <is>
          <t>American medicine : the power shift / Eli Ginzberg.</t>
        </is>
      </c>
      <c r="F86" t="inlineStr">
        <is>
          <t>No</t>
        </is>
      </c>
      <c r="G86" t="inlineStr">
        <is>
          <t>1</t>
        </is>
      </c>
      <c r="H86" t="inlineStr">
        <is>
          <t>No</t>
        </is>
      </c>
      <c r="I86" t="inlineStr">
        <is>
          <t>No</t>
        </is>
      </c>
      <c r="J86" t="inlineStr">
        <is>
          <t>0</t>
        </is>
      </c>
      <c r="K86" t="inlineStr">
        <is>
          <t>Ginzberg, Eli, 1911-2002.</t>
        </is>
      </c>
      <c r="L86" t="inlineStr">
        <is>
          <t>Totowa, N.J. : Rowman &amp; Allanheld, 1985.</t>
        </is>
      </c>
      <c r="M86" t="inlineStr">
        <is>
          <t>1985</t>
        </is>
      </c>
      <c r="O86" t="inlineStr">
        <is>
          <t>eng</t>
        </is>
      </c>
      <c r="P86" t="inlineStr">
        <is>
          <t>nju</t>
        </is>
      </c>
      <c r="R86" t="inlineStr">
        <is>
          <t xml:space="preserve">RA </t>
        </is>
      </c>
      <c r="S86" t="n">
        <v>1</v>
      </c>
      <c r="T86" t="n">
        <v>1</v>
      </c>
      <c r="U86" t="inlineStr">
        <is>
          <t>2001-04-11</t>
        </is>
      </c>
      <c r="V86" t="inlineStr">
        <is>
          <t>2001-04-11</t>
        </is>
      </c>
      <c r="W86" t="inlineStr">
        <is>
          <t>1992-04-26</t>
        </is>
      </c>
      <c r="X86" t="inlineStr">
        <is>
          <t>1992-04-26</t>
        </is>
      </c>
      <c r="Y86" t="n">
        <v>346</v>
      </c>
      <c r="Z86" t="n">
        <v>315</v>
      </c>
      <c r="AA86" t="n">
        <v>333</v>
      </c>
      <c r="AB86" t="n">
        <v>1</v>
      </c>
      <c r="AC86" t="n">
        <v>1</v>
      </c>
      <c r="AD86" t="n">
        <v>11</v>
      </c>
      <c r="AE86" t="n">
        <v>13</v>
      </c>
      <c r="AF86" t="n">
        <v>4</v>
      </c>
      <c r="AG86" t="n">
        <v>5</v>
      </c>
      <c r="AH86" t="n">
        <v>5</v>
      </c>
      <c r="AI86" t="n">
        <v>6</v>
      </c>
      <c r="AJ86" t="n">
        <v>7</v>
      </c>
      <c r="AK86" t="n">
        <v>7</v>
      </c>
      <c r="AL86" t="n">
        <v>0</v>
      </c>
      <c r="AM86" t="n">
        <v>0</v>
      </c>
      <c r="AN86" t="n">
        <v>0</v>
      </c>
      <c r="AO86" t="n">
        <v>0</v>
      </c>
      <c r="AP86" t="inlineStr">
        <is>
          <t>No</t>
        </is>
      </c>
      <c r="AQ86" t="inlineStr">
        <is>
          <t>Yes</t>
        </is>
      </c>
      <c r="AR86">
        <f>HYPERLINK("http://catalog.hathitrust.org/Record/000360162","HathiTrust Record")</f>
        <v/>
      </c>
      <c r="AS86">
        <f>HYPERLINK("https://creighton-primo.hosted.exlibrisgroup.com/primo-explore/search?tab=default_tab&amp;search_scope=EVERYTHING&amp;vid=01CRU&amp;lang=en_US&amp;offset=0&amp;query=any,contains,991000619279702656","Catalog Record")</f>
        <v/>
      </c>
      <c r="AT86">
        <f>HYPERLINK("http://www.worldcat.org/oclc/11970909","WorldCat Record")</f>
        <v/>
      </c>
      <c r="AU86" t="inlineStr">
        <is>
          <t>4504452:eng</t>
        </is>
      </c>
      <c r="AV86" t="inlineStr">
        <is>
          <t>11970909</t>
        </is>
      </c>
      <c r="AW86" t="inlineStr">
        <is>
          <t>991000619279702656</t>
        </is>
      </c>
      <c r="AX86" t="inlineStr">
        <is>
          <t>991000619279702656</t>
        </is>
      </c>
      <c r="AY86" t="inlineStr">
        <is>
          <t>2257138380002656</t>
        </is>
      </c>
      <c r="AZ86" t="inlineStr">
        <is>
          <t>BOOK</t>
        </is>
      </c>
      <c r="BB86" t="inlineStr">
        <is>
          <t>9780847674398</t>
        </is>
      </c>
      <c r="BC86" t="inlineStr">
        <is>
          <t>32285001087161</t>
        </is>
      </c>
      <c r="BD86" t="inlineStr">
        <is>
          <t>893871829</t>
        </is>
      </c>
    </row>
    <row r="87">
      <c r="A87" t="inlineStr">
        <is>
          <t>No</t>
        </is>
      </c>
      <c r="B87" t="inlineStr">
        <is>
          <t>RA410.53 .G74 1991</t>
        </is>
      </c>
      <c r="C87" t="inlineStr">
        <is>
          <t>0                      RA 0410530G  74          1991</t>
        </is>
      </c>
      <c r="D87" t="inlineStr">
        <is>
          <t>Competition, regulation, and rationing in health care / Warren Greenberg.</t>
        </is>
      </c>
      <c r="F87" t="inlineStr">
        <is>
          <t>No</t>
        </is>
      </c>
      <c r="G87" t="inlineStr">
        <is>
          <t>1</t>
        </is>
      </c>
      <c r="H87" t="inlineStr">
        <is>
          <t>No</t>
        </is>
      </c>
      <c r="I87" t="inlineStr">
        <is>
          <t>No</t>
        </is>
      </c>
      <c r="J87" t="inlineStr">
        <is>
          <t>0</t>
        </is>
      </c>
      <c r="K87" t="inlineStr">
        <is>
          <t>Greenberg, Warren, 1943-2015.</t>
        </is>
      </c>
      <c r="L87" t="inlineStr">
        <is>
          <t>Ann Arbor, Mich. : Health Administration Press, 1991.</t>
        </is>
      </c>
      <c r="M87" t="inlineStr">
        <is>
          <t>1991</t>
        </is>
      </c>
      <c r="O87" t="inlineStr">
        <is>
          <t>eng</t>
        </is>
      </c>
      <c r="P87" t="inlineStr">
        <is>
          <t>miu</t>
        </is>
      </c>
      <c r="R87" t="inlineStr">
        <is>
          <t xml:space="preserve">RA </t>
        </is>
      </c>
      <c r="S87" t="n">
        <v>8</v>
      </c>
      <c r="T87" t="n">
        <v>8</v>
      </c>
      <c r="U87" t="inlineStr">
        <is>
          <t>2010-04-22</t>
        </is>
      </c>
      <c r="V87" t="inlineStr">
        <is>
          <t>2010-04-22</t>
        </is>
      </c>
      <c r="W87" t="inlineStr">
        <is>
          <t>1995-04-07</t>
        </is>
      </c>
      <c r="X87" t="inlineStr">
        <is>
          <t>1995-04-07</t>
        </is>
      </c>
      <c r="Y87" t="n">
        <v>244</v>
      </c>
      <c r="Z87" t="n">
        <v>223</v>
      </c>
      <c r="AA87" t="n">
        <v>232</v>
      </c>
      <c r="AB87" t="n">
        <v>1</v>
      </c>
      <c r="AC87" t="n">
        <v>1</v>
      </c>
      <c r="AD87" t="n">
        <v>18</v>
      </c>
      <c r="AE87" t="n">
        <v>19</v>
      </c>
      <c r="AF87" t="n">
        <v>4</v>
      </c>
      <c r="AG87" t="n">
        <v>4</v>
      </c>
      <c r="AH87" t="n">
        <v>3</v>
      </c>
      <c r="AI87" t="n">
        <v>4</v>
      </c>
      <c r="AJ87" t="n">
        <v>5</v>
      </c>
      <c r="AK87" t="n">
        <v>6</v>
      </c>
      <c r="AL87" t="n">
        <v>0</v>
      </c>
      <c r="AM87" t="n">
        <v>0</v>
      </c>
      <c r="AN87" t="n">
        <v>9</v>
      </c>
      <c r="AO87" t="n">
        <v>9</v>
      </c>
      <c r="AP87" t="inlineStr">
        <is>
          <t>No</t>
        </is>
      </c>
      <c r="AQ87" t="inlineStr">
        <is>
          <t>No</t>
        </is>
      </c>
      <c r="AS87">
        <f>HYPERLINK("https://creighton-primo.hosted.exlibrisgroup.com/primo-explore/search?tab=default_tab&amp;search_scope=EVERYTHING&amp;vid=01CRU&amp;lang=en_US&amp;offset=0&amp;query=any,contains,991001942179702656","Catalog Record")</f>
        <v/>
      </c>
      <c r="AT87">
        <f>HYPERLINK("http://www.worldcat.org/oclc/24542562","WorldCat Record")</f>
        <v/>
      </c>
      <c r="AU87" t="inlineStr">
        <is>
          <t>5989528:eng</t>
        </is>
      </c>
      <c r="AV87" t="inlineStr">
        <is>
          <t>24542562</t>
        </is>
      </c>
      <c r="AW87" t="inlineStr">
        <is>
          <t>991001942179702656</t>
        </is>
      </c>
      <c r="AX87" t="inlineStr">
        <is>
          <t>991001942179702656</t>
        </is>
      </c>
      <c r="AY87" t="inlineStr">
        <is>
          <t>2266134220002656</t>
        </is>
      </c>
      <c r="AZ87" t="inlineStr">
        <is>
          <t>BOOK</t>
        </is>
      </c>
      <c r="BB87" t="inlineStr">
        <is>
          <t>9780910701778</t>
        </is>
      </c>
      <c r="BC87" t="inlineStr">
        <is>
          <t>32285002017134</t>
        </is>
      </c>
      <c r="BD87" t="inlineStr">
        <is>
          <t>893715862</t>
        </is>
      </c>
    </row>
    <row r="88">
      <c r="A88" t="inlineStr">
        <is>
          <t>No</t>
        </is>
      </c>
      <c r="B88" t="inlineStr">
        <is>
          <t>RA410.53 .H33 1989</t>
        </is>
      </c>
      <c r="C88" t="inlineStr">
        <is>
          <t>0                      RA 0410530H  33          1989</t>
        </is>
      </c>
      <c r="D88" t="inlineStr">
        <is>
          <t>Health care for an aging society : cost-conscious community care and self-care approaches / David Haber.</t>
        </is>
      </c>
      <c r="F88" t="inlineStr">
        <is>
          <t>No</t>
        </is>
      </c>
      <c r="G88" t="inlineStr">
        <is>
          <t>1</t>
        </is>
      </c>
      <c r="H88" t="inlineStr">
        <is>
          <t>Yes</t>
        </is>
      </c>
      <c r="I88" t="inlineStr">
        <is>
          <t>No</t>
        </is>
      </c>
      <c r="J88" t="inlineStr">
        <is>
          <t>0</t>
        </is>
      </c>
      <c r="K88" t="inlineStr">
        <is>
          <t>Haber, David, 1944-</t>
        </is>
      </c>
      <c r="L88" t="inlineStr">
        <is>
          <t>New York : Hemisphere Pub. Corp., c1989.</t>
        </is>
      </c>
      <c r="M88" t="inlineStr">
        <is>
          <t>1989</t>
        </is>
      </c>
      <c r="O88" t="inlineStr">
        <is>
          <t>eng</t>
        </is>
      </c>
      <c r="P88" t="inlineStr">
        <is>
          <t>nyu</t>
        </is>
      </c>
      <c r="Q88" t="inlineStr">
        <is>
          <t>Series in death education, aging, and health care</t>
        </is>
      </c>
      <c r="R88" t="inlineStr">
        <is>
          <t xml:space="preserve">RA </t>
        </is>
      </c>
      <c r="S88" t="n">
        <v>11</v>
      </c>
      <c r="T88" t="n">
        <v>11</v>
      </c>
      <c r="U88" t="inlineStr">
        <is>
          <t>2001-04-11</t>
        </is>
      </c>
      <c r="V88" t="inlineStr">
        <is>
          <t>2001-04-11</t>
        </is>
      </c>
      <c r="W88" t="inlineStr">
        <is>
          <t>1992-03-27</t>
        </is>
      </c>
      <c r="X88" t="inlineStr">
        <is>
          <t>1992-03-27</t>
        </is>
      </c>
      <c r="Y88" t="n">
        <v>323</v>
      </c>
      <c r="Z88" t="n">
        <v>239</v>
      </c>
      <c r="AA88" t="n">
        <v>259</v>
      </c>
      <c r="AB88" t="n">
        <v>4</v>
      </c>
      <c r="AC88" t="n">
        <v>4</v>
      </c>
      <c r="AD88" t="n">
        <v>11</v>
      </c>
      <c r="AE88" t="n">
        <v>11</v>
      </c>
      <c r="AF88" t="n">
        <v>3</v>
      </c>
      <c r="AG88" t="n">
        <v>3</v>
      </c>
      <c r="AH88" t="n">
        <v>3</v>
      </c>
      <c r="AI88" t="n">
        <v>3</v>
      </c>
      <c r="AJ88" t="n">
        <v>7</v>
      </c>
      <c r="AK88" t="n">
        <v>7</v>
      </c>
      <c r="AL88" t="n">
        <v>2</v>
      </c>
      <c r="AM88" t="n">
        <v>2</v>
      </c>
      <c r="AN88" t="n">
        <v>0</v>
      </c>
      <c r="AO88" t="n">
        <v>0</v>
      </c>
      <c r="AP88" t="inlineStr">
        <is>
          <t>No</t>
        </is>
      </c>
      <c r="AQ88" t="inlineStr">
        <is>
          <t>No</t>
        </is>
      </c>
      <c r="AS88">
        <f>HYPERLINK("https://creighton-primo.hosted.exlibrisgroup.com/primo-explore/search?tab=default_tab&amp;search_scope=EVERYTHING&amp;vid=01CRU&amp;lang=en_US&amp;offset=0&amp;query=any,contains,991001411799702656","Catalog Record")</f>
        <v/>
      </c>
      <c r="AT88">
        <f>HYPERLINK("http://www.worldcat.org/oclc/18908077","WorldCat Record")</f>
        <v/>
      </c>
      <c r="AU88" t="inlineStr">
        <is>
          <t>865283219:eng</t>
        </is>
      </c>
      <c r="AV88" t="inlineStr">
        <is>
          <t>18908077</t>
        </is>
      </c>
      <c r="AW88" t="inlineStr">
        <is>
          <t>991001411799702656</t>
        </is>
      </c>
      <c r="AX88" t="inlineStr">
        <is>
          <t>991001411799702656</t>
        </is>
      </c>
      <c r="AY88" t="inlineStr">
        <is>
          <t>2255730020002656</t>
        </is>
      </c>
      <c r="AZ88" t="inlineStr">
        <is>
          <t>BOOK</t>
        </is>
      </c>
      <c r="BB88" t="inlineStr">
        <is>
          <t>9780891166832</t>
        </is>
      </c>
      <c r="BC88" t="inlineStr">
        <is>
          <t>32285001045623</t>
        </is>
      </c>
      <c r="BD88" t="inlineStr">
        <is>
          <t>893684306</t>
        </is>
      </c>
    </row>
    <row r="89">
      <c r="A89" t="inlineStr">
        <is>
          <t>No</t>
        </is>
      </c>
      <c r="B89" t="inlineStr">
        <is>
          <t>RA410.53 .H412 1977</t>
        </is>
      </c>
      <c r="C89" t="inlineStr">
        <is>
          <t>0                      RA 0410530H  412         1977</t>
        </is>
      </c>
      <c r="D89" t="inlineStr">
        <is>
          <t>Health and medical care in the U.S. : a critical analysis / edited by Vicente Navarro.</t>
        </is>
      </c>
      <c r="F89" t="inlineStr">
        <is>
          <t>No</t>
        </is>
      </c>
      <c r="G89" t="inlineStr">
        <is>
          <t>1</t>
        </is>
      </c>
      <c r="H89" t="inlineStr">
        <is>
          <t>No</t>
        </is>
      </c>
      <c r="I89" t="inlineStr">
        <is>
          <t>No</t>
        </is>
      </c>
      <c r="J89" t="inlineStr">
        <is>
          <t>0</t>
        </is>
      </c>
      <c r="L89" t="inlineStr">
        <is>
          <t>Farmingdale, N.Y. : Baywood Pub. Co., c1977.</t>
        </is>
      </c>
      <c r="M89" t="inlineStr">
        <is>
          <t>1977</t>
        </is>
      </c>
      <c r="O89" t="inlineStr">
        <is>
          <t>eng</t>
        </is>
      </c>
      <c r="P89" t="inlineStr">
        <is>
          <t>nyu</t>
        </is>
      </c>
      <c r="Q89" t="inlineStr">
        <is>
          <t>Policy, politics, health, and medicine series</t>
        </is>
      </c>
      <c r="R89" t="inlineStr">
        <is>
          <t xml:space="preserve">RA </t>
        </is>
      </c>
      <c r="S89" t="n">
        <v>1</v>
      </c>
      <c r="T89" t="n">
        <v>1</v>
      </c>
      <c r="U89" t="inlineStr">
        <is>
          <t>2003-03-26</t>
        </is>
      </c>
      <c r="V89" t="inlineStr">
        <is>
          <t>2003-03-26</t>
        </is>
      </c>
      <c r="W89" t="inlineStr">
        <is>
          <t>2003-03-26</t>
        </is>
      </c>
      <c r="X89" t="inlineStr">
        <is>
          <t>2003-03-26</t>
        </is>
      </c>
      <c r="Y89" t="n">
        <v>316</v>
      </c>
      <c r="Z89" t="n">
        <v>270</v>
      </c>
      <c r="AA89" t="n">
        <v>295</v>
      </c>
      <c r="AB89" t="n">
        <v>1</v>
      </c>
      <c r="AC89" t="n">
        <v>1</v>
      </c>
      <c r="AD89" t="n">
        <v>8</v>
      </c>
      <c r="AE89" t="n">
        <v>8</v>
      </c>
      <c r="AF89" t="n">
        <v>3</v>
      </c>
      <c r="AG89" t="n">
        <v>3</v>
      </c>
      <c r="AH89" t="n">
        <v>2</v>
      </c>
      <c r="AI89" t="n">
        <v>2</v>
      </c>
      <c r="AJ89" t="n">
        <v>7</v>
      </c>
      <c r="AK89" t="n">
        <v>7</v>
      </c>
      <c r="AL89" t="n">
        <v>0</v>
      </c>
      <c r="AM89" t="n">
        <v>0</v>
      </c>
      <c r="AN89" t="n">
        <v>0</v>
      </c>
      <c r="AO89" t="n">
        <v>0</v>
      </c>
      <c r="AP89" t="inlineStr">
        <is>
          <t>No</t>
        </is>
      </c>
      <c r="AQ89" t="inlineStr">
        <is>
          <t>Yes</t>
        </is>
      </c>
      <c r="AR89">
        <f>HYPERLINK("http://catalog.hathitrust.org/Record/000093292","HathiTrust Record")</f>
        <v/>
      </c>
      <c r="AS89">
        <f>HYPERLINK("https://creighton-primo.hosted.exlibrisgroup.com/primo-explore/search?tab=default_tab&amp;search_scope=EVERYTHING&amp;vid=01CRU&amp;lang=en_US&amp;offset=0&amp;query=any,contains,991003990749702656","Catalog Record")</f>
        <v/>
      </c>
      <c r="AT89">
        <f>HYPERLINK("http://www.worldcat.org/oclc/7731121","WorldCat Record")</f>
        <v/>
      </c>
      <c r="AU89" t="inlineStr">
        <is>
          <t>902290671:eng</t>
        </is>
      </c>
      <c r="AV89" t="inlineStr">
        <is>
          <t>7731121</t>
        </is>
      </c>
      <c r="AW89" t="inlineStr">
        <is>
          <t>991003990749702656</t>
        </is>
      </c>
      <c r="AX89" t="inlineStr">
        <is>
          <t>991003990749702656</t>
        </is>
      </c>
      <c r="AY89" t="inlineStr">
        <is>
          <t>2263585450002656</t>
        </is>
      </c>
      <c r="AZ89" t="inlineStr">
        <is>
          <t>BOOK</t>
        </is>
      </c>
      <c r="BB89" t="inlineStr">
        <is>
          <t>9780895030009</t>
        </is>
      </c>
      <c r="BC89" t="inlineStr">
        <is>
          <t>32285004686589</t>
        </is>
      </c>
      <c r="BD89" t="inlineStr">
        <is>
          <t>893445968</t>
        </is>
      </c>
    </row>
    <row r="90">
      <c r="A90" t="inlineStr">
        <is>
          <t>No</t>
        </is>
      </c>
      <c r="B90" t="inlineStr">
        <is>
          <t>RA410.53 .H42</t>
        </is>
      </c>
      <c r="C90" t="inlineStr">
        <is>
          <t>0                      RA 0410530H  42</t>
        </is>
      </c>
      <c r="D90" t="inlineStr">
        <is>
          <t>Health economics and health care : irreconcilable gap? / edited by Frank W. Musgrave.</t>
        </is>
      </c>
      <c r="F90" t="inlineStr">
        <is>
          <t>No</t>
        </is>
      </c>
      <c r="G90" t="inlineStr">
        <is>
          <t>1</t>
        </is>
      </c>
      <c r="H90" t="inlineStr">
        <is>
          <t>No</t>
        </is>
      </c>
      <c r="I90" t="inlineStr">
        <is>
          <t>No</t>
        </is>
      </c>
      <c r="J90" t="inlineStr">
        <is>
          <t>0</t>
        </is>
      </c>
      <c r="L90" t="inlineStr">
        <is>
          <t>Washington : University Press of America, c1978.</t>
        </is>
      </c>
      <c r="M90" t="inlineStr">
        <is>
          <t>1978</t>
        </is>
      </c>
      <c r="O90" t="inlineStr">
        <is>
          <t>eng</t>
        </is>
      </c>
      <c r="P90" t="inlineStr">
        <is>
          <t>dcu</t>
        </is>
      </c>
      <c r="R90" t="inlineStr">
        <is>
          <t xml:space="preserve">RA </t>
        </is>
      </c>
      <c r="S90" t="n">
        <v>6</v>
      </c>
      <c r="T90" t="n">
        <v>6</v>
      </c>
      <c r="U90" t="inlineStr">
        <is>
          <t>2001-08-29</t>
        </is>
      </c>
      <c r="V90" t="inlineStr">
        <is>
          <t>2001-08-29</t>
        </is>
      </c>
      <c r="W90" t="inlineStr">
        <is>
          <t>1992-04-22</t>
        </is>
      </c>
      <c r="X90" t="inlineStr">
        <is>
          <t>1992-04-22</t>
        </is>
      </c>
      <c r="Y90" t="n">
        <v>107</v>
      </c>
      <c r="Z90" t="n">
        <v>93</v>
      </c>
      <c r="AA90" t="n">
        <v>94</v>
      </c>
      <c r="AB90" t="n">
        <v>1</v>
      </c>
      <c r="AC90" t="n">
        <v>1</v>
      </c>
      <c r="AD90" t="n">
        <v>2</v>
      </c>
      <c r="AE90" t="n">
        <v>2</v>
      </c>
      <c r="AF90" t="n">
        <v>1</v>
      </c>
      <c r="AG90" t="n">
        <v>1</v>
      </c>
      <c r="AH90" t="n">
        <v>1</v>
      </c>
      <c r="AI90" t="n">
        <v>1</v>
      </c>
      <c r="AJ90" t="n">
        <v>1</v>
      </c>
      <c r="AK90" t="n">
        <v>1</v>
      </c>
      <c r="AL90" t="n">
        <v>0</v>
      </c>
      <c r="AM90" t="n">
        <v>0</v>
      </c>
      <c r="AN90" t="n">
        <v>0</v>
      </c>
      <c r="AO90" t="n">
        <v>0</v>
      </c>
      <c r="AP90" t="inlineStr">
        <is>
          <t>No</t>
        </is>
      </c>
      <c r="AQ90" t="inlineStr">
        <is>
          <t>No</t>
        </is>
      </c>
      <c r="AS90">
        <f>HYPERLINK("https://creighton-primo.hosted.exlibrisgroup.com/primo-explore/search?tab=default_tab&amp;search_scope=EVERYTHING&amp;vid=01CRU&amp;lang=en_US&amp;offset=0&amp;query=any,contains,991004682699702656","Catalog Record")</f>
        <v/>
      </c>
      <c r="AT90">
        <f>HYPERLINK("http://www.worldcat.org/oclc/4577542","WorldCat Record")</f>
        <v/>
      </c>
      <c r="AU90" t="inlineStr">
        <is>
          <t>14871135:eng</t>
        </is>
      </c>
      <c r="AV90" t="inlineStr">
        <is>
          <t>4577542</t>
        </is>
      </c>
      <c r="AW90" t="inlineStr">
        <is>
          <t>991004682699702656</t>
        </is>
      </c>
      <c r="AX90" t="inlineStr">
        <is>
          <t>991004682699702656</t>
        </is>
      </c>
      <c r="AY90" t="inlineStr">
        <is>
          <t>2261874760002656</t>
        </is>
      </c>
      <c r="AZ90" t="inlineStr">
        <is>
          <t>BOOK</t>
        </is>
      </c>
      <c r="BB90" t="inlineStr">
        <is>
          <t>9780819105462</t>
        </is>
      </c>
      <c r="BC90" t="inlineStr">
        <is>
          <t>32285001063402</t>
        </is>
      </c>
      <c r="BD90" t="inlineStr">
        <is>
          <t>893624965</t>
        </is>
      </c>
    </row>
    <row r="91">
      <c r="A91" t="inlineStr">
        <is>
          <t>No</t>
        </is>
      </c>
      <c r="B91" t="inlineStr">
        <is>
          <t>RA410.53 .I53 1985</t>
        </is>
      </c>
      <c r="C91" t="inlineStr">
        <is>
          <t>0                      RA 0410530I  53          1985</t>
        </is>
      </c>
      <c r="D91" t="inlineStr">
        <is>
          <t>Incentives vs. controls in health policy : broadening the debate / Jack A. Meyer, editor.</t>
        </is>
      </c>
      <c r="F91" t="inlineStr">
        <is>
          <t>No</t>
        </is>
      </c>
      <c r="G91" t="inlineStr">
        <is>
          <t>1</t>
        </is>
      </c>
      <c r="H91" t="inlineStr">
        <is>
          <t>No</t>
        </is>
      </c>
      <c r="I91" t="inlineStr">
        <is>
          <t>No</t>
        </is>
      </c>
      <c r="J91" t="inlineStr">
        <is>
          <t>0</t>
        </is>
      </c>
      <c r="L91" t="inlineStr">
        <is>
          <t>Washington : American Enterprise Institute for Public Policy Research, c1985.</t>
        </is>
      </c>
      <c r="M91" t="inlineStr">
        <is>
          <t>1985</t>
        </is>
      </c>
      <c r="O91" t="inlineStr">
        <is>
          <t>eng</t>
        </is>
      </c>
      <c r="P91" t="inlineStr">
        <is>
          <t>dcu</t>
        </is>
      </c>
      <c r="Q91" t="inlineStr">
        <is>
          <t>Studies in health policy</t>
        </is>
      </c>
      <c r="R91" t="inlineStr">
        <is>
          <t xml:space="preserve">RA </t>
        </is>
      </c>
      <c r="S91" t="n">
        <v>6</v>
      </c>
      <c r="T91" t="n">
        <v>6</v>
      </c>
      <c r="U91" t="inlineStr">
        <is>
          <t>1993-12-03</t>
        </is>
      </c>
      <c r="V91" t="inlineStr">
        <is>
          <t>1993-12-03</t>
        </is>
      </c>
      <c r="W91" t="inlineStr">
        <is>
          <t>1993-02-09</t>
        </is>
      </c>
      <c r="X91" t="inlineStr">
        <is>
          <t>1993-02-09</t>
        </is>
      </c>
      <c r="Y91" t="n">
        <v>422</v>
      </c>
      <c r="Z91" t="n">
        <v>379</v>
      </c>
      <c r="AA91" t="n">
        <v>400</v>
      </c>
      <c r="AB91" t="n">
        <v>3</v>
      </c>
      <c r="AC91" t="n">
        <v>3</v>
      </c>
      <c r="AD91" t="n">
        <v>21</v>
      </c>
      <c r="AE91" t="n">
        <v>22</v>
      </c>
      <c r="AF91" t="n">
        <v>6</v>
      </c>
      <c r="AG91" t="n">
        <v>6</v>
      </c>
      <c r="AH91" t="n">
        <v>4</v>
      </c>
      <c r="AI91" t="n">
        <v>4</v>
      </c>
      <c r="AJ91" t="n">
        <v>8</v>
      </c>
      <c r="AK91" t="n">
        <v>8</v>
      </c>
      <c r="AL91" t="n">
        <v>2</v>
      </c>
      <c r="AM91" t="n">
        <v>2</v>
      </c>
      <c r="AN91" t="n">
        <v>5</v>
      </c>
      <c r="AO91" t="n">
        <v>6</v>
      </c>
      <c r="AP91" t="inlineStr">
        <is>
          <t>No</t>
        </is>
      </c>
      <c r="AQ91" t="inlineStr">
        <is>
          <t>Yes</t>
        </is>
      </c>
      <c r="AR91">
        <f>HYPERLINK("http://catalog.hathitrust.org/Record/000413522","HathiTrust Record")</f>
        <v/>
      </c>
      <c r="AS91">
        <f>HYPERLINK("https://creighton-primo.hosted.exlibrisgroup.com/primo-explore/search?tab=default_tab&amp;search_scope=EVERYTHING&amp;vid=01CRU&amp;lang=en_US&amp;offset=0&amp;query=any,contains,991000586149702656","Catalog Record")</f>
        <v/>
      </c>
      <c r="AT91">
        <f>HYPERLINK("http://www.worldcat.org/oclc/11757204","WorldCat Record")</f>
        <v/>
      </c>
      <c r="AU91" t="inlineStr">
        <is>
          <t>367321692:eng</t>
        </is>
      </c>
      <c r="AV91" t="inlineStr">
        <is>
          <t>11757204</t>
        </is>
      </c>
      <c r="AW91" t="inlineStr">
        <is>
          <t>991000586149702656</t>
        </is>
      </c>
      <c r="AX91" t="inlineStr">
        <is>
          <t>991000586149702656</t>
        </is>
      </c>
      <c r="AY91" t="inlineStr">
        <is>
          <t>2269996140002656</t>
        </is>
      </c>
      <c r="AZ91" t="inlineStr">
        <is>
          <t>BOOK</t>
        </is>
      </c>
      <c r="BB91" t="inlineStr">
        <is>
          <t>9780844735733</t>
        </is>
      </c>
      <c r="BC91" t="inlineStr">
        <is>
          <t>32285001449916</t>
        </is>
      </c>
      <c r="BD91" t="inlineStr">
        <is>
          <t>893796800</t>
        </is>
      </c>
    </row>
    <row r="92">
      <c r="A92" t="inlineStr">
        <is>
          <t>No</t>
        </is>
      </c>
      <c r="B92" t="inlineStr">
        <is>
          <t>RA410.53 .K55 1994</t>
        </is>
      </c>
      <c r="C92" t="inlineStr">
        <is>
          <t>0                      RA 0410530K  55          1994</t>
        </is>
      </c>
      <c r="D92" t="inlineStr">
        <is>
          <t>Medicine's dilemmas : infinite needs versus finite resources / William L. Kissick.</t>
        </is>
      </c>
      <c r="F92" t="inlineStr">
        <is>
          <t>No</t>
        </is>
      </c>
      <c r="G92" t="inlineStr">
        <is>
          <t>1</t>
        </is>
      </c>
      <c r="H92" t="inlineStr">
        <is>
          <t>No</t>
        </is>
      </c>
      <c r="I92" t="inlineStr">
        <is>
          <t>No</t>
        </is>
      </c>
      <c r="J92" t="inlineStr">
        <is>
          <t>0</t>
        </is>
      </c>
      <c r="K92" t="inlineStr">
        <is>
          <t>Kissick, William L.</t>
        </is>
      </c>
      <c r="L92" t="inlineStr">
        <is>
          <t>New Haven : Yale University Press, c1994.</t>
        </is>
      </c>
      <c r="M92" t="inlineStr">
        <is>
          <t>1994</t>
        </is>
      </c>
      <c r="O92" t="inlineStr">
        <is>
          <t>eng</t>
        </is>
      </c>
      <c r="P92" t="inlineStr">
        <is>
          <t>ctu</t>
        </is>
      </c>
      <c r="Q92" t="inlineStr">
        <is>
          <t>[A Yale fastback]</t>
        </is>
      </c>
      <c r="R92" t="inlineStr">
        <is>
          <t xml:space="preserve">RA </t>
        </is>
      </c>
      <c r="S92" t="n">
        <v>2</v>
      </c>
      <c r="T92" t="n">
        <v>2</v>
      </c>
      <c r="U92" t="inlineStr">
        <is>
          <t>1996-01-29</t>
        </is>
      </c>
      <c r="V92" t="inlineStr">
        <is>
          <t>1996-01-29</t>
        </is>
      </c>
      <c r="W92" t="inlineStr">
        <is>
          <t>1995-12-27</t>
        </is>
      </c>
      <c r="X92" t="inlineStr">
        <is>
          <t>1995-12-27</t>
        </is>
      </c>
      <c r="Y92" t="n">
        <v>456</v>
      </c>
      <c r="Z92" t="n">
        <v>397</v>
      </c>
      <c r="AA92" t="n">
        <v>398</v>
      </c>
      <c r="AB92" t="n">
        <v>1</v>
      </c>
      <c r="AC92" t="n">
        <v>1</v>
      </c>
      <c r="AD92" t="n">
        <v>20</v>
      </c>
      <c r="AE92" t="n">
        <v>20</v>
      </c>
      <c r="AF92" t="n">
        <v>6</v>
      </c>
      <c r="AG92" t="n">
        <v>6</v>
      </c>
      <c r="AH92" t="n">
        <v>7</v>
      </c>
      <c r="AI92" t="n">
        <v>7</v>
      </c>
      <c r="AJ92" t="n">
        <v>10</v>
      </c>
      <c r="AK92" t="n">
        <v>10</v>
      </c>
      <c r="AL92" t="n">
        <v>0</v>
      </c>
      <c r="AM92" t="n">
        <v>0</v>
      </c>
      <c r="AN92" t="n">
        <v>5</v>
      </c>
      <c r="AO92" t="n">
        <v>5</v>
      </c>
      <c r="AP92" t="inlineStr">
        <is>
          <t>No</t>
        </is>
      </c>
      <c r="AQ92" t="inlineStr">
        <is>
          <t>No</t>
        </is>
      </c>
      <c r="AS92">
        <f>HYPERLINK("https://creighton-primo.hosted.exlibrisgroup.com/primo-explore/search?tab=default_tab&amp;search_scope=EVERYTHING&amp;vid=01CRU&amp;lang=en_US&amp;offset=0&amp;query=any,contains,991002296429702656","Catalog Record")</f>
        <v/>
      </c>
      <c r="AT92">
        <f>HYPERLINK("http://www.worldcat.org/oclc/29794040","WorldCat Record")</f>
        <v/>
      </c>
      <c r="AU92" t="inlineStr">
        <is>
          <t>836739708:eng</t>
        </is>
      </c>
      <c r="AV92" t="inlineStr">
        <is>
          <t>29794040</t>
        </is>
      </c>
      <c r="AW92" t="inlineStr">
        <is>
          <t>991002296429702656</t>
        </is>
      </c>
      <c r="AX92" t="inlineStr">
        <is>
          <t>991002296429702656</t>
        </is>
      </c>
      <c r="AY92" t="inlineStr">
        <is>
          <t>2257361640002656</t>
        </is>
      </c>
      <c r="AZ92" t="inlineStr">
        <is>
          <t>BOOK</t>
        </is>
      </c>
      <c r="BB92" t="inlineStr">
        <is>
          <t>9780300059649</t>
        </is>
      </c>
      <c r="BC92" t="inlineStr">
        <is>
          <t>32285002112208</t>
        </is>
      </c>
      <c r="BD92" t="inlineStr">
        <is>
          <t>893517124</t>
        </is>
      </c>
    </row>
    <row r="93">
      <c r="A93" t="inlineStr">
        <is>
          <t>No</t>
        </is>
      </c>
      <c r="B93" t="inlineStr">
        <is>
          <t>RA410.53 .R446 1992</t>
        </is>
      </c>
      <c r="C93" t="inlineStr">
        <is>
          <t>0                      RA 0410530R  446         1992</t>
        </is>
      </c>
      <c r="D93" t="inlineStr">
        <is>
          <t>Reforming the system : containing health care costs in an era of universal coverage / editors, Robert J. Blendon, Tracey Stelzer Hyams.</t>
        </is>
      </c>
      <c r="F93" t="inlineStr">
        <is>
          <t>No</t>
        </is>
      </c>
      <c r="G93" t="inlineStr">
        <is>
          <t>1</t>
        </is>
      </c>
      <c r="H93" t="inlineStr">
        <is>
          <t>No</t>
        </is>
      </c>
      <c r="I93" t="inlineStr">
        <is>
          <t>No</t>
        </is>
      </c>
      <c r="J93" t="inlineStr">
        <is>
          <t>0</t>
        </is>
      </c>
      <c r="L93" t="inlineStr">
        <is>
          <t>New York : Faulkner &amp; Gray ; Washington, DC : Healthcare Information Center, c1992.</t>
        </is>
      </c>
      <c r="M93" t="inlineStr">
        <is>
          <t>1992</t>
        </is>
      </c>
      <c r="O93" t="inlineStr">
        <is>
          <t>eng</t>
        </is>
      </c>
      <c r="P93" t="inlineStr">
        <is>
          <t>nyu</t>
        </is>
      </c>
      <c r="Q93" t="inlineStr">
        <is>
          <t>The Future of American health care ; v. 2</t>
        </is>
      </c>
      <c r="R93" t="inlineStr">
        <is>
          <t xml:space="preserve">RA </t>
        </is>
      </c>
      <c r="S93" t="n">
        <v>15</v>
      </c>
      <c r="T93" t="n">
        <v>15</v>
      </c>
      <c r="U93" t="inlineStr">
        <is>
          <t>2007-09-18</t>
        </is>
      </c>
      <c r="V93" t="inlineStr">
        <is>
          <t>2007-09-18</t>
        </is>
      </c>
      <c r="W93" t="inlineStr">
        <is>
          <t>1994-06-08</t>
        </is>
      </c>
      <c r="X93" t="inlineStr">
        <is>
          <t>1994-06-08</t>
        </is>
      </c>
      <c r="Y93" t="n">
        <v>240</v>
      </c>
      <c r="Z93" t="n">
        <v>229</v>
      </c>
      <c r="AA93" t="n">
        <v>230</v>
      </c>
      <c r="AB93" t="n">
        <v>2</v>
      </c>
      <c r="AC93" t="n">
        <v>2</v>
      </c>
      <c r="AD93" t="n">
        <v>14</v>
      </c>
      <c r="AE93" t="n">
        <v>14</v>
      </c>
      <c r="AF93" t="n">
        <v>1</v>
      </c>
      <c r="AG93" t="n">
        <v>1</v>
      </c>
      <c r="AH93" t="n">
        <v>5</v>
      </c>
      <c r="AI93" t="n">
        <v>5</v>
      </c>
      <c r="AJ93" t="n">
        <v>6</v>
      </c>
      <c r="AK93" t="n">
        <v>6</v>
      </c>
      <c r="AL93" t="n">
        <v>1</v>
      </c>
      <c r="AM93" t="n">
        <v>1</v>
      </c>
      <c r="AN93" t="n">
        <v>5</v>
      </c>
      <c r="AO93" t="n">
        <v>5</v>
      </c>
      <c r="AP93" t="inlineStr">
        <is>
          <t>No</t>
        </is>
      </c>
      <c r="AQ93" t="inlineStr">
        <is>
          <t>Yes</t>
        </is>
      </c>
      <c r="AR93">
        <f>HYPERLINK("http://catalog.hathitrust.org/Record/002648008","HathiTrust Record")</f>
        <v/>
      </c>
      <c r="AS93">
        <f>HYPERLINK("https://creighton-primo.hosted.exlibrisgroup.com/primo-explore/search?tab=default_tab&amp;search_scope=EVERYTHING&amp;vid=01CRU&amp;lang=en_US&amp;offset=0&amp;query=any,contains,991002116319702656","Catalog Record")</f>
        <v/>
      </c>
      <c r="AT93">
        <f>HYPERLINK("http://www.worldcat.org/oclc/27110474","WorldCat Record")</f>
        <v/>
      </c>
      <c r="AU93" t="inlineStr">
        <is>
          <t>917007969:eng</t>
        </is>
      </c>
      <c r="AV93" t="inlineStr">
        <is>
          <t>27110474</t>
        </is>
      </c>
      <c r="AW93" t="inlineStr">
        <is>
          <t>991002116319702656</t>
        </is>
      </c>
      <c r="AX93" t="inlineStr">
        <is>
          <t>991002116319702656</t>
        </is>
      </c>
      <c r="AY93" t="inlineStr">
        <is>
          <t>2264186500002656</t>
        </is>
      </c>
      <c r="AZ93" t="inlineStr">
        <is>
          <t>BOOK</t>
        </is>
      </c>
      <c r="BB93" t="inlineStr">
        <is>
          <t>9781881393061</t>
        </is>
      </c>
      <c r="BC93" t="inlineStr">
        <is>
          <t>32285001922672</t>
        </is>
      </c>
      <c r="BD93" t="inlineStr">
        <is>
          <t>893609485</t>
        </is>
      </c>
    </row>
    <row r="94">
      <c r="A94" t="inlineStr">
        <is>
          <t>No</t>
        </is>
      </c>
      <c r="B94" t="inlineStr">
        <is>
          <t>RA410.53 .S7 1988</t>
        </is>
      </c>
      <c r="C94" t="inlineStr">
        <is>
          <t>0                      RA 0410530S  7           1988</t>
        </is>
      </c>
      <c r="D94" t="inlineStr">
        <is>
          <t>Stemming the rising costs of medical care : answers and antidotes.</t>
        </is>
      </c>
      <c r="F94" t="inlineStr">
        <is>
          <t>No</t>
        </is>
      </c>
      <c r="G94" t="inlineStr">
        <is>
          <t>1</t>
        </is>
      </c>
      <c r="H94" t="inlineStr">
        <is>
          <t>Yes</t>
        </is>
      </c>
      <c r="I94" t="inlineStr">
        <is>
          <t>No</t>
        </is>
      </c>
      <c r="J94" t="inlineStr">
        <is>
          <t>0</t>
        </is>
      </c>
      <c r="L94" t="inlineStr">
        <is>
          <t>Battle Creek, Mich. : W.K. Kellogg Foundation, 1988.</t>
        </is>
      </c>
      <c r="M94" t="inlineStr">
        <is>
          <t>1988</t>
        </is>
      </c>
      <c r="O94" t="inlineStr">
        <is>
          <t>eng</t>
        </is>
      </c>
      <c r="P94" t="inlineStr">
        <is>
          <t>miu</t>
        </is>
      </c>
      <c r="R94" t="inlineStr">
        <is>
          <t xml:space="preserve">RA </t>
        </is>
      </c>
      <c r="S94" t="n">
        <v>8</v>
      </c>
      <c r="T94" t="n">
        <v>14</v>
      </c>
      <c r="U94" t="inlineStr">
        <is>
          <t>2007-11-16</t>
        </is>
      </c>
      <c r="V94" t="inlineStr">
        <is>
          <t>2007-11-16</t>
        </is>
      </c>
      <c r="W94" t="inlineStr">
        <is>
          <t>1991-12-10</t>
        </is>
      </c>
      <c r="X94" t="inlineStr">
        <is>
          <t>1991-12-10</t>
        </is>
      </c>
      <c r="Y94" t="n">
        <v>527</v>
      </c>
      <c r="Z94" t="n">
        <v>506</v>
      </c>
      <c r="AA94" t="n">
        <v>507</v>
      </c>
      <c r="AB94" t="n">
        <v>6</v>
      </c>
      <c r="AC94" t="n">
        <v>6</v>
      </c>
      <c r="AD94" t="n">
        <v>19</v>
      </c>
      <c r="AE94" t="n">
        <v>19</v>
      </c>
      <c r="AF94" t="n">
        <v>6</v>
      </c>
      <c r="AG94" t="n">
        <v>6</v>
      </c>
      <c r="AH94" t="n">
        <v>3</v>
      </c>
      <c r="AI94" t="n">
        <v>3</v>
      </c>
      <c r="AJ94" t="n">
        <v>13</v>
      </c>
      <c r="AK94" t="n">
        <v>13</v>
      </c>
      <c r="AL94" t="n">
        <v>4</v>
      </c>
      <c r="AM94" t="n">
        <v>4</v>
      </c>
      <c r="AN94" t="n">
        <v>0</v>
      </c>
      <c r="AO94" t="n">
        <v>0</v>
      </c>
      <c r="AP94" t="inlineStr">
        <is>
          <t>No</t>
        </is>
      </c>
      <c r="AQ94" t="inlineStr">
        <is>
          <t>Yes</t>
        </is>
      </c>
      <c r="AR94">
        <f>HYPERLINK("http://catalog.hathitrust.org/Record/000902040","HathiTrust Record")</f>
        <v/>
      </c>
      <c r="AS94">
        <f>HYPERLINK("https://creighton-primo.hosted.exlibrisgroup.com/primo-explore/search?tab=default_tab&amp;search_scope=EVERYTHING&amp;vid=01CRU&amp;lang=en_US&amp;offset=0&amp;query=any,contains,991001789639702656","Catalog Record")</f>
        <v/>
      </c>
      <c r="AT94">
        <f>HYPERLINK("http://www.worldcat.org/oclc/17747965","WorldCat Record")</f>
        <v/>
      </c>
      <c r="AU94" t="inlineStr">
        <is>
          <t>1780485753:eng</t>
        </is>
      </c>
      <c r="AV94" t="inlineStr">
        <is>
          <t>17747965</t>
        </is>
      </c>
      <c r="AW94" t="inlineStr">
        <is>
          <t>991001789639702656</t>
        </is>
      </c>
      <c r="AX94" t="inlineStr">
        <is>
          <t>991001789639702656</t>
        </is>
      </c>
      <c r="AY94" t="inlineStr">
        <is>
          <t>2264137450002656</t>
        </is>
      </c>
      <c r="AZ94" t="inlineStr">
        <is>
          <t>BOOK</t>
        </is>
      </c>
      <c r="BC94" t="inlineStr">
        <is>
          <t>32285000886910</t>
        </is>
      </c>
      <c r="BD94" t="inlineStr">
        <is>
          <t>893885548</t>
        </is>
      </c>
    </row>
    <row r="95">
      <c r="A95" t="inlineStr">
        <is>
          <t>No</t>
        </is>
      </c>
      <c r="B95" t="inlineStr">
        <is>
          <t>RA410.54.M4 K47 1986</t>
        </is>
      </c>
      <c r="C95" t="inlineStr">
        <is>
          <t>0                      RA 0410540M  4                  K  47          1986</t>
        </is>
      </c>
      <c r="D95" t="inlineStr">
        <is>
          <t>Medicaid and other experiments in state health policy / Rosemary Gibson Kern and Susan R. Windham, with Paula Griswold.</t>
        </is>
      </c>
      <c r="F95" t="inlineStr">
        <is>
          <t>No</t>
        </is>
      </c>
      <c r="G95" t="inlineStr">
        <is>
          <t>1</t>
        </is>
      </c>
      <c r="H95" t="inlineStr">
        <is>
          <t>No</t>
        </is>
      </c>
      <c r="I95" t="inlineStr">
        <is>
          <t>No</t>
        </is>
      </c>
      <c r="J95" t="inlineStr">
        <is>
          <t>0</t>
        </is>
      </c>
      <c r="K95" t="inlineStr">
        <is>
          <t>Gibson, Rosemary, 1956-</t>
        </is>
      </c>
      <c r="L95" t="inlineStr">
        <is>
          <t>Washington, D.C. : American Enterprise Institute for Public Policy Research, c1986.</t>
        </is>
      </c>
      <c r="M95" t="inlineStr">
        <is>
          <t>1986</t>
        </is>
      </c>
      <c r="O95" t="inlineStr">
        <is>
          <t>eng</t>
        </is>
      </c>
      <c r="P95" t="inlineStr">
        <is>
          <t>dcu</t>
        </is>
      </c>
      <c r="Q95" t="inlineStr">
        <is>
          <t>American Enterprise Institute studies in health policy</t>
        </is>
      </c>
      <c r="R95" t="inlineStr">
        <is>
          <t xml:space="preserve">RA </t>
        </is>
      </c>
      <c r="S95" t="n">
        <v>13</v>
      </c>
      <c r="T95" t="n">
        <v>13</v>
      </c>
      <c r="U95" t="inlineStr">
        <is>
          <t>2008-05-20</t>
        </is>
      </c>
      <c r="V95" t="inlineStr">
        <is>
          <t>2008-05-20</t>
        </is>
      </c>
      <c r="W95" t="inlineStr">
        <is>
          <t>1993-02-09</t>
        </is>
      </c>
      <c r="X95" t="inlineStr">
        <is>
          <t>1993-02-09</t>
        </is>
      </c>
      <c r="Y95" t="n">
        <v>300</v>
      </c>
      <c r="Z95" t="n">
        <v>276</v>
      </c>
      <c r="AA95" t="n">
        <v>277</v>
      </c>
      <c r="AB95" t="n">
        <v>3</v>
      </c>
      <c r="AC95" t="n">
        <v>3</v>
      </c>
      <c r="AD95" t="n">
        <v>15</v>
      </c>
      <c r="AE95" t="n">
        <v>15</v>
      </c>
      <c r="AF95" t="n">
        <v>4</v>
      </c>
      <c r="AG95" t="n">
        <v>4</v>
      </c>
      <c r="AH95" t="n">
        <v>3</v>
      </c>
      <c r="AI95" t="n">
        <v>3</v>
      </c>
      <c r="AJ95" t="n">
        <v>6</v>
      </c>
      <c r="AK95" t="n">
        <v>6</v>
      </c>
      <c r="AL95" t="n">
        <v>2</v>
      </c>
      <c r="AM95" t="n">
        <v>2</v>
      </c>
      <c r="AN95" t="n">
        <v>4</v>
      </c>
      <c r="AO95" t="n">
        <v>4</v>
      </c>
      <c r="AP95" t="inlineStr">
        <is>
          <t>No</t>
        </is>
      </c>
      <c r="AQ95" t="inlineStr">
        <is>
          <t>Yes</t>
        </is>
      </c>
      <c r="AR95">
        <f>HYPERLINK("http://catalog.hathitrust.org/Record/000587180","HathiTrust Record")</f>
        <v/>
      </c>
      <c r="AS95">
        <f>HYPERLINK("https://creighton-primo.hosted.exlibrisgroup.com/primo-explore/search?tab=default_tab&amp;search_scope=EVERYTHING&amp;vid=01CRU&amp;lang=en_US&amp;offset=0&amp;query=any,contains,991000754129702656","Catalog Record")</f>
        <v/>
      </c>
      <c r="AT95">
        <f>HYPERLINK("http://www.worldcat.org/oclc/12945734","WorldCat Record")</f>
        <v/>
      </c>
      <c r="AU95" t="inlineStr">
        <is>
          <t>5857312:eng</t>
        </is>
      </c>
      <c r="AV95" t="inlineStr">
        <is>
          <t>12945734</t>
        </is>
      </c>
      <c r="AW95" t="inlineStr">
        <is>
          <t>991000754129702656</t>
        </is>
      </c>
      <c r="AX95" t="inlineStr">
        <is>
          <t>991000754129702656</t>
        </is>
      </c>
      <c r="AY95" t="inlineStr">
        <is>
          <t>2272417060002656</t>
        </is>
      </c>
      <c r="AZ95" t="inlineStr">
        <is>
          <t>BOOK</t>
        </is>
      </c>
      <c r="BB95" t="inlineStr">
        <is>
          <t>9780844735955</t>
        </is>
      </c>
      <c r="BC95" t="inlineStr">
        <is>
          <t>32285001449882</t>
        </is>
      </c>
      <c r="BD95" t="inlineStr">
        <is>
          <t>893589715</t>
        </is>
      </c>
    </row>
    <row r="96">
      <c r="A96" t="inlineStr">
        <is>
          <t>No</t>
        </is>
      </c>
      <c r="B96" t="inlineStr">
        <is>
          <t>RA410.55.E85 M38 1975</t>
        </is>
      </c>
      <c r="C96" t="inlineStr">
        <is>
          <t>0                      RA 0410550E  85                 M  38          1975</t>
        </is>
      </c>
      <c r="D96" t="inlineStr">
        <is>
          <t>Health care in the European community / Alan Maynard.</t>
        </is>
      </c>
      <c r="F96" t="inlineStr">
        <is>
          <t>No</t>
        </is>
      </c>
      <c r="G96" t="inlineStr">
        <is>
          <t>1</t>
        </is>
      </c>
      <c r="H96" t="inlineStr">
        <is>
          <t>No</t>
        </is>
      </c>
      <c r="I96" t="inlineStr">
        <is>
          <t>No</t>
        </is>
      </c>
      <c r="J96" t="inlineStr">
        <is>
          <t>0</t>
        </is>
      </c>
      <c r="K96" t="inlineStr">
        <is>
          <t>Maynard, Alan.</t>
        </is>
      </c>
      <c r="L96" t="inlineStr">
        <is>
          <t>[Pittsburgh] : University of Pittsburgh Press, 1975.</t>
        </is>
      </c>
      <c r="M96" t="inlineStr">
        <is>
          <t>1975</t>
        </is>
      </c>
      <c r="O96" t="inlineStr">
        <is>
          <t>eng</t>
        </is>
      </c>
      <c r="P96" t="inlineStr">
        <is>
          <t>pau</t>
        </is>
      </c>
      <c r="Q96" t="inlineStr">
        <is>
          <t>Contemporary community health series</t>
        </is>
      </c>
      <c r="R96" t="inlineStr">
        <is>
          <t xml:space="preserve">RA </t>
        </is>
      </c>
      <c r="S96" t="n">
        <v>3</v>
      </c>
      <c r="T96" t="n">
        <v>3</v>
      </c>
      <c r="U96" t="inlineStr">
        <is>
          <t>1998-04-10</t>
        </is>
      </c>
      <c r="V96" t="inlineStr">
        <is>
          <t>1998-04-10</t>
        </is>
      </c>
      <c r="W96" t="inlineStr">
        <is>
          <t>1997-08-08</t>
        </is>
      </c>
      <c r="X96" t="inlineStr">
        <is>
          <t>1997-08-08</t>
        </is>
      </c>
      <c r="Y96" t="n">
        <v>297</v>
      </c>
      <c r="Z96" t="n">
        <v>262</v>
      </c>
      <c r="AA96" t="n">
        <v>303</v>
      </c>
      <c r="AB96" t="n">
        <v>1</v>
      </c>
      <c r="AC96" t="n">
        <v>1</v>
      </c>
      <c r="AD96" t="n">
        <v>9</v>
      </c>
      <c r="AE96" t="n">
        <v>10</v>
      </c>
      <c r="AF96" t="n">
        <v>1</v>
      </c>
      <c r="AG96" t="n">
        <v>1</v>
      </c>
      <c r="AH96" t="n">
        <v>4</v>
      </c>
      <c r="AI96" t="n">
        <v>4</v>
      </c>
      <c r="AJ96" t="n">
        <v>7</v>
      </c>
      <c r="AK96" t="n">
        <v>8</v>
      </c>
      <c r="AL96" t="n">
        <v>0</v>
      </c>
      <c r="AM96" t="n">
        <v>0</v>
      </c>
      <c r="AN96" t="n">
        <v>1</v>
      </c>
      <c r="AO96" t="n">
        <v>1</v>
      </c>
      <c r="AP96" t="inlineStr">
        <is>
          <t>No</t>
        </is>
      </c>
      <c r="AQ96" t="inlineStr">
        <is>
          <t>Yes</t>
        </is>
      </c>
      <c r="AR96">
        <f>HYPERLINK("http://catalog.hathitrust.org/Record/001558606","HathiTrust Record")</f>
        <v/>
      </c>
      <c r="AS96">
        <f>HYPERLINK("https://creighton-primo.hosted.exlibrisgroup.com/primo-explore/search?tab=default_tab&amp;search_scope=EVERYTHING&amp;vid=01CRU&amp;lang=en_US&amp;offset=0&amp;query=any,contains,991003693059702656","Catalog Record")</f>
        <v/>
      </c>
      <c r="AT96">
        <f>HYPERLINK("http://www.worldcat.org/oclc/1323727","WorldCat Record")</f>
        <v/>
      </c>
      <c r="AU96" t="inlineStr">
        <is>
          <t>2204330:eng</t>
        </is>
      </c>
      <c r="AV96" t="inlineStr">
        <is>
          <t>1323727</t>
        </is>
      </c>
      <c r="AW96" t="inlineStr">
        <is>
          <t>991003693059702656</t>
        </is>
      </c>
      <c r="AX96" t="inlineStr">
        <is>
          <t>991003693059702656</t>
        </is>
      </c>
      <c r="AY96" t="inlineStr">
        <is>
          <t>2255205030002656</t>
        </is>
      </c>
      <c r="AZ96" t="inlineStr">
        <is>
          <t>BOOK</t>
        </is>
      </c>
      <c r="BB96" t="inlineStr">
        <is>
          <t>9780822911197</t>
        </is>
      </c>
      <c r="BC96" t="inlineStr">
        <is>
          <t>32285003083382</t>
        </is>
      </c>
      <c r="BD96" t="inlineStr">
        <is>
          <t>893531493</t>
        </is>
      </c>
    </row>
    <row r="97">
      <c r="A97" t="inlineStr">
        <is>
          <t>No</t>
        </is>
      </c>
      <c r="B97" t="inlineStr">
        <is>
          <t>RA410.55.G7 P76 1991</t>
        </is>
      </c>
      <c r="C97" t="inlineStr">
        <is>
          <t>0                      RA 0410550G  7                  P  76          1991</t>
        </is>
      </c>
      <c r="D97" t="inlineStr">
        <is>
          <t>Providing health care : the economics of alternative systems of finance and delivery / edited by Alistair McGuire, Paul Fenn, and Ken Mayhew.</t>
        </is>
      </c>
      <c r="F97" t="inlineStr">
        <is>
          <t>No</t>
        </is>
      </c>
      <c r="G97" t="inlineStr">
        <is>
          <t>1</t>
        </is>
      </c>
      <c r="H97" t="inlineStr">
        <is>
          <t>No</t>
        </is>
      </c>
      <c r="I97" t="inlineStr">
        <is>
          <t>No</t>
        </is>
      </c>
      <c r="J97" t="inlineStr">
        <is>
          <t>0</t>
        </is>
      </c>
      <c r="L97" t="inlineStr">
        <is>
          <t>Oxford ; New York : Oxford University Press, 1991.</t>
        </is>
      </c>
      <c r="M97" t="inlineStr">
        <is>
          <t>1991</t>
        </is>
      </c>
      <c r="O97" t="inlineStr">
        <is>
          <t>eng</t>
        </is>
      </c>
      <c r="P97" t="inlineStr">
        <is>
          <t>enk</t>
        </is>
      </c>
      <c r="R97" t="inlineStr">
        <is>
          <t xml:space="preserve">RA </t>
        </is>
      </c>
      <c r="S97" t="n">
        <v>5</v>
      </c>
      <c r="T97" t="n">
        <v>5</v>
      </c>
      <c r="U97" t="inlineStr">
        <is>
          <t>2001-08-29</t>
        </is>
      </c>
      <c r="V97" t="inlineStr">
        <is>
          <t>2001-08-29</t>
        </is>
      </c>
      <c r="W97" t="inlineStr">
        <is>
          <t>1996-04-17</t>
        </is>
      </c>
      <c r="X97" t="inlineStr">
        <is>
          <t>1996-04-17</t>
        </is>
      </c>
      <c r="Y97" t="n">
        <v>272</v>
      </c>
      <c r="Z97" t="n">
        <v>134</v>
      </c>
      <c r="AA97" t="n">
        <v>135</v>
      </c>
      <c r="AB97" t="n">
        <v>2</v>
      </c>
      <c r="AC97" t="n">
        <v>2</v>
      </c>
      <c r="AD97" t="n">
        <v>3</v>
      </c>
      <c r="AE97" t="n">
        <v>3</v>
      </c>
      <c r="AF97" t="n">
        <v>0</v>
      </c>
      <c r="AG97" t="n">
        <v>0</v>
      </c>
      <c r="AH97" t="n">
        <v>1</v>
      </c>
      <c r="AI97" t="n">
        <v>1</v>
      </c>
      <c r="AJ97" t="n">
        <v>1</v>
      </c>
      <c r="AK97" t="n">
        <v>1</v>
      </c>
      <c r="AL97" t="n">
        <v>1</v>
      </c>
      <c r="AM97" t="n">
        <v>1</v>
      </c>
      <c r="AN97" t="n">
        <v>0</v>
      </c>
      <c r="AO97" t="n">
        <v>0</v>
      </c>
      <c r="AP97" t="inlineStr">
        <is>
          <t>No</t>
        </is>
      </c>
      <c r="AQ97" t="inlineStr">
        <is>
          <t>No</t>
        </is>
      </c>
      <c r="AS97">
        <f>HYPERLINK("https://creighton-primo.hosted.exlibrisgroup.com/primo-explore/search?tab=default_tab&amp;search_scope=EVERYTHING&amp;vid=01CRU&amp;lang=en_US&amp;offset=0&amp;query=any,contains,991001817909702656","Catalog Record")</f>
        <v/>
      </c>
      <c r="AT97">
        <f>HYPERLINK("http://www.worldcat.org/oclc/22859752","WorldCat Record")</f>
        <v/>
      </c>
      <c r="AU97" t="inlineStr">
        <is>
          <t>809836211:eng</t>
        </is>
      </c>
      <c r="AV97" t="inlineStr">
        <is>
          <t>22859752</t>
        </is>
      </c>
      <c r="AW97" t="inlineStr">
        <is>
          <t>991001817909702656</t>
        </is>
      </c>
      <c r="AX97" t="inlineStr">
        <is>
          <t>991001817909702656</t>
        </is>
      </c>
      <c r="AY97" t="inlineStr">
        <is>
          <t>2259240420002656</t>
        </is>
      </c>
      <c r="AZ97" t="inlineStr">
        <is>
          <t>BOOK</t>
        </is>
      </c>
      <c r="BB97" t="inlineStr">
        <is>
          <t>9780198283225</t>
        </is>
      </c>
      <c r="BC97" t="inlineStr">
        <is>
          <t>32285002153723</t>
        </is>
      </c>
      <c r="BD97" t="inlineStr">
        <is>
          <t>893328397</t>
        </is>
      </c>
    </row>
    <row r="98">
      <c r="A98" t="inlineStr">
        <is>
          <t>No</t>
        </is>
      </c>
      <c r="B98" t="inlineStr">
        <is>
          <t>RA410.56 .K43 1988</t>
        </is>
      </c>
      <c r="C98" t="inlineStr">
        <is>
          <t>0                      RA 0410560K  43          1988</t>
        </is>
      </c>
      <c r="D98" t="inlineStr">
        <is>
          <t>Market research handbook for health care professionals / Paul H. Keckley.</t>
        </is>
      </c>
      <c r="F98" t="inlineStr">
        <is>
          <t>No</t>
        </is>
      </c>
      <c r="G98" t="inlineStr">
        <is>
          <t>1</t>
        </is>
      </c>
      <c r="H98" t="inlineStr">
        <is>
          <t>No</t>
        </is>
      </c>
      <c r="I98" t="inlineStr">
        <is>
          <t>No</t>
        </is>
      </c>
      <c r="J98" t="inlineStr">
        <is>
          <t>0</t>
        </is>
      </c>
      <c r="K98" t="inlineStr">
        <is>
          <t>Keckley, Paul H.</t>
        </is>
      </c>
      <c r="L98" t="inlineStr">
        <is>
          <t>Chicago, Ill. : American Hospital Pub., c1988.</t>
        </is>
      </c>
      <c r="M98" t="inlineStr">
        <is>
          <t>1988</t>
        </is>
      </c>
      <c r="O98" t="inlineStr">
        <is>
          <t>eng</t>
        </is>
      </c>
      <c r="P98" t="inlineStr">
        <is>
          <t>ilu</t>
        </is>
      </c>
      <c r="R98" t="inlineStr">
        <is>
          <t xml:space="preserve">RA </t>
        </is>
      </c>
      <c r="S98" t="n">
        <v>3</v>
      </c>
      <c r="T98" t="n">
        <v>3</v>
      </c>
      <c r="U98" t="inlineStr">
        <is>
          <t>2002-04-26</t>
        </is>
      </c>
      <c r="V98" t="inlineStr">
        <is>
          <t>2002-04-26</t>
        </is>
      </c>
      <c r="W98" t="inlineStr">
        <is>
          <t>1991-05-16</t>
        </is>
      </c>
      <c r="X98" t="inlineStr">
        <is>
          <t>1991-05-16</t>
        </is>
      </c>
      <c r="Y98" t="n">
        <v>137</v>
      </c>
      <c r="Z98" t="n">
        <v>128</v>
      </c>
      <c r="AA98" t="n">
        <v>130</v>
      </c>
      <c r="AB98" t="n">
        <v>2</v>
      </c>
      <c r="AC98" t="n">
        <v>2</v>
      </c>
      <c r="AD98" t="n">
        <v>6</v>
      </c>
      <c r="AE98" t="n">
        <v>6</v>
      </c>
      <c r="AF98" t="n">
        <v>2</v>
      </c>
      <c r="AG98" t="n">
        <v>2</v>
      </c>
      <c r="AH98" t="n">
        <v>1</v>
      </c>
      <c r="AI98" t="n">
        <v>1</v>
      </c>
      <c r="AJ98" t="n">
        <v>4</v>
      </c>
      <c r="AK98" t="n">
        <v>4</v>
      </c>
      <c r="AL98" t="n">
        <v>0</v>
      </c>
      <c r="AM98" t="n">
        <v>0</v>
      </c>
      <c r="AN98" t="n">
        <v>0</v>
      </c>
      <c r="AO98" t="n">
        <v>0</v>
      </c>
      <c r="AP98" t="inlineStr">
        <is>
          <t>No</t>
        </is>
      </c>
      <c r="AQ98" t="inlineStr">
        <is>
          <t>Yes</t>
        </is>
      </c>
      <c r="AR98">
        <f>HYPERLINK("http://catalog.hathitrust.org/Record/004520720","HathiTrust Record")</f>
        <v/>
      </c>
      <c r="AS98">
        <f>HYPERLINK("https://creighton-primo.hosted.exlibrisgroup.com/primo-explore/search?tab=default_tab&amp;search_scope=EVERYTHING&amp;vid=01CRU&amp;lang=en_US&amp;offset=0&amp;query=any,contains,991001290799702656","Catalog Record")</f>
        <v/>
      </c>
      <c r="AT98">
        <f>HYPERLINK("http://www.worldcat.org/oclc/17983473","WorldCat Record")</f>
        <v/>
      </c>
      <c r="AU98" t="inlineStr">
        <is>
          <t>16855184:eng</t>
        </is>
      </c>
      <c r="AV98" t="inlineStr">
        <is>
          <t>17983473</t>
        </is>
      </c>
      <c r="AW98" t="inlineStr">
        <is>
          <t>991001290799702656</t>
        </is>
      </c>
      <c r="AX98" t="inlineStr">
        <is>
          <t>991001290799702656</t>
        </is>
      </c>
      <c r="AY98" t="inlineStr">
        <is>
          <t>2258712980002656</t>
        </is>
      </c>
      <c r="AZ98" t="inlineStr">
        <is>
          <t>BOOK</t>
        </is>
      </c>
      <c r="BB98" t="inlineStr">
        <is>
          <t>9781556480133</t>
        </is>
      </c>
      <c r="BC98" t="inlineStr">
        <is>
          <t>32285000573807</t>
        </is>
      </c>
      <c r="BD98" t="inlineStr">
        <is>
          <t>893439042</t>
        </is>
      </c>
    </row>
    <row r="99">
      <c r="A99" t="inlineStr">
        <is>
          <t>No</t>
        </is>
      </c>
      <c r="B99" t="inlineStr">
        <is>
          <t>RA410.7 .C48 1987</t>
        </is>
      </c>
      <c r="C99" t="inlineStr">
        <is>
          <t>0                      RA 0410700C  48          1987</t>
        </is>
      </c>
      <c r="D99" t="inlineStr">
        <is>
          <t>Rationing health care in America : perceptions and principles of justice / Larry R. Churchill.</t>
        </is>
      </c>
      <c r="F99" t="inlineStr">
        <is>
          <t>No</t>
        </is>
      </c>
      <c r="G99" t="inlineStr">
        <is>
          <t>1</t>
        </is>
      </c>
      <c r="H99" t="inlineStr">
        <is>
          <t>No</t>
        </is>
      </c>
      <c r="I99" t="inlineStr">
        <is>
          <t>No</t>
        </is>
      </c>
      <c r="J99" t="inlineStr">
        <is>
          <t>0</t>
        </is>
      </c>
      <c r="K99" t="inlineStr">
        <is>
          <t>Churchill, Larry R., 1945-</t>
        </is>
      </c>
      <c r="L99" t="inlineStr">
        <is>
          <t>Notre Dame, Ind. : University of Notre Dame Press, c1987.</t>
        </is>
      </c>
      <c r="M99" t="inlineStr">
        <is>
          <t>1987</t>
        </is>
      </c>
      <c r="O99" t="inlineStr">
        <is>
          <t>eng</t>
        </is>
      </c>
      <c r="P99" t="inlineStr">
        <is>
          <t>inu</t>
        </is>
      </c>
      <c r="R99" t="inlineStr">
        <is>
          <t xml:space="preserve">RA </t>
        </is>
      </c>
      <c r="S99" t="n">
        <v>20</v>
      </c>
      <c r="T99" t="n">
        <v>20</v>
      </c>
      <c r="U99" t="inlineStr">
        <is>
          <t>2007-11-16</t>
        </is>
      </c>
      <c r="V99" t="inlineStr">
        <is>
          <t>2007-11-16</t>
        </is>
      </c>
      <c r="W99" t="inlineStr">
        <is>
          <t>1992-06-17</t>
        </is>
      </c>
      <c r="X99" t="inlineStr">
        <is>
          <t>1992-06-17</t>
        </is>
      </c>
      <c r="Y99" t="n">
        <v>615</v>
      </c>
      <c r="Z99" t="n">
        <v>563</v>
      </c>
      <c r="AA99" t="n">
        <v>587</v>
      </c>
      <c r="AB99" t="n">
        <v>5</v>
      </c>
      <c r="AC99" t="n">
        <v>5</v>
      </c>
      <c r="AD99" t="n">
        <v>33</v>
      </c>
      <c r="AE99" t="n">
        <v>33</v>
      </c>
      <c r="AF99" t="n">
        <v>11</v>
      </c>
      <c r="AG99" t="n">
        <v>11</v>
      </c>
      <c r="AH99" t="n">
        <v>5</v>
      </c>
      <c r="AI99" t="n">
        <v>5</v>
      </c>
      <c r="AJ99" t="n">
        <v>17</v>
      </c>
      <c r="AK99" t="n">
        <v>17</v>
      </c>
      <c r="AL99" t="n">
        <v>4</v>
      </c>
      <c r="AM99" t="n">
        <v>4</v>
      </c>
      <c r="AN99" t="n">
        <v>5</v>
      </c>
      <c r="AO99" t="n">
        <v>5</v>
      </c>
      <c r="AP99" t="inlineStr">
        <is>
          <t>No</t>
        </is>
      </c>
      <c r="AQ99" t="inlineStr">
        <is>
          <t>Yes</t>
        </is>
      </c>
      <c r="AR99">
        <f>HYPERLINK("http://catalog.hathitrust.org/Record/000825602","HathiTrust Record")</f>
        <v/>
      </c>
      <c r="AS99">
        <f>HYPERLINK("https://creighton-primo.hosted.exlibrisgroup.com/primo-explore/search?tab=default_tab&amp;search_scope=EVERYTHING&amp;vid=01CRU&amp;lang=en_US&amp;offset=0&amp;query=any,contains,991001020359702656","Catalog Record")</f>
        <v/>
      </c>
      <c r="AT99">
        <f>HYPERLINK("http://www.worldcat.org/oclc/15366648","WorldCat Record")</f>
        <v/>
      </c>
      <c r="AU99" t="inlineStr">
        <is>
          <t>10100179:eng</t>
        </is>
      </c>
      <c r="AV99" t="inlineStr">
        <is>
          <t>15366648</t>
        </is>
      </c>
      <c r="AW99" t="inlineStr">
        <is>
          <t>991001020359702656</t>
        </is>
      </c>
      <c r="AX99" t="inlineStr">
        <is>
          <t>991001020359702656</t>
        </is>
      </c>
      <c r="AY99" t="inlineStr">
        <is>
          <t>2259622680002656</t>
        </is>
      </c>
      <c r="AZ99" t="inlineStr">
        <is>
          <t>BOOK</t>
        </is>
      </c>
      <c r="BB99" t="inlineStr">
        <is>
          <t>9780268016302</t>
        </is>
      </c>
      <c r="BC99" t="inlineStr">
        <is>
          <t>32285001132215</t>
        </is>
      </c>
      <c r="BD99" t="inlineStr">
        <is>
          <t>893784745</t>
        </is>
      </c>
    </row>
    <row r="100">
      <c r="A100" t="inlineStr">
        <is>
          <t>No</t>
        </is>
      </c>
      <c r="B100" t="inlineStr">
        <is>
          <t>RA410.7 .S47 1994</t>
        </is>
      </c>
      <c r="C100" t="inlineStr">
        <is>
          <t>0                      RA 0410700S  47          1994</t>
        </is>
      </c>
      <c r="D100" t="inlineStr">
        <is>
          <t>Cost and competition in American medicine : theory, policy, and institutions / Les Seplaki.</t>
        </is>
      </c>
      <c r="F100" t="inlineStr">
        <is>
          <t>No</t>
        </is>
      </c>
      <c r="G100" t="inlineStr">
        <is>
          <t>1</t>
        </is>
      </c>
      <c r="H100" t="inlineStr">
        <is>
          <t>No</t>
        </is>
      </c>
      <c r="I100" t="inlineStr">
        <is>
          <t>No</t>
        </is>
      </c>
      <c r="J100" t="inlineStr">
        <is>
          <t>0</t>
        </is>
      </c>
      <c r="K100" t="inlineStr">
        <is>
          <t>Seplaki, Les.</t>
        </is>
      </c>
      <c r="L100" t="inlineStr">
        <is>
          <t>Lanham, Md. : University Press of America, c1994.</t>
        </is>
      </c>
      <c r="M100" t="inlineStr">
        <is>
          <t>1994</t>
        </is>
      </c>
      <c r="O100" t="inlineStr">
        <is>
          <t>eng</t>
        </is>
      </c>
      <c r="P100" t="inlineStr">
        <is>
          <t>mdu</t>
        </is>
      </c>
      <c r="R100" t="inlineStr">
        <is>
          <t xml:space="preserve">RA </t>
        </is>
      </c>
      <c r="S100" t="n">
        <v>4</v>
      </c>
      <c r="T100" t="n">
        <v>4</v>
      </c>
      <c r="U100" t="inlineStr">
        <is>
          <t>2002-07-08</t>
        </is>
      </c>
      <c r="V100" t="inlineStr">
        <is>
          <t>2002-07-08</t>
        </is>
      </c>
      <c r="W100" t="inlineStr">
        <is>
          <t>1996-03-21</t>
        </is>
      </c>
      <c r="X100" t="inlineStr">
        <is>
          <t>1996-03-21</t>
        </is>
      </c>
      <c r="Y100" t="n">
        <v>136</v>
      </c>
      <c r="Z100" t="n">
        <v>129</v>
      </c>
      <c r="AA100" t="n">
        <v>135</v>
      </c>
      <c r="AB100" t="n">
        <v>3</v>
      </c>
      <c r="AC100" t="n">
        <v>3</v>
      </c>
      <c r="AD100" t="n">
        <v>9</v>
      </c>
      <c r="AE100" t="n">
        <v>9</v>
      </c>
      <c r="AF100" t="n">
        <v>1</v>
      </c>
      <c r="AG100" t="n">
        <v>1</v>
      </c>
      <c r="AH100" t="n">
        <v>4</v>
      </c>
      <c r="AI100" t="n">
        <v>4</v>
      </c>
      <c r="AJ100" t="n">
        <v>4</v>
      </c>
      <c r="AK100" t="n">
        <v>4</v>
      </c>
      <c r="AL100" t="n">
        <v>2</v>
      </c>
      <c r="AM100" t="n">
        <v>2</v>
      </c>
      <c r="AN100" t="n">
        <v>1</v>
      </c>
      <c r="AO100" t="n">
        <v>1</v>
      </c>
      <c r="AP100" t="inlineStr">
        <is>
          <t>No</t>
        </is>
      </c>
      <c r="AQ100" t="inlineStr">
        <is>
          <t>Yes</t>
        </is>
      </c>
      <c r="AR100">
        <f>HYPERLINK("http://catalog.hathitrust.org/Record/102024990","HathiTrust Record")</f>
        <v/>
      </c>
      <c r="AS100">
        <f>HYPERLINK("https://creighton-primo.hosted.exlibrisgroup.com/primo-explore/search?tab=default_tab&amp;search_scope=EVERYTHING&amp;vid=01CRU&amp;lang=en_US&amp;offset=0&amp;query=any,contains,991002369689702656","Catalog Record")</f>
        <v/>
      </c>
      <c r="AT100">
        <f>HYPERLINK("http://www.worldcat.org/oclc/30808993","WorldCat Record")</f>
        <v/>
      </c>
      <c r="AU100" t="inlineStr">
        <is>
          <t>1215528667:eng</t>
        </is>
      </c>
      <c r="AV100" t="inlineStr">
        <is>
          <t>30808993</t>
        </is>
      </c>
      <c r="AW100" t="inlineStr">
        <is>
          <t>991002369689702656</t>
        </is>
      </c>
      <c r="AX100" t="inlineStr">
        <is>
          <t>991002369689702656</t>
        </is>
      </c>
      <c r="AY100" t="inlineStr">
        <is>
          <t>2262071200002656</t>
        </is>
      </c>
      <c r="AZ100" t="inlineStr">
        <is>
          <t>BOOK</t>
        </is>
      </c>
      <c r="BB100" t="inlineStr">
        <is>
          <t>9780819196392</t>
        </is>
      </c>
      <c r="BC100" t="inlineStr">
        <is>
          <t>32285002145711</t>
        </is>
      </c>
      <c r="BD100" t="inlineStr">
        <is>
          <t>893529890</t>
        </is>
      </c>
    </row>
    <row r="101">
      <c r="A101" t="inlineStr">
        <is>
          <t>No</t>
        </is>
      </c>
      <c r="B101" t="inlineStr">
        <is>
          <t>RA411 .I55 1976</t>
        </is>
      </c>
      <c r="C101" t="inlineStr">
        <is>
          <t>0                      RA 0411000I  55          1976</t>
        </is>
      </c>
      <c r="D101" t="inlineStr">
        <is>
          <t>International aspects of the provision of medical care / edited by P. W. Kent.</t>
        </is>
      </c>
      <c r="F101" t="inlineStr">
        <is>
          <t>No</t>
        </is>
      </c>
      <c r="G101" t="inlineStr">
        <is>
          <t>1</t>
        </is>
      </c>
      <c r="H101" t="inlineStr">
        <is>
          <t>No</t>
        </is>
      </c>
      <c r="I101" t="inlineStr">
        <is>
          <t>No</t>
        </is>
      </c>
      <c r="J101" t="inlineStr">
        <is>
          <t>0</t>
        </is>
      </c>
      <c r="L101" t="inlineStr">
        <is>
          <t>Stocksfield, Eng. ; Boston : Oriel Press, 1976.</t>
        </is>
      </c>
      <c r="M101" t="inlineStr">
        <is>
          <t>1976</t>
        </is>
      </c>
      <c r="O101" t="inlineStr">
        <is>
          <t>eng</t>
        </is>
      </c>
      <c r="P101" t="inlineStr">
        <is>
          <t>enk</t>
        </is>
      </c>
      <c r="R101" t="inlineStr">
        <is>
          <t xml:space="preserve">RA </t>
        </is>
      </c>
      <c r="S101" t="n">
        <v>6</v>
      </c>
      <c r="T101" t="n">
        <v>6</v>
      </c>
      <c r="U101" t="inlineStr">
        <is>
          <t>2002-07-24</t>
        </is>
      </c>
      <c r="V101" t="inlineStr">
        <is>
          <t>2002-07-24</t>
        </is>
      </c>
      <c r="W101" t="inlineStr">
        <is>
          <t>1992-12-01</t>
        </is>
      </c>
      <c r="X101" t="inlineStr">
        <is>
          <t>1992-12-01</t>
        </is>
      </c>
      <c r="Y101" t="n">
        <v>212</v>
      </c>
      <c r="Z101" t="n">
        <v>141</v>
      </c>
      <c r="AA101" t="n">
        <v>143</v>
      </c>
      <c r="AB101" t="n">
        <v>2</v>
      </c>
      <c r="AC101" t="n">
        <v>2</v>
      </c>
      <c r="AD101" t="n">
        <v>6</v>
      </c>
      <c r="AE101" t="n">
        <v>6</v>
      </c>
      <c r="AF101" t="n">
        <v>1</v>
      </c>
      <c r="AG101" t="n">
        <v>1</v>
      </c>
      <c r="AH101" t="n">
        <v>1</v>
      </c>
      <c r="AI101" t="n">
        <v>1</v>
      </c>
      <c r="AJ101" t="n">
        <v>3</v>
      </c>
      <c r="AK101" t="n">
        <v>3</v>
      </c>
      <c r="AL101" t="n">
        <v>1</v>
      </c>
      <c r="AM101" t="n">
        <v>1</v>
      </c>
      <c r="AN101" t="n">
        <v>0</v>
      </c>
      <c r="AO101" t="n">
        <v>0</v>
      </c>
      <c r="AP101" t="inlineStr">
        <is>
          <t>No</t>
        </is>
      </c>
      <c r="AQ101" t="inlineStr">
        <is>
          <t>Yes</t>
        </is>
      </c>
      <c r="AR101">
        <f>HYPERLINK("http://catalog.hathitrust.org/Record/006112796","HathiTrust Record")</f>
        <v/>
      </c>
      <c r="AS101">
        <f>HYPERLINK("https://creighton-primo.hosted.exlibrisgroup.com/primo-explore/search?tab=default_tab&amp;search_scope=EVERYTHING&amp;vid=01CRU&amp;lang=en_US&amp;offset=0&amp;query=any,contains,991004213479702656","Catalog Record")</f>
        <v/>
      </c>
      <c r="AT101">
        <f>HYPERLINK("http://www.worldcat.org/oclc/2690995","WorldCat Record")</f>
        <v/>
      </c>
      <c r="AU101" t="inlineStr">
        <is>
          <t>54148621:eng</t>
        </is>
      </c>
      <c r="AV101" t="inlineStr">
        <is>
          <t>2690995</t>
        </is>
      </c>
      <c r="AW101" t="inlineStr">
        <is>
          <t>991004213479702656</t>
        </is>
      </c>
      <c r="AX101" t="inlineStr">
        <is>
          <t>991004213479702656</t>
        </is>
      </c>
      <c r="AY101" t="inlineStr">
        <is>
          <t>2271079950002656</t>
        </is>
      </c>
      <c r="AZ101" t="inlineStr">
        <is>
          <t>BOOK</t>
        </is>
      </c>
      <c r="BB101" t="inlineStr">
        <is>
          <t>9780853621607</t>
        </is>
      </c>
      <c r="BC101" t="inlineStr">
        <is>
          <t>32285001410744</t>
        </is>
      </c>
      <c r="BD101" t="inlineStr">
        <is>
          <t>893423517</t>
        </is>
      </c>
    </row>
    <row r="102">
      <c r="A102" t="inlineStr">
        <is>
          <t>No</t>
        </is>
      </c>
      <c r="B102" t="inlineStr">
        <is>
          <t>RA412 .S33</t>
        </is>
      </c>
      <c r="C102" t="inlineStr">
        <is>
          <t>0                      RA 0412000S  33</t>
        </is>
      </c>
      <c r="D102" t="inlineStr">
        <is>
          <t>Financing medical care : an appraisal of foreign programs. Current commentaries on medical care systems in seven foreign countries written by economists, actuaries, political analysts, physicians, professors of medicine, and statesmen / by Colm Brogan [and others]</t>
        </is>
      </c>
      <c r="F102" t="inlineStr">
        <is>
          <t>No</t>
        </is>
      </c>
      <c r="G102" t="inlineStr">
        <is>
          <t>1</t>
        </is>
      </c>
      <c r="H102" t="inlineStr">
        <is>
          <t>No</t>
        </is>
      </c>
      <c r="I102" t="inlineStr">
        <is>
          <t>No</t>
        </is>
      </c>
      <c r="J102" t="inlineStr">
        <is>
          <t>0</t>
        </is>
      </c>
      <c r="K102" t="inlineStr">
        <is>
          <t>Schoeck, Helmut editor.</t>
        </is>
      </c>
      <c r="L102" t="inlineStr">
        <is>
          <t>Caldwell, Idaho : Caxton Printers, 1962.</t>
        </is>
      </c>
      <c r="M102" t="inlineStr">
        <is>
          <t>1962</t>
        </is>
      </c>
      <c r="O102" t="inlineStr">
        <is>
          <t>eng</t>
        </is>
      </c>
      <c r="P102" t="inlineStr">
        <is>
          <t>idu</t>
        </is>
      </c>
      <c r="R102" t="inlineStr">
        <is>
          <t xml:space="preserve">RA </t>
        </is>
      </c>
      <c r="S102" t="n">
        <v>3</v>
      </c>
      <c r="T102" t="n">
        <v>3</v>
      </c>
      <c r="U102" t="inlineStr">
        <is>
          <t>1994-04-18</t>
        </is>
      </c>
      <c r="V102" t="inlineStr">
        <is>
          <t>1994-04-18</t>
        </is>
      </c>
      <c r="W102" t="inlineStr">
        <is>
          <t>1991-09-18</t>
        </is>
      </c>
      <c r="X102" t="inlineStr">
        <is>
          <t>1991-09-18</t>
        </is>
      </c>
      <c r="Y102" t="n">
        <v>384</v>
      </c>
      <c r="Z102" t="n">
        <v>353</v>
      </c>
      <c r="AA102" t="n">
        <v>363</v>
      </c>
      <c r="AB102" t="n">
        <v>4</v>
      </c>
      <c r="AC102" t="n">
        <v>4</v>
      </c>
      <c r="AD102" t="n">
        <v>13</v>
      </c>
      <c r="AE102" t="n">
        <v>13</v>
      </c>
      <c r="AF102" t="n">
        <v>2</v>
      </c>
      <c r="AG102" t="n">
        <v>2</v>
      </c>
      <c r="AH102" t="n">
        <v>3</v>
      </c>
      <c r="AI102" t="n">
        <v>3</v>
      </c>
      <c r="AJ102" t="n">
        <v>7</v>
      </c>
      <c r="AK102" t="n">
        <v>7</v>
      </c>
      <c r="AL102" t="n">
        <v>3</v>
      </c>
      <c r="AM102" t="n">
        <v>3</v>
      </c>
      <c r="AN102" t="n">
        <v>0</v>
      </c>
      <c r="AO102" t="n">
        <v>0</v>
      </c>
      <c r="AP102" t="inlineStr">
        <is>
          <t>No</t>
        </is>
      </c>
      <c r="AQ102" t="inlineStr">
        <is>
          <t>Yes</t>
        </is>
      </c>
      <c r="AR102">
        <f>HYPERLINK("http://catalog.hathitrust.org/Record/001588221","HathiTrust Record")</f>
        <v/>
      </c>
      <c r="AS102">
        <f>HYPERLINK("https://creighton-primo.hosted.exlibrisgroup.com/primo-explore/search?tab=default_tab&amp;search_scope=EVERYTHING&amp;vid=01CRU&amp;lang=en_US&amp;offset=0&amp;query=any,contains,991003081679702656","Catalog Record")</f>
        <v/>
      </c>
      <c r="AT102">
        <f>HYPERLINK("http://www.worldcat.org/oclc/633733","WorldCat Record")</f>
        <v/>
      </c>
      <c r="AU102" t="inlineStr">
        <is>
          <t>2864098386:eng</t>
        </is>
      </c>
      <c r="AV102" t="inlineStr">
        <is>
          <t>633733</t>
        </is>
      </c>
      <c r="AW102" t="inlineStr">
        <is>
          <t>991003081679702656</t>
        </is>
      </c>
      <c r="AX102" t="inlineStr">
        <is>
          <t>991003081679702656</t>
        </is>
      </c>
      <c r="AY102" t="inlineStr">
        <is>
          <t>2256973280002656</t>
        </is>
      </c>
      <c r="AZ102" t="inlineStr">
        <is>
          <t>BOOK</t>
        </is>
      </c>
      <c r="BC102" t="inlineStr">
        <is>
          <t>32285000737865</t>
        </is>
      </c>
      <c r="BD102" t="inlineStr">
        <is>
          <t>893535341</t>
        </is>
      </c>
    </row>
    <row r="103">
      <c r="A103" t="inlineStr">
        <is>
          <t>No</t>
        </is>
      </c>
      <c r="B103" t="inlineStr">
        <is>
          <t>RA412.3 .M444 1999</t>
        </is>
      </c>
      <c r="C103" t="inlineStr">
        <is>
          <t>0                      RA 0412300M  444         1999</t>
        </is>
      </c>
      <c r="D103" t="inlineStr">
        <is>
          <t>Medicare reform : issues and answers / edited by Andrew J. Rettenmaier, Thomas R. Saving.</t>
        </is>
      </c>
      <c r="F103" t="inlineStr">
        <is>
          <t>No</t>
        </is>
      </c>
      <c r="G103" t="inlineStr">
        <is>
          <t>1</t>
        </is>
      </c>
      <c r="H103" t="inlineStr">
        <is>
          <t>No</t>
        </is>
      </c>
      <c r="I103" t="inlineStr">
        <is>
          <t>No</t>
        </is>
      </c>
      <c r="J103" t="inlineStr">
        <is>
          <t>0</t>
        </is>
      </c>
      <c r="L103" t="inlineStr">
        <is>
          <t>Chicago : University of Chicago Press, c1999.</t>
        </is>
      </c>
      <c r="M103" t="inlineStr">
        <is>
          <t>1999</t>
        </is>
      </c>
      <c r="O103" t="inlineStr">
        <is>
          <t>eng</t>
        </is>
      </c>
      <c r="P103" t="inlineStr">
        <is>
          <t>ilu</t>
        </is>
      </c>
      <c r="Q103" t="inlineStr">
        <is>
          <t>A volume in the Bush School series in the economics of public policy ; v. 1</t>
        </is>
      </c>
      <c r="R103" t="inlineStr">
        <is>
          <t xml:space="preserve">RA </t>
        </is>
      </c>
      <c r="S103" t="n">
        <v>2</v>
      </c>
      <c r="T103" t="n">
        <v>2</v>
      </c>
      <c r="U103" t="inlineStr">
        <is>
          <t>2002-12-01</t>
        </is>
      </c>
      <c r="V103" t="inlineStr">
        <is>
          <t>2002-12-01</t>
        </is>
      </c>
      <c r="W103" t="inlineStr">
        <is>
          <t>2000-09-13</t>
        </is>
      </c>
      <c r="X103" t="inlineStr">
        <is>
          <t>2000-09-13</t>
        </is>
      </c>
      <c r="Y103" t="n">
        <v>267</v>
      </c>
      <c r="Z103" t="n">
        <v>233</v>
      </c>
      <c r="AA103" t="n">
        <v>237</v>
      </c>
      <c r="AB103" t="n">
        <v>2</v>
      </c>
      <c r="AC103" t="n">
        <v>2</v>
      </c>
      <c r="AD103" t="n">
        <v>19</v>
      </c>
      <c r="AE103" t="n">
        <v>19</v>
      </c>
      <c r="AF103" t="n">
        <v>7</v>
      </c>
      <c r="AG103" t="n">
        <v>7</v>
      </c>
      <c r="AH103" t="n">
        <v>3</v>
      </c>
      <c r="AI103" t="n">
        <v>3</v>
      </c>
      <c r="AJ103" t="n">
        <v>9</v>
      </c>
      <c r="AK103" t="n">
        <v>9</v>
      </c>
      <c r="AL103" t="n">
        <v>1</v>
      </c>
      <c r="AM103" t="n">
        <v>1</v>
      </c>
      <c r="AN103" t="n">
        <v>4</v>
      </c>
      <c r="AO103" t="n">
        <v>4</v>
      </c>
      <c r="AP103" t="inlineStr">
        <is>
          <t>No</t>
        </is>
      </c>
      <c r="AQ103" t="inlineStr">
        <is>
          <t>No</t>
        </is>
      </c>
      <c r="AS103">
        <f>HYPERLINK("https://creighton-primo.hosted.exlibrisgroup.com/primo-explore/search?tab=default_tab&amp;search_scope=EVERYTHING&amp;vid=01CRU&amp;lang=en_US&amp;offset=0&amp;query=any,contains,991003244009702656","Catalog Record")</f>
        <v/>
      </c>
      <c r="AT103">
        <f>HYPERLINK("http://www.worldcat.org/oclc/41090640","WorldCat Record")</f>
        <v/>
      </c>
      <c r="AU103" t="inlineStr">
        <is>
          <t>836964314:eng</t>
        </is>
      </c>
      <c r="AV103" t="inlineStr">
        <is>
          <t>41090640</t>
        </is>
      </c>
      <c r="AW103" t="inlineStr">
        <is>
          <t>991003244009702656</t>
        </is>
      </c>
      <c r="AX103" t="inlineStr">
        <is>
          <t>991003244009702656</t>
        </is>
      </c>
      <c r="AY103" t="inlineStr">
        <is>
          <t>2265865830002656</t>
        </is>
      </c>
      <c r="AZ103" t="inlineStr">
        <is>
          <t>BOOK</t>
        </is>
      </c>
      <c r="BB103" t="inlineStr">
        <is>
          <t>9780226710136</t>
        </is>
      </c>
      <c r="BC103" t="inlineStr">
        <is>
          <t>32285003761961</t>
        </is>
      </c>
      <c r="BD103" t="inlineStr">
        <is>
          <t>893711185</t>
        </is>
      </c>
    </row>
    <row r="104">
      <c r="A104" t="inlineStr">
        <is>
          <t>No</t>
        </is>
      </c>
      <c r="B104" t="inlineStr">
        <is>
          <t>RA412.4 .F43 2003</t>
        </is>
      </c>
      <c r="C104" t="inlineStr">
        <is>
          <t>0                      RA 0412400F  43          2003</t>
        </is>
      </c>
      <c r="D104" t="inlineStr">
        <is>
          <t>Federalism &amp; health policy / edited by John Holahan, Alan Weil &amp; Joshua M. Wiener.</t>
        </is>
      </c>
      <c r="F104" t="inlineStr">
        <is>
          <t>No</t>
        </is>
      </c>
      <c r="G104" t="inlineStr">
        <is>
          <t>1</t>
        </is>
      </c>
      <c r="H104" t="inlineStr">
        <is>
          <t>No</t>
        </is>
      </c>
      <c r="I104" t="inlineStr">
        <is>
          <t>No</t>
        </is>
      </c>
      <c r="J104" t="inlineStr">
        <is>
          <t>0</t>
        </is>
      </c>
      <c r="L104" t="inlineStr">
        <is>
          <t>Washington, D.C. : Urban Institute Press, c2003.</t>
        </is>
      </c>
      <c r="M104" t="inlineStr">
        <is>
          <t>2003</t>
        </is>
      </c>
      <c r="O104" t="inlineStr">
        <is>
          <t>eng</t>
        </is>
      </c>
      <c r="P104" t="inlineStr">
        <is>
          <t>dcu</t>
        </is>
      </c>
      <c r="R104" t="inlineStr">
        <is>
          <t xml:space="preserve">RA </t>
        </is>
      </c>
      <c r="S104" t="n">
        <v>4</v>
      </c>
      <c r="T104" t="n">
        <v>4</v>
      </c>
      <c r="U104" t="inlineStr">
        <is>
          <t>2008-02-07</t>
        </is>
      </c>
      <c r="V104" t="inlineStr">
        <is>
          <t>2008-02-07</t>
        </is>
      </c>
      <c r="W104" t="inlineStr">
        <is>
          <t>2005-04-12</t>
        </is>
      </c>
      <c r="X104" t="inlineStr">
        <is>
          <t>2005-04-12</t>
        </is>
      </c>
      <c r="Y104" t="n">
        <v>239</v>
      </c>
      <c r="Z104" t="n">
        <v>228</v>
      </c>
      <c r="AA104" t="n">
        <v>230</v>
      </c>
      <c r="AB104" t="n">
        <v>2</v>
      </c>
      <c r="AC104" t="n">
        <v>2</v>
      </c>
      <c r="AD104" t="n">
        <v>10</v>
      </c>
      <c r="AE104" t="n">
        <v>10</v>
      </c>
      <c r="AF104" t="n">
        <v>3</v>
      </c>
      <c r="AG104" t="n">
        <v>3</v>
      </c>
      <c r="AH104" t="n">
        <v>3</v>
      </c>
      <c r="AI104" t="n">
        <v>3</v>
      </c>
      <c r="AJ104" t="n">
        <v>6</v>
      </c>
      <c r="AK104" t="n">
        <v>6</v>
      </c>
      <c r="AL104" t="n">
        <v>1</v>
      </c>
      <c r="AM104" t="n">
        <v>1</v>
      </c>
      <c r="AN104" t="n">
        <v>1</v>
      </c>
      <c r="AO104" t="n">
        <v>1</v>
      </c>
      <c r="AP104" t="inlineStr">
        <is>
          <t>No</t>
        </is>
      </c>
      <c r="AQ104" t="inlineStr">
        <is>
          <t>Yes</t>
        </is>
      </c>
      <c r="AR104">
        <f>HYPERLINK("http://catalog.hathitrust.org/Record/004347142","HathiTrust Record")</f>
        <v/>
      </c>
      <c r="AS104">
        <f>HYPERLINK("https://creighton-primo.hosted.exlibrisgroup.com/primo-explore/search?tab=default_tab&amp;search_scope=EVERYTHING&amp;vid=01CRU&amp;lang=en_US&amp;offset=0&amp;query=any,contains,991004481309702656","Catalog Record")</f>
        <v/>
      </c>
      <c r="AT104">
        <f>HYPERLINK("http://www.worldcat.org/oclc/52301800","WorldCat Record")</f>
        <v/>
      </c>
      <c r="AU104" t="inlineStr">
        <is>
          <t>345812221:eng</t>
        </is>
      </c>
      <c r="AV104" t="inlineStr">
        <is>
          <t>52301800</t>
        </is>
      </c>
      <c r="AW104" t="inlineStr">
        <is>
          <t>991004481309702656</t>
        </is>
      </c>
      <c r="AX104" t="inlineStr">
        <is>
          <t>991004481309702656</t>
        </is>
      </c>
      <c r="AY104" t="inlineStr">
        <is>
          <t>2264201880002656</t>
        </is>
      </c>
      <c r="AZ104" t="inlineStr">
        <is>
          <t>BOOK</t>
        </is>
      </c>
      <c r="BB104" t="inlineStr">
        <is>
          <t>9780877667162</t>
        </is>
      </c>
      <c r="BC104" t="inlineStr">
        <is>
          <t>32285005049720</t>
        </is>
      </c>
      <c r="BD104" t="inlineStr">
        <is>
          <t>893343881</t>
        </is>
      </c>
    </row>
    <row r="105">
      <c r="A105" t="inlineStr">
        <is>
          <t>No</t>
        </is>
      </c>
      <c r="B105" t="inlineStr">
        <is>
          <t>RA412.5.E852 K37 1976b</t>
        </is>
      </c>
      <c r="C105" t="inlineStr">
        <is>
          <t>0                      RA 0412500E  852                K  37          1976b</t>
        </is>
      </c>
      <c r="D105" t="inlineStr">
        <is>
          <t>Health care in the Soviet Union and Eastern Europe / [by] Michael Kaser.</t>
        </is>
      </c>
      <c r="F105" t="inlineStr">
        <is>
          <t>No</t>
        </is>
      </c>
      <c r="G105" t="inlineStr">
        <is>
          <t>1</t>
        </is>
      </c>
      <c r="H105" t="inlineStr">
        <is>
          <t>No</t>
        </is>
      </c>
      <c r="I105" t="inlineStr">
        <is>
          <t>No</t>
        </is>
      </c>
      <c r="J105" t="inlineStr">
        <is>
          <t>0</t>
        </is>
      </c>
      <c r="K105" t="inlineStr">
        <is>
          <t>Kaser, Michael Charles.</t>
        </is>
      </c>
      <c r="L105" t="inlineStr">
        <is>
          <t>London : Croom Helm, 1976.</t>
        </is>
      </c>
      <c r="M105" t="inlineStr">
        <is>
          <t>1976</t>
        </is>
      </c>
      <c r="O105" t="inlineStr">
        <is>
          <t>eng</t>
        </is>
      </c>
      <c r="P105" t="inlineStr">
        <is>
          <t>enk</t>
        </is>
      </c>
      <c r="R105" t="inlineStr">
        <is>
          <t xml:space="preserve">RA </t>
        </is>
      </c>
      <c r="S105" t="n">
        <v>15</v>
      </c>
      <c r="T105" t="n">
        <v>15</v>
      </c>
      <c r="U105" t="inlineStr">
        <is>
          <t>2000-11-28</t>
        </is>
      </c>
      <c r="V105" t="inlineStr">
        <is>
          <t>2000-11-28</t>
        </is>
      </c>
      <c r="W105" t="inlineStr">
        <is>
          <t>1992-03-17</t>
        </is>
      </c>
      <c r="X105" t="inlineStr">
        <is>
          <t>1992-03-17</t>
        </is>
      </c>
      <c r="Y105" t="n">
        <v>131</v>
      </c>
      <c r="Z105" t="n">
        <v>36</v>
      </c>
      <c r="AA105" t="n">
        <v>190</v>
      </c>
      <c r="AB105" t="n">
        <v>1</v>
      </c>
      <c r="AC105" t="n">
        <v>1</v>
      </c>
      <c r="AD105" t="n">
        <v>1</v>
      </c>
      <c r="AE105" t="n">
        <v>3</v>
      </c>
      <c r="AF105" t="n">
        <v>0</v>
      </c>
      <c r="AG105" t="n">
        <v>0</v>
      </c>
      <c r="AH105" t="n">
        <v>0</v>
      </c>
      <c r="AI105" t="n">
        <v>2</v>
      </c>
      <c r="AJ105" t="n">
        <v>1</v>
      </c>
      <c r="AK105" t="n">
        <v>1</v>
      </c>
      <c r="AL105" t="n">
        <v>0</v>
      </c>
      <c r="AM105" t="n">
        <v>0</v>
      </c>
      <c r="AN105" t="n">
        <v>0</v>
      </c>
      <c r="AO105" t="n">
        <v>0</v>
      </c>
      <c r="AP105" t="inlineStr">
        <is>
          <t>No</t>
        </is>
      </c>
      <c r="AQ105" t="inlineStr">
        <is>
          <t>No</t>
        </is>
      </c>
      <c r="AS105">
        <f>HYPERLINK("https://creighton-primo.hosted.exlibrisgroup.com/primo-explore/search?tab=default_tab&amp;search_scope=EVERYTHING&amp;vid=01CRU&amp;lang=en_US&amp;offset=0&amp;query=any,contains,991004305519702656","Catalog Record")</f>
        <v/>
      </c>
      <c r="AT105">
        <f>HYPERLINK("http://www.worldcat.org/oclc/2983303","WorldCat Record")</f>
        <v/>
      </c>
      <c r="AU105" t="inlineStr">
        <is>
          <t>4187378:eng</t>
        </is>
      </c>
      <c r="AV105" t="inlineStr">
        <is>
          <t>2983303</t>
        </is>
      </c>
      <c r="AW105" t="inlineStr">
        <is>
          <t>991004305519702656</t>
        </is>
      </c>
      <c r="AX105" t="inlineStr">
        <is>
          <t>991004305519702656</t>
        </is>
      </c>
      <c r="AY105" t="inlineStr">
        <is>
          <t>2261367330002656</t>
        </is>
      </c>
      <c r="AZ105" t="inlineStr">
        <is>
          <t>BOOK</t>
        </is>
      </c>
      <c r="BB105" t="inlineStr">
        <is>
          <t>9780856641930</t>
        </is>
      </c>
      <c r="BC105" t="inlineStr">
        <is>
          <t>32285001012466</t>
        </is>
      </c>
      <c r="BD105" t="inlineStr">
        <is>
          <t>893800837</t>
        </is>
      </c>
    </row>
    <row r="106">
      <c r="A106" t="inlineStr">
        <is>
          <t>No</t>
        </is>
      </c>
      <c r="B106" t="inlineStr">
        <is>
          <t>RA412.5.G7 L5</t>
        </is>
      </c>
      <c r="C106" t="inlineStr">
        <is>
          <t>0                      RA 0412500G  7                  L  5</t>
        </is>
      </c>
      <c r="D106" t="inlineStr">
        <is>
          <t>Socialized medicine in England and Wales : the national health service, 1948-1961.</t>
        </is>
      </c>
      <c r="F106" t="inlineStr">
        <is>
          <t>No</t>
        </is>
      </c>
      <c r="G106" t="inlineStr">
        <is>
          <t>1</t>
        </is>
      </c>
      <c r="H106" t="inlineStr">
        <is>
          <t>No</t>
        </is>
      </c>
      <c r="I106" t="inlineStr">
        <is>
          <t>No</t>
        </is>
      </c>
      <c r="J106" t="inlineStr">
        <is>
          <t>0</t>
        </is>
      </c>
      <c r="K106" t="inlineStr">
        <is>
          <t>Lindsey, Almont, 1906-1993.</t>
        </is>
      </c>
      <c r="L106" t="inlineStr">
        <is>
          <t>Chapel Hill : University of North Carolina Press, [1962]</t>
        </is>
      </c>
      <c r="M106" t="inlineStr">
        <is>
          <t>1962</t>
        </is>
      </c>
      <c r="O106" t="inlineStr">
        <is>
          <t>eng</t>
        </is>
      </c>
      <c r="P106" t="inlineStr">
        <is>
          <t>ncu</t>
        </is>
      </c>
      <c r="R106" t="inlineStr">
        <is>
          <t xml:space="preserve">RA </t>
        </is>
      </c>
      <c r="S106" t="n">
        <v>5</v>
      </c>
      <c r="T106" t="n">
        <v>5</v>
      </c>
      <c r="U106" t="inlineStr">
        <is>
          <t>1994-04-28</t>
        </is>
      </c>
      <c r="V106" t="inlineStr">
        <is>
          <t>1994-04-28</t>
        </is>
      </c>
      <c r="W106" t="inlineStr">
        <is>
          <t>1994-03-29</t>
        </is>
      </c>
      <c r="X106" t="inlineStr">
        <is>
          <t>1994-03-29</t>
        </is>
      </c>
      <c r="Y106" t="n">
        <v>715</v>
      </c>
      <c r="Z106" t="n">
        <v>564</v>
      </c>
      <c r="AA106" t="n">
        <v>568</v>
      </c>
      <c r="AB106" t="n">
        <v>6</v>
      </c>
      <c r="AC106" t="n">
        <v>6</v>
      </c>
      <c r="AD106" t="n">
        <v>22</v>
      </c>
      <c r="AE106" t="n">
        <v>22</v>
      </c>
      <c r="AF106" t="n">
        <v>5</v>
      </c>
      <c r="AG106" t="n">
        <v>5</v>
      </c>
      <c r="AH106" t="n">
        <v>3</v>
      </c>
      <c r="AI106" t="n">
        <v>3</v>
      </c>
      <c r="AJ106" t="n">
        <v>13</v>
      </c>
      <c r="AK106" t="n">
        <v>13</v>
      </c>
      <c r="AL106" t="n">
        <v>5</v>
      </c>
      <c r="AM106" t="n">
        <v>5</v>
      </c>
      <c r="AN106" t="n">
        <v>0</v>
      </c>
      <c r="AO106" t="n">
        <v>0</v>
      </c>
      <c r="AP106" t="inlineStr">
        <is>
          <t>No</t>
        </is>
      </c>
      <c r="AQ106" t="inlineStr">
        <is>
          <t>No</t>
        </is>
      </c>
      <c r="AR106">
        <f>HYPERLINK("http://catalog.hathitrust.org/Record/001558655","HathiTrust Record")</f>
        <v/>
      </c>
      <c r="AS106">
        <f>HYPERLINK("https://creighton-primo.hosted.exlibrisgroup.com/primo-explore/search?tab=default_tab&amp;search_scope=EVERYTHING&amp;vid=01CRU&amp;lang=en_US&amp;offset=0&amp;query=any,contains,991003077379702656","Catalog Record")</f>
        <v/>
      </c>
      <c r="AT106">
        <f>HYPERLINK("http://www.worldcat.org/oclc/630174","WorldCat Record")</f>
        <v/>
      </c>
      <c r="AU106" t="inlineStr">
        <is>
          <t>431672586:eng</t>
        </is>
      </c>
      <c r="AV106" t="inlineStr">
        <is>
          <t>630174</t>
        </is>
      </c>
      <c r="AW106" t="inlineStr">
        <is>
          <t>991003077379702656</t>
        </is>
      </c>
      <c r="AX106" t="inlineStr">
        <is>
          <t>991003077379702656</t>
        </is>
      </c>
      <c r="AY106" t="inlineStr">
        <is>
          <t>2262416370002656</t>
        </is>
      </c>
      <c r="AZ106" t="inlineStr">
        <is>
          <t>BOOK</t>
        </is>
      </c>
      <c r="BC106" t="inlineStr">
        <is>
          <t>32285001872307</t>
        </is>
      </c>
      <c r="BD106" t="inlineStr">
        <is>
          <t>893348312</t>
        </is>
      </c>
    </row>
    <row r="107">
      <c r="A107" t="inlineStr">
        <is>
          <t>No</t>
        </is>
      </c>
      <c r="B107" t="inlineStr">
        <is>
          <t>RA413 .D4</t>
        </is>
      </c>
      <c r="C107" t="inlineStr">
        <is>
          <t>0                      RA 0413000D  4</t>
        </is>
      </c>
      <c r="D107" t="inlineStr">
        <is>
          <t>Why keep them alive? / by Paul De Kruif, in collaboration with Rhea De Kruif.</t>
        </is>
      </c>
      <c r="F107" t="inlineStr">
        <is>
          <t>No</t>
        </is>
      </c>
      <c r="G107" t="inlineStr">
        <is>
          <t>1</t>
        </is>
      </c>
      <c r="H107" t="inlineStr">
        <is>
          <t>No</t>
        </is>
      </c>
      <c r="I107" t="inlineStr">
        <is>
          <t>No</t>
        </is>
      </c>
      <c r="J107" t="inlineStr">
        <is>
          <t>0</t>
        </is>
      </c>
      <c r="K107" t="inlineStr">
        <is>
          <t>De Kruif, Paul, 1890-1971.</t>
        </is>
      </c>
      <c r="L107" t="inlineStr">
        <is>
          <t>New York, Harcourt, Brace and company [c1936]</t>
        </is>
      </c>
      <c r="M107" t="inlineStr">
        <is>
          <t>1936</t>
        </is>
      </c>
      <c r="O107" t="inlineStr">
        <is>
          <t>eng</t>
        </is>
      </c>
      <c r="P107" t="inlineStr">
        <is>
          <t>nyu</t>
        </is>
      </c>
      <c r="R107" t="inlineStr">
        <is>
          <t xml:space="preserve">RA </t>
        </is>
      </c>
      <c r="S107" t="n">
        <v>1</v>
      </c>
      <c r="T107" t="n">
        <v>1</v>
      </c>
      <c r="U107" t="inlineStr">
        <is>
          <t>2006-01-09</t>
        </is>
      </c>
      <c r="V107" t="inlineStr">
        <is>
          <t>2006-01-09</t>
        </is>
      </c>
      <c r="W107" t="inlineStr">
        <is>
          <t>2000-02-02</t>
        </is>
      </c>
      <c r="X107" t="inlineStr">
        <is>
          <t>2000-02-02</t>
        </is>
      </c>
      <c r="Y107" t="n">
        <v>312</v>
      </c>
      <c r="Z107" t="n">
        <v>296</v>
      </c>
      <c r="AA107" t="n">
        <v>306</v>
      </c>
      <c r="AB107" t="n">
        <v>3</v>
      </c>
      <c r="AC107" t="n">
        <v>3</v>
      </c>
      <c r="AD107" t="n">
        <v>7</v>
      </c>
      <c r="AE107" t="n">
        <v>7</v>
      </c>
      <c r="AF107" t="n">
        <v>2</v>
      </c>
      <c r="AG107" t="n">
        <v>2</v>
      </c>
      <c r="AH107" t="n">
        <v>1</v>
      </c>
      <c r="AI107" t="n">
        <v>1</v>
      </c>
      <c r="AJ107" t="n">
        <v>5</v>
      </c>
      <c r="AK107" t="n">
        <v>5</v>
      </c>
      <c r="AL107" t="n">
        <v>2</v>
      </c>
      <c r="AM107" t="n">
        <v>2</v>
      </c>
      <c r="AN107" t="n">
        <v>0</v>
      </c>
      <c r="AO107" t="n">
        <v>0</v>
      </c>
      <c r="AP107" t="inlineStr">
        <is>
          <t>No</t>
        </is>
      </c>
      <c r="AQ107" t="inlineStr">
        <is>
          <t>Yes</t>
        </is>
      </c>
      <c r="AR107">
        <f>HYPERLINK("http://catalog.hathitrust.org/Record/000977921","HathiTrust Record")</f>
        <v/>
      </c>
      <c r="AS107">
        <f>HYPERLINK("https://creighton-primo.hosted.exlibrisgroup.com/primo-explore/search?tab=default_tab&amp;search_scope=EVERYTHING&amp;vid=01CRU&amp;lang=en_US&amp;offset=0&amp;query=any,contains,991003820279702656","Catalog Record")</f>
        <v/>
      </c>
      <c r="AT107">
        <f>HYPERLINK("http://www.worldcat.org/oclc/1557449","WorldCat Record")</f>
        <v/>
      </c>
      <c r="AU107" t="inlineStr">
        <is>
          <t>2389136:eng</t>
        </is>
      </c>
      <c r="AV107" t="inlineStr">
        <is>
          <t>1557449</t>
        </is>
      </c>
      <c r="AW107" t="inlineStr">
        <is>
          <t>991003820279702656</t>
        </is>
      </c>
      <c r="AX107" t="inlineStr">
        <is>
          <t>991003820279702656</t>
        </is>
      </c>
      <c r="AY107" t="inlineStr">
        <is>
          <t>2268660930002656</t>
        </is>
      </c>
      <c r="AZ107" t="inlineStr">
        <is>
          <t>BOOK</t>
        </is>
      </c>
      <c r="BC107" t="inlineStr">
        <is>
          <t>32285003658662</t>
        </is>
      </c>
      <c r="BD107" t="inlineStr">
        <is>
          <t>893894197</t>
        </is>
      </c>
    </row>
    <row r="108">
      <c r="A108" t="inlineStr">
        <is>
          <t>No</t>
        </is>
      </c>
      <c r="B108" t="inlineStr">
        <is>
          <t>RA413 .S7</t>
        </is>
      </c>
      <c r="C108" t="inlineStr">
        <is>
          <t>0                      RA 0413000S  7</t>
        </is>
      </c>
      <c r="D108" t="inlineStr">
        <is>
          <t>HMOs from the management perspective / Ruth H. Stack.</t>
        </is>
      </c>
      <c r="F108" t="inlineStr">
        <is>
          <t>No</t>
        </is>
      </c>
      <c r="G108" t="inlineStr">
        <is>
          <t>1</t>
        </is>
      </c>
      <c r="H108" t="inlineStr">
        <is>
          <t>No</t>
        </is>
      </c>
      <c r="I108" t="inlineStr">
        <is>
          <t>No</t>
        </is>
      </c>
      <c r="J108" t="inlineStr">
        <is>
          <t>0</t>
        </is>
      </c>
      <c r="K108" t="inlineStr">
        <is>
          <t>Stack, Ruth H.</t>
        </is>
      </c>
      <c r="L108" t="inlineStr">
        <is>
          <t>New York : AMACOM, c1979.</t>
        </is>
      </c>
      <c r="M108" t="inlineStr">
        <is>
          <t>1979</t>
        </is>
      </c>
      <c r="O108" t="inlineStr">
        <is>
          <t>eng</t>
        </is>
      </c>
      <c r="P108" t="inlineStr">
        <is>
          <t>nyu</t>
        </is>
      </c>
      <c r="Q108" t="inlineStr">
        <is>
          <t>An AMA management briefing</t>
        </is>
      </c>
      <c r="R108" t="inlineStr">
        <is>
          <t xml:space="preserve">RA </t>
        </is>
      </c>
      <c r="S108" t="n">
        <v>8</v>
      </c>
      <c r="T108" t="n">
        <v>8</v>
      </c>
      <c r="U108" t="inlineStr">
        <is>
          <t>2000-03-23</t>
        </is>
      </c>
      <c r="V108" t="inlineStr">
        <is>
          <t>2000-03-23</t>
        </is>
      </c>
      <c r="W108" t="inlineStr">
        <is>
          <t>1992-03-17</t>
        </is>
      </c>
      <c r="X108" t="inlineStr">
        <is>
          <t>1992-03-17</t>
        </is>
      </c>
      <c r="Y108" t="n">
        <v>254</v>
      </c>
      <c r="Z108" t="n">
        <v>218</v>
      </c>
      <c r="AA108" t="n">
        <v>218</v>
      </c>
      <c r="AB108" t="n">
        <v>2</v>
      </c>
      <c r="AC108" t="n">
        <v>2</v>
      </c>
      <c r="AD108" t="n">
        <v>11</v>
      </c>
      <c r="AE108" t="n">
        <v>11</v>
      </c>
      <c r="AF108" t="n">
        <v>4</v>
      </c>
      <c r="AG108" t="n">
        <v>4</v>
      </c>
      <c r="AH108" t="n">
        <v>3</v>
      </c>
      <c r="AI108" t="n">
        <v>3</v>
      </c>
      <c r="AJ108" t="n">
        <v>6</v>
      </c>
      <c r="AK108" t="n">
        <v>6</v>
      </c>
      <c r="AL108" t="n">
        <v>1</v>
      </c>
      <c r="AM108" t="n">
        <v>1</v>
      </c>
      <c r="AN108" t="n">
        <v>0</v>
      </c>
      <c r="AO108" t="n">
        <v>0</v>
      </c>
      <c r="AP108" t="inlineStr">
        <is>
          <t>No</t>
        </is>
      </c>
      <c r="AQ108" t="inlineStr">
        <is>
          <t>No</t>
        </is>
      </c>
      <c r="AS108">
        <f>HYPERLINK("https://creighton-primo.hosted.exlibrisgroup.com/primo-explore/search?tab=default_tab&amp;search_scope=EVERYTHING&amp;vid=01CRU&amp;lang=en_US&amp;offset=0&amp;query=any,contains,991004845059702656","Catalog Record")</f>
        <v/>
      </c>
      <c r="AT108">
        <f>HYPERLINK("http://www.worldcat.org/oclc/5563961","WorldCat Record")</f>
        <v/>
      </c>
      <c r="AU108" t="inlineStr">
        <is>
          <t>18414060:eng</t>
        </is>
      </c>
      <c r="AV108" t="inlineStr">
        <is>
          <t>5563961</t>
        </is>
      </c>
      <c r="AW108" t="inlineStr">
        <is>
          <t>991004845059702656</t>
        </is>
      </c>
      <c r="AX108" t="inlineStr">
        <is>
          <t>991004845059702656</t>
        </is>
      </c>
      <c r="AY108" t="inlineStr">
        <is>
          <t>2268022280002656</t>
        </is>
      </c>
      <c r="AZ108" t="inlineStr">
        <is>
          <t>BOOK</t>
        </is>
      </c>
      <c r="BB108" t="inlineStr">
        <is>
          <t>9780814422380</t>
        </is>
      </c>
      <c r="BC108" t="inlineStr">
        <is>
          <t>32285001022481</t>
        </is>
      </c>
      <c r="BD108" t="inlineStr">
        <is>
          <t>893706905</t>
        </is>
      </c>
    </row>
    <row r="109">
      <c r="A109" t="inlineStr">
        <is>
          <t>No</t>
        </is>
      </c>
      <c r="B109" t="inlineStr">
        <is>
          <t>RA413.5.U5 B76 1983</t>
        </is>
      </c>
      <c r="C109" t="inlineStr">
        <is>
          <t>0                      RA 0413500U  5                  B  76          1983</t>
        </is>
      </c>
      <c r="D109" t="inlineStr">
        <is>
          <t>Politics and health care organization : HMOs as federal policy / Lawrence D. Brown.</t>
        </is>
      </c>
      <c r="F109" t="inlineStr">
        <is>
          <t>No</t>
        </is>
      </c>
      <c r="G109" t="inlineStr">
        <is>
          <t>1</t>
        </is>
      </c>
      <c r="H109" t="inlineStr">
        <is>
          <t>No</t>
        </is>
      </c>
      <c r="I109" t="inlineStr">
        <is>
          <t>No</t>
        </is>
      </c>
      <c r="J109" t="inlineStr">
        <is>
          <t>0</t>
        </is>
      </c>
      <c r="K109" t="inlineStr">
        <is>
          <t>Brown, Lawrence D. (Lawrence David), 1947-</t>
        </is>
      </c>
      <c r="L109" t="inlineStr">
        <is>
          <t>Washington, D.C. : Brookings Institution, c1983.</t>
        </is>
      </c>
      <c r="M109" t="inlineStr">
        <is>
          <t>1982</t>
        </is>
      </c>
      <c r="O109" t="inlineStr">
        <is>
          <t>eng</t>
        </is>
      </c>
      <c r="P109" t="inlineStr">
        <is>
          <t>dcu</t>
        </is>
      </c>
      <c r="R109" t="inlineStr">
        <is>
          <t xml:space="preserve">RA </t>
        </is>
      </c>
      <c r="S109" t="n">
        <v>4</v>
      </c>
      <c r="T109" t="n">
        <v>4</v>
      </c>
      <c r="U109" t="inlineStr">
        <is>
          <t>1998-11-12</t>
        </is>
      </c>
      <c r="V109" t="inlineStr">
        <is>
          <t>1998-11-12</t>
        </is>
      </c>
      <c r="W109" t="inlineStr">
        <is>
          <t>1990-02-21</t>
        </is>
      </c>
      <c r="X109" t="inlineStr">
        <is>
          <t>1990-02-21</t>
        </is>
      </c>
      <c r="Y109" t="n">
        <v>621</v>
      </c>
      <c r="Z109" t="n">
        <v>565</v>
      </c>
      <c r="AA109" t="n">
        <v>578</v>
      </c>
      <c r="AB109" t="n">
        <v>6</v>
      </c>
      <c r="AC109" t="n">
        <v>6</v>
      </c>
      <c r="AD109" t="n">
        <v>29</v>
      </c>
      <c r="AE109" t="n">
        <v>30</v>
      </c>
      <c r="AF109" t="n">
        <v>8</v>
      </c>
      <c r="AG109" t="n">
        <v>8</v>
      </c>
      <c r="AH109" t="n">
        <v>6</v>
      </c>
      <c r="AI109" t="n">
        <v>7</v>
      </c>
      <c r="AJ109" t="n">
        <v>13</v>
      </c>
      <c r="AK109" t="n">
        <v>14</v>
      </c>
      <c r="AL109" t="n">
        <v>4</v>
      </c>
      <c r="AM109" t="n">
        <v>4</v>
      </c>
      <c r="AN109" t="n">
        <v>6</v>
      </c>
      <c r="AO109" t="n">
        <v>6</v>
      </c>
      <c r="AP109" t="inlineStr">
        <is>
          <t>No</t>
        </is>
      </c>
      <c r="AQ109" t="inlineStr">
        <is>
          <t>Yes</t>
        </is>
      </c>
      <c r="AR109">
        <f>HYPERLINK("http://catalog.hathitrust.org/Record/000109828","HathiTrust Record")</f>
        <v/>
      </c>
      <c r="AS109">
        <f>HYPERLINK("https://creighton-primo.hosted.exlibrisgroup.com/primo-explore/search?tab=default_tab&amp;search_scope=EVERYTHING&amp;vid=01CRU&amp;lang=en_US&amp;offset=0&amp;query=any,contains,991000051229702656","Catalog Record")</f>
        <v/>
      </c>
      <c r="AT109">
        <f>HYPERLINK("http://www.worldcat.org/oclc/8688353","WorldCat Record")</f>
        <v/>
      </c>
      <c r="AU109" t="inlineStr">
        <is>
          <t>308898844:eng</t>
        </is>
      </c>
      <c r="AV109" t="inlineStr">
        <is>
          <t>8688353</t>
        </is>
      </c>
      <c r="AW109" t="inlineStr">
        <is>
          <t>991000051229702656</t>
        </is>
      </c>
      <c r="AX109" t="inlineStr">
        <is>
          <t>991000051229702656</t>
        </is>
      </c>
      <c r="AY109" t="inlineStr">
        <is>
          <t>2272542280002656</t>
        </is>
      </c>
      <c r="AZ109" t="inlineStr">
        <is>
          <t>BOOK</t>
        </is>
      </c>
      <c r="BB109" t="inlineStr">
        <is>
          <t>9780815711575</t>
        </is>
      </c>
      <c r="BC109" t="inlineStr">
        <is>
          <t>32285000058577</t>
        </is>
      </c>
      <c r="BD109" t="inlineStr">
        <is>
          <t>893534021</t>
        </is>
      </c>
    </row>
    <row r="110">
      <c r="A110" t="inlineStr">
        <is>
          <t>No</t>
        </is>
      </c>
      <c r="B110" t="inlineStr">
        <is>
          <t>RA413.5.U6 G7 1991</t>
        </is>
      </c>
      <c r="C110" t="inlineStr">
        <is>
          <t>0                      RA 0413500U  6                  G  7           1991</t>
        </is>
      </c>
      <c r="D110" t="inlineStr">
        <is>
          <t>Implementing managed health care / by Wendy B. Gray.</t>
        </is>
      </c>
      <c r="F110" t="inlineStr">
        <is>
          <t>No</t>
        </is>
      </c>
      <c r="G110" t="inlineStr">
        <is>
          <t>1</t>
        </is>
      </c>
      <c r="H110" t="inlineStr">
        <is>
          <t>No</t>
        </is>
      </c>
      <c r="I110" t="inlineStr">
        <is>
          <t>No</t>
        </is>
      </c>
      <c r="J110" t="inlineStr">
        <is>
          <t>0</t>
        </is>
      </c>
      <c r="K110" t="inlineStr">
        <is>
          <t>Gray, Wendy B.</t>
        </is>
      </c>
      <c r="L110" t="inlineStr">
        <is>
          <t>New York, NY : Conference Board, c1991.</t>
        </is>
      </c>
      <c r="M110" t="inlineStr">
        <is>
          <t>1991</t>
        </is>
      </c>
      <c r="O110" t="inlineStr">
        <is>
          <t>eng</t>
        </is>
      </c>
      <c r="P110" t="inlineStr">
        <is>
          <t>nyu</t>
        </is>
      </c>
      <c r="Q110" t="inlineStr">
        <is>
          <t>Conference Board research report ; no. 968</t>
        </is>
      </c>
      <c r="R110" t="inlineStr">
        <is>
          <t xml:space="preserve">RA </t>
        </is>
      </c>
      <c r="S110" t="n">
        <v>18</v>
      </c>
      <c r="T110" t="n">
        <v>18</v>
      </c>
      <c r="U110" t="inlineStr">
        <is>
          <t>2001-06-14</t>
        </is>
      </c>
      <c r="V110" t="inlineStr">
        <is>
          <t>2001-06-14</t>
        </is>
      </c>
      <c r="W110" t="inlineStr">
        <is>
          <t>1991-06-06</t>
        </is>
      </c>
      <c r="X110" t="inlineStr">
        <is>
          <t>1991-06-06</t>
        </is>
      </c>
      <c r="Y110" t="n">
        <v>214</v>
      </c>
      <c r="Z110" t="n">
        <v>212</v>
      </c>
      <c r="AA110" t="n">
        <v>213</v>
      </c>
      <c r="AB110" t="n">
        <v>2</v>
      </c>
      <c r="AC110" t="n">
        <v>2</v>
      </c>
      <c r="AD110" t="n">
        <v>8</v>
      </c>
      <c r="AE110" t="n">
        <v>8</v>
      </c>
      <c r="AF110" t="n">
        <v>4</v>
      </c>
      <c r="AG110" t="n">
        <v>4</v>
      </c>
      <c r="AH110" t="n">
        <v>3</v>
      </c>
      <c r="AI110" t="n">
        <v>3</v>
      </c>
      <c r="AJ110" t="n">
        <v>5</v>
      </c>
      <c r="AK110" t="n">
        <v>5</v>
      </c>
      <c r="AL110" t="n">
        <v>1</v>
      </c>
      <c r="AM110" t="n">
        <v>1</v>
      </c>
      <c r="AN110" t="n">
        <v>0</v>
      </c>
      <c r="AO110" t="n">
        <v>0</v>
      </c>
      <c r="AP110" t="inlineStr">
        <is>
          <t>No</t>
        </is>
      </c>
      <c r="AQ110" t="inlineStr">
        <is>
          <t>Yes</t>
        </is>
      </c>
      <c r="AR110">
        <f>HYPERLINK("http://catalog.hathitrust.org/Record/101940377","HathiTrust Record")</f>
        <v/>
      </c>
      <c r="AS110">
        <f>HYPERLINK("https://creighton-primo.hosted.exlibrisgroup.com/primo-explore/search?tab=default_tab&amp;search_scope=EVERYTHING&amp;vid=01CRU&amp;lang=en_US&amp;offset=0&amp;query=any,contains,991001889249702656","Catalog Record")</f>
        <v/>
      </c>
      <c r="AT110">
        <f>HYPERLINK("http://www.worldcat.org/oclc/23822437","WorldCat Record")</f>
        <v/>
      </c>
      <c r="AU110" t="inlineStr">
        <is>
          <t>25167323:eng</t>
        </is>
      </c>
      <c r="AV110" t="inlineStr">
        <is>
          <t>23822437</t>
        </is>
      </c>
      <c r="AW110" t="inlineStr">
        <is>
          <t>991001889249702656</t>
        </is>
      </c>
      <c r="AX110" t="inlineStr">
        <is>
          <t>991001889249702656</t>
        </is>
      </c>
      <c r="AY110" t="inlineStr">
        <is>
          <t>2267946100002656</t>
        </is>
      </c>
      <c r="AZ110" t="inlineStr">
        <is>
          <t>BOOK</t>
        </is>
      </c>
      <c r="BB110" t="inlineStr">
        <is>
          <t>9780823704156</t>
        </is>
      </c>
      <c r="BC110" t="inlineStr">
        <is>
          <t>32285000644608</t>
        </is>
      </c>
      <c r="BD110" t="inlineStr">
        <is>
          <t>893420708</t>
        </is>
      </c>
    </row>
    <row r="111">
      <c r="A111" t="inlineStr">
        <is>
          <t>No</t>
        </is>
      </c>
      <c r="B111" t="inlineStr">
        <is>
          <t>RA418 .A65</t>
        </is>
      </c>
      <c r="C111" t="inlineStr">
        <is>
          <t>0                      RA 0418000A  65</t>
        </is>
      </c>
      <c r="D111" t="inlineStr">
        <is>
          <t>Sociological studies of health and sickness : a source book for the health professions / edited by Dorrian Apple. --</t>
        </is>
      </c>
      <c r="F111" t="inlineStr">
        <is>
          <t>No</t>
        </is>
      </c>
      <c r="G111" t="inlineStr">
        <is>
          <t>1</t>
        </is>
      </c>
      <c r="H111" t="inlineStr">
        <is>
          <t>No</t>
        </is>
      </c>
      <c r="I111" t="inlineStr">
        <is>
          <t>No</t>
        </is>
      </c>
      <c r="J111" t="inlineStr">
        <is>
          <t>0</t>
        </is>
      </c>
      <c r="K111" t="inlineStr">
        <is>
          <t>Apple, Dorrian, editor.</t>
        </is>
      </c>
      <c r="L111" t="inlineStr">
        <is>
          <t>New York : McGraw-Hill, Blakiston Division, 1960.</t>
        </is>
      </c>
      <c r="M111" t="inlineStr">
        <is>
          <t>1960</t>
        </is>
      </c>
      <c r="O111" t="inlineStr">
        <is>
          <t>eng</t>
        </is>
      </c>
      <c r="P111" t="inlineStr">
        <is>
          <t>nyu</t>
        </is>
      </c>
      <c r="R111" t="inlineStr">
        <is>
          <t xml:space="preserve">RA </t>
        </is>
      </c>
      <c r="S111" t="n">
        <v>0</v>
      </c>
      <c r="T111" t="n">
        <v>0</v>
      </c>
      <c r="U111" t="inlineStr">
        <is>
          <t>2004-03-30</t>
        </is>
      </c>
      <c r="V111" t="inlineStr">
        <is>
          <t>2004-03-30</t>
        </is>
      </c>
      <c r="W111" t="inlineStr">
        <is>
          <t>1993-03-09</t>
        </is>
      </c>
      <c r="X111" t="inlineStr">
        <is>
          <t>1993-03-09</t>
        </is>
      </c>
      <c r="Y111" t="n">
        <v>404</v>
      </c>
      <c r="Z111" t="n">
        <v>327</v>
      </c>
      <c r="AA111" t="n">
        <v>335</v>
      </c>
      <c r="AB111" t="n">
        <v>5</v>
      </c>
      <c r="AC111" t="n">
        <v>5</v>
      </c>
      <c r="AD111" t="n">
        <v>13</v>
      </c>
      <c r="AE111" t="n">
        <v>13</v>
      </c>
      <c r="AF111" t="n">
        <v>3</v>
      </c>
      <c r="AG111" t="n">
        <v>3</v>
      </c>
      <c r="AH111" t="n">
        <v>4</v>
      </c>
      <c r="AI111" t="n">
        <v>4</v>
      </c>
      <c r="AJ111" t="n">
        <v>7</v>
      </c>
      <c r="AK111" t="n">
        <v>7</v>
      </c>
      <c r="AL111" t="n">
        <v>2</v>
      </c>
      <c r="AM111" t="n">
        <v>2</v>
      </c>
      <c r="AN111" t="n">
        <v>0</v>
      </c>
      <c r="AO111" t="n">
        <v>0</v>
      </c>
      <c r="AP111" t="inlineStr">
        <is>
          <t>No</t>
        </is>
      </c>
      <c r="AQ111" t="inlineStr">
        <is>
          <t>No</t>
        </is>
      </c>
      <c r="AR111">
        <f>HYPERLINK("http://catalog.hathitrust.org/Record/001558703","HathiTrust Record")</f>
        <v/>
      </c>
      <c r="AS111">
        <f>HYPERLINK("https://creighton-primo.hosted.exlibrisgroup.com/primo-explore/search?tab=default_tab&amp;search_scope=EVERYTHING&amp;vid=01CRU&amp;lang=en_US&amp;offset=0&amp;query=any,contains,991005155829702656","Catalog Record")</f>
        <v/>
      </c>
      <c r="AT111">
        <f>HYPERLINK("http://www.worldcat.org/oclc/691333","WorldCat Record")</f>
        <v/>
      </c>
      <c r="AU111" t="inlineStr">
        <is>
          <t>1786371:eng</t>
        </is>
      </c>
      <c r="AV111" t="inlineStr">
        <is>
          <t>691333</t>
        </is>
      </c>
      <c r="AW111" t="inlineStr">
        <is>
          <t>991005155829702656</t>
        </is>
      </c>
      <c r="AX111" t="inlineStr">
        <is>
          <t>991005155829702656</t>
        </is>
      </c>
      <c r="AY111" t="inlineStr">
        <is>
          <t>2260074510002656</t>
        </is>
      </c>
      <c r="AZ111" t="inlineStr">
        <is>
          <t>BOOK</t>
        </is>
      </c>
      <c r="BC111" t="inlineStr">
        <is>
          <t>32285001586667</t>
        </is>
      </c>
      <c r="BD111" t="inlineStr">
        <is>
          <t>893424649</t>
        </is>
      </c>
    </row>
    <row r="112">
      <c r="A112" t="inlineStr">
        <is>
          <t>No</t>
        </is>
      </c>
      <c r="B112" t="inlineStr">
        <is>
          <t>RA418 .C59 1993</t>
        </is>
      </c>
      <c r="C112" t="inlineStr">
        <is>
          <t>0                      RA 0418000C  59          1993</t>
        </is>
      </c>
      <c r="D112" t="inlineStr">
        <is>
          <t>The Changing medical profession : an international perspective / edited by Frederic W. Hafferty, John B. McKinlay.</t>
        </is>
      </c>
      <c r="F112" t="inlineStr">
        <is>
          <t>No</t>
        </is>
      </c>
      <c r="G112" t="inlineStr">
        <is>
          <t>1</t>
        </is>
      </c>
      <c r="H112" t="inlineStr">
        <is>
          <t>No</t>
        </is>
      </c>
      <c r="I112" t="inlineStr">
        <is>
          <t>No</t>
        </is>
      </c>
      <c r="J112" t="inlineStr">
        <is>
          <t>0</t>
        </is>
      </c>
      <c r="L112" t="inlineStr">
        <is>
          <t>New York : Oxford University Press, 1993.</t>
        </is>
      </c>
      <c r="M112" t="inlineStr">
        <is>
          <t>1993</t>
        </is>
      </c>
      <c r="O112" t="inlineStr">
        <is>
          <t>eng</t>
        </is>
      </c>
      <c r="P112" t="inlineStr">
        <is>
          <t>nyu</t>
        </is>
      </c>
      <c r="R112" t="inlineStr">
        <is>
          <t xml:space="preserve">RA </t>
        </is>
      </c>
      <c r="S112" t="n">
        <v>8</v>
      </c>
      <c r="T112" t="n">
        <v>8</v>
      </c>
      <c r="U112" t="inlineStr">
        <is>
          <t>2003-11-08</t>
        </is>
      </c>
      <c r="V112" t="inlineStr">
        <is>
          <t>2003-11-08</t>
        </is>
      </c>
      <c r="W112" t="inlineStr">
        <is>
          <t>1994-05-26</t>
        </is>
      </c>
      <c r="X112" t="inlineStr">
        <is>
          <t>1994-05-26</t>
        </is>
      </c>
      <c r="Y112" t="n">
        <v>314</v>
      </c>
      <c r="Z112" t="n">
        <v>231</v>
      </c>
      <c r="AA112" t="n">
        <v>238</v>
      </c>
      <c r="AB112" t="n">
        <v>1</v>
      </c>
      <c r="AC112" t="n">
        <v>1</v>
      </c>
      <c r="AD112" t="n">
        <v>10</v>
      </c>
      <c r="AE112" t="n">
        <v>10</v>
      </c>
      <c r="AF112" t="n">
        <v>2</v>
      </c>
      <c r="AG112" t="n">
        <v>2</v>
      </c>
      <c r="AH112" t="n">
        <v>4</v>
      </c>
      <c r="AI112" t="n">
        <v>4</v>
      </c>
      <c r="AJ112" t="n">
        <v>6</v>
      </c>
      <c r="AK112" t="n">
        <v>6</v>
      </c>
      <c r="AL112" t="n">
        <v>0</v>
      </c>
      <c r="AM112" t="n">
        <v>0</v>
      </c>
      <c r="AN112" t="n">
        <v>1</v>
      </c>
      <c r="AO112" t="n">
        <v>1</v>
      </c>
      <c r="AP112" t="inlineStr">
        <is>
          <t>No</t>
        </is>
      </c>
      <c r="AQ112" t="inlineStr">
        <is>
          <t>Yes</t>
        </is>
      </c>
      <c r="AR112">
        <f>HYPERLINK("http://catalog.hathitrust.org/Record/002738058","HathiTrust Record")</f>
        <v/>
      </c>
      <c r="AS112">
        <f>HYPERLINK("https://creighton-primo.hosted.exlibrisgroup.com/primo-explore/search?tab=default_tab&amp;search_scope=EVERYTHING&amp;vid=01CRU&amp;lang=en_US&amp;offset=0&amp;query=any,contains,991002126219702656","Catalog Record")</f>
        <v/>
      </c>
      <c r="AT112">
        <f>HYPERLINK("http://www.worldcat.org/oclc/27227974","WorldCat Record")</f>
        <v/>
      </c>
      <c r="AU112" t="inlineStr">
        <is>
          <t>837066779:eng</t>
        </is>
      </c>
      <c r="AV112" t="inlineStr">
        <is>
          <t>27227974</t>
        </is>
      </c>
      <c r="AW112" t="inlineStr">
        <is>
          <t>991002126219702656</t>
        </is>
      </c>
      <c r="AX112" t="inlineStr">
        <is>
          <t>991002126219702656</t>
        </is>
      </c>
      <c r="AY112" t="inlineStr">
        <is>
          <t>2265651540002656</t>
        </is>
      </c>
      <c r="AZ112" t="inlineStr">
        <is>
          <t>BOOK</t>
        </is>
      </c>
      <c r="BB112" t="inlineStr">
        <is>
          <t>9780195075922</t>
        </is>
      </c>
      <c r="BC112" t="inlineStr">
        <is>
          <t>32285001899433</t>
        </is>
      </c>
      <c r="BD112" t="inlineStr">
        <is>
          <t>893873130</t>
        </is>
      </c>
    </row>
    <row r="113">
      <c r="A113" t="inlineStr">
        <is>
          <t>No</t>
        </is>
      </c>
      <c r="B113" t="inlineStr">
        <is>
          <t>RA418 .C664 1989</t>
        </is>
      </c>
      <c r="C113" t="inlineStr">
        <is>
          <t>0                      RA 0418000C  664         1989</t>
        </is>
      </c>
      <c r="D113" t="inlineStr">
        <is>
          <t>Health and the rise of civilization / Mark Nathan Cohen.</t>
        </is>
      </c>
      <c r="F113" t="inlineStr">
        <is>
          <t>No</t>
        </is>
      </c>
      <c r="G113" t="inlineStr">
        <is>
          <t>1</t>
        </is>
      </c>
      <c r="H113" t="inlineStr">
        <is>
          <t>No</t>
        </is>
      </c>
      <c r="I113" t="inlineStr">
        <is>
          <t>No</t>
        </is>
      </c>
      <c r="J113" t="inlineStr">
        <is>
          <t>0</t>
        </is>
      </c>
      <c r="K113" t="inlineStr">
        <is>
          <t>Cohen, Mark Nathan.</t>
        </is>
      </c>
      <c r="L113" t="inlineStr">
        <is>
          <t>New Haven : Yale University Press, c1989.</t>
        </is>
      </c>
      <c r="M113" t="inlineStr">
        <is>
          <t>1989</t>
        </is>
      </c>
      <c r="O113" t="inlineStr">
        <is>
          <t>eng</t>
        </is>
      </c>
      <c r="P113" t="inlineStr">
        <is>
          <t>ctu</t>
        </is>
      </c>
      <c r="R113" t="inlineStr">
        <is>
          <t xml:space="preserve">RA </t>
        </is>
      </c>
      <c r="S113" t="n">
        <v>5</v>
      </c>
      <c r="T113" t="n">
        <v>5</v>
      </c>
      <c r="U113" t="inlineStr">
        <is>
          <t>2001-05-03</t>
        </is>
      </c>
      <c r="V113" t="inlineStr">
        <is>
          <t>2001-05-03</t>
        </is>
      </c>
      <c r="W113" t="inlineStr">
        <is>
          <t>1990-07-16</t>
        </is>
      </c>
      <c r="X113" t="inlineStr">
        <is>
          <t>1990-07-16</t>
        </is>
      </c>
      <c r="Y113" t="n">
        <v>830</v>
      </c>
      <c r="Z113" t="n">
        <v>665</v>
      </c>
      <c r="AA113" t="n">
        <v>817</v>
      </c>
      <c r="AB113" t="n">
        <v>2</v>
      </c>
      <c r="AC113" t="n">
        <v>2</v>
      </c>
      <c r="AD113" t="n">
        <v>23</v>
      </c>
      <c r="AE113" t="n">
        <v>31</v>
      </c>
      <c r="AF113" t="n">
        <v>10</v>
      </c>
      <c r="AG113" t="n">
        <v>16</v>
      </c>
      <c r="AH113" t="n">
        <v>6</v>
      </c>
      <c r="AI113" t="n">
        <v>9</v>
      </c>
      <c r="AJ113" t="n">
        <v>15</v>
      </c>
      <c r="AK113" t="n">
        <v>16</v>
      </c>
      <c r="AL113" t="n">
        <v>1</v>
      </c>
      <c r="AM113" t="n">
        <v>1</v>
      </c>
      <c r="AN113" t="n">
        <v>0</v>
      </c>
      <c r="AO113" t="n">
        <v>0</v>
      </c>
      <c r="AP113" t="inlineStr">
        <is>
          <t>No</t>
        </is>
      </c>
      <c r="AQ113" t="inlineStr">
        <is>
          <t>No</t>
        </is>
      </c>
      <c r="AS113">
        <f>HYPERLINK("https://creighton-primo.hosted.exlibrisgroup.com/primo-explore/search?tab=default_tab&amp;search_scope=EVERYTHING&amp;vid=01CRU&amp;lang=en_US&amp;offset=0&amp;query=any,contains,991001439579702656","Catalog Record")</f>
        <v/>
      </c>
      <c r="AT113">
        <f>HYPERLINK("http://www.worldcat.org/oclc/19222495","WorldCat Record")</f>
        <v/>
      </c>
      <c r="AU113" t="inlineStr">
        <is>
          <t>14411216:eng</t>
        </is>
      </c>
      <c r="AV113" t="inlineStr">
        <is>
          <t>19222495</t>
        </is>
      </c>
      <c r="AW113" t="inlineStr">
        <is>
          <t>991001439579702656</t>
        </is>
      </c>
      <c r="AX113" t="inlineStr">
        <is>
          <t>991001439579702656</t>
        </is>
      </c>
      <c r="AY113" t="inlineStr">
        <is>
          <t>2259427570002656</t>
        </is>
      </c>
      <c r="AZ113" t="inlineStr">
        <is>
          <t>BOOK</t>
        </is>
      </c>
      <c r="BB113" t="inlineStr">
        <is>
          <t>9780300040067</t>
        </is>
      </c>
      <c r="BC113" t="inlineStr">
        <is>
          <t>32285000208495</t>
        </is>
      </c>
      <c r="BD113" t="inlineStr">
        <is>
          <t>893621391</t>
        </is>
      </c>
    </row>
    <row r="114">
      <c r="A114" t="inlineStr">
        <is>
          <t>No</t>
        </is>
      </c>
      <c r="B114" t="inlineStr">
        <is>
          <t>RA418 .K86 1991</t>
        </is>
      </c>
      <c r="C114" t="inlineStr">
        <is>
          <t>0                      RA 0418000K  86          1991</t>
        </is>
      </c>
      <c r="D114" t="inlineStr">
        <is>
          <t>The sociology of medicine and illness / Richard A. Kurtz, H. Paul Chalfant.</t>
        </is>
      </c>
      <c r="F114" t="inlineStr">
        <is>
          <t>No</t>
        </is>
      </c>
      <c r="G114" t="inlineStr">
        <is>
          <t>1</t>
        </is>
      </c>
      <c r="H114" t="inlineStr">
        <is>
          <t>No</t>
        </is>
      </c>
      <c r="I114" t="inlineStr">
        <is>
          <t>No</t>
        </is>
      </c>
      <c r="J114" t="inlineStr">
        <is>
          <t>0</t>
        </is>
      </c>
      <c r="K114" t="inlineStr">
        <is>
          <t>Kurtz, Richard A.</t>
        </is>
      </c>
      <c r="L114" t="inlineStr">
        <is>
          <t>Boston : Allyn and Bacon, c1991.</t>
        </is>
      </c>
      <c r="M114" t="inlineStr">
        <is>
          <t>1991</t>
        </is>
      </c>
      <c r="N114" t="inlineStr">
        <is>
          <t>2nd ed.</t>
        </is>
      </c>
      <c r="O114" t="inlineStr">
        <is>
          <t>eng</t>
        </is>
      </c>
      <c r="P114" t="inlineStr">
        <is>
          <t>mau</t>
        </is>
      </c>
      <c r="R114" t="inlineStr">
        <is>
          <t xml:space="preserve">RA </t>
        </is>
      </c>
      <c r="S114" t="n">
        <v>4</v>
      </c>
      <c r="T114" t="n">
        <v>4</v>
      </c>
      <c r="U114" t="inlineStr">
        <is>
          <t>2003-11-08</t>
        </is>
      </c>
      <c r="V114" t="inlineStr">
        <is>
          <t>2003-11-08</t>
        </is>
      </c>
      <c r="W114" t="inlineStr">
        <is>
          <t>2000-07-26</t>
        </is>
      </c>
      <c r="X114" t="inlineStr">
        <is>
          <t>2000-07-26</t>
        </is>
      </c>
      <c r="Y114" t="n">
        <v>115</v>
      </c>
      <c r="Z114" t="n">
        <v>74</v>
      </c>
      <c r="AA114" t="n">
        <v>158</v>
      </c>
      <c r="AB114" t="n">
        <v>1</v>
      </c>
      <c r="AC114" t="n">
        <v>1</v>
      </c>
      <c r="AD114" t="n">
        <v>3</v>
      </c>
      <c r="AE114" t="n">
        <v>4</v>
      </c>
      <c r="AF114" t="n">
        <v>0</v>
      </c>
      <c r="AG114" t="n">
        <v>1</v>
      </c>
      <c r="AH114" t="n">
        <v>1</v>
      </c>
      <c r="AI114" t="n">
        <v>1</v>
      </c>
      <c r="AJ114" t="n">
        <v>3</v>
      </c>
      <c r="AK114" t="n">
        <v>4</v>
      </c>
      <c r="AL114" t="n">
        <v>0</v>
      </c>
      <c r="AM114" t="n">
        <v>0</v>
      </c>
      <c r="AN114" t="n">
        <v>0</v>
      </c>
      <c r="AO114" t="n">
        <v>0</v>
      </c>
      <c r="AP114" t="inlineStr">
        <is>
          <t>No</t>
        </is>
      </c>
      <c r="AQ114" t="inlineStr">
        <is>
          <t>Yes</t>
        </is>
      </c>
      <c r="AR114">
        <f>HYPERLINK("http://catalog.hathitrust.org/Record/004598179","HathiTrust Record")</f>
        <v/>
      </c>
      <c r="AS114">
        <f>HYPERLINK("https://creighton-primo.hosted.exlibrisgroup.com/primo-explore/search?tab=default_tab&amp;search_scope=EVERYTHING&amp;vid=01CRU&amp;lang=en_US&amp;offset=0&amp;query=any,contains,991003219539702656","Catalog Record")</f>
        <v/>
      </c>
      <c r="AT114">
        <f>HYPERLINK("http://www.worldcat.org/oclc/22420139","WorldCat Record")</f>
        <v/>
      </c>
      <c r="AU114" t="inlineStr">
        <is>
          <t>20415641:eng</t>
        </is>
      </c>
      <c r="AV114" t="inlineStr">
        <is>
          <t>22420139</t>
        </is>
      </c>
      <c r="AW114" t="inlineStr">
        <is>
          <t>991003219539702656</t>
        </is>
      </c>
      <c r="AX114" t="inlineStr">
        <is>
          <t>991003219539702656</t>
        </is>
      </c>
      <c r="AY114" t="inlineStr">
        <is>
          <t>2272245880002656</t>
        </is>
      </c>
      <c r="AZ114" t="inlineStr">
        <is>
          <t>BOOK</t>
        </is>
      </c>
      <c r="BB114" t="inlineStr">
        <is>
          <t>9780205128136</t>
        </is>
      </c>
      <c r="BC114" t="inlineStr">
        <is>
          <t>32285003687901</t>
        </is>
      </c>
      <c r="BD114" t="inlineStr">
        <is>
          <t>893434771</t>
        </is>
      </c>
    </row>
    <row r="115">
      <c r="A115" t="inlineStr">
        <is>
          <t>No</t>
        </is>
      </c>
      <c r="B115" t="inlineStr">
        <is>
          <t>RA418 .S85</t>
        </is>
      </c>
      <c r="C115" t="inlineStr">
        <is>
          <t>0                      RA 0418000S  85</t>
        </is>
      </c>
      <c r="D115" t="inlineStr">
        <is>
          <t>Sociology and the field of public health / prepared for the American Sociological Association.</t>
        </is>
      </c>
      <c r="F115" t="inlineStr">
        <is>
          <t>No</t>
        </is>
      </c>
      <c r="G115" t="inlineStr">
        <is>
          <t>1</t>
        </is>
      </c>
      <c r="H115" t="inlineStr">
        <is>
          <t>No</t>
        </is>
      </c>
      <c r="I115" t="inlineStr">
        <is>
          <t>No</t>
        </is>
      </c>
      <c r="J115" t="inlineStr">
        <is>
          <t>0</t>
        </is>
      </c>
      <c r="K115" t="inlineStr">
        <is>
          <t>Suchman, Edward Allen.</t>
        </is>
      </c>
      <c r="L115" t="inlineStr">
        <is>
          <t>New York : Russell Sage Foundation, 1963.</t>
        </is>
      </c>
      <c r="M115" t="inlineStr">
        <is>
          <t>1963</t>
        </is>
      </c>
      <c r="O115" t="inlineStr">
        <is>
          <t>eng</t>
        </is>
      </c>
      <c r="P115" t="inlineStr">
        <is>
          <t>nyu</t>
        </is>
      </c>
      <c r="R115" t="inlineStr">
        <is>
          <t xml:space="preserve">RA </t>
        </is>
      </c>
      <c r="S115" t="n">
        <v>2</v>
      </c>
      <c r="T115" t="n">
        <v>2</v>
      </c>
      <c r="U115" t="inlineStr">
        <is>
          <t>1995-05-02</t>
        </is>
      </c>
      <c r="V115" t="inlineStr">
        <is>
          <t>1995-05-02</t>
        </is>
      </c>
      <c r="W115" t="inlineStr">
        <is>
          <t>1993-02-12</t>
        </is>
      </c>
      <c r="X115" t="inlineStr">
        <is>
          <t>1993-02-12</t>
        </is>
      </c>
      <c r="Y115" t="n">
        <v>397</v>
      </c>
      <c r="Z115" t="n">
        <v>317</v>
      </c>
      <c r="AA115" t="n">
        <v>376</v>
      </c>
      <c r="AB115" t="n">
        <v>4</v>
      </c>
      <c r="AC115" t="n">
        <v>4</v>
      </c>
      <c r="AD115" t="n">
        <v>7</v>
      </c>
      <c r="AE115" t="n">
        <v>9</v>
      </c>
      <c r="AF115" t="n">
        <v>0</v>
      </c>
      <c r="AG115" t="n">
        <v>2</v>
      </c>
      <c r="AH115" t="n">
        <v>1</v>
      </c>
      <c r="AI115" t="n">
        <v>2</v>
      </c>
      <c r="AJ115" t="n">
        <v>3</v>
      </c>
      <c r="AK115" t="n">
        <v>3</v>
      </c>
      <c r="AL115" t="n">
        <v>3</v>
      </c>
      <c r="AM115" t="n">
        <v>3</v>
      </c>
      <c r="AN115" t="n">
        <v>0</v>
      </c>
      <c r="AO115" t="n">
        <v>0</v>
      </c>
      <c r="AP115" t="inlineStr">
        <is>
          <t>Yes</t>
        </is>
      </c>
      <c r="AQ115" t="inlineStr">
        <is>
          <t>No</t>
        </is>
      </c>
      <c r="AR115">
        <f>HYPERLINK("http://catalog.hathitrust.org/Record/001558736","HathiTrust Record")</f>
        <v/>
      </c>
      <c r="AS115">
        <f>HYPERLINK("https://creighton-primo.hosted.exlibrisgroup.com/primo-explore/search?tab=default_tab&amp;search_scope=EVERYTHING&amp;vid=01CRU&amp;lang=en_US&amp;offset=0&amp;query=any,contains,991003299629702656","Catalog Record")</f>
        <v/>
      </c>
      <c r="AT115">
        <f>HYPERLINK("http://www.worldcat.org/oclc/822568","WorldCat Record")</f>
        <v/>
      </c>
      <c r="AU115" t="inlineStr">
        <is>
          <t>1708337:eng</t>
        </is>
      </c>
      <c r="AV115" t="inlineStr">
        <is>
          <t>822568</t>
        </is>
      </c>
      <c r="AW115" t="inlineStr">
        <is>
          <t>991003299629702656</t>
        </is>
      </c>
      <c r="AX115" t="inlineStr">
        <is>
          <t>991003299629702656</t>
        </is>
      </c>
      <c r="AY115" t="inlineStr">
        <is>
          <t>2257784730002656</t>
        </is>
      </c>
      <c r="AZ115" t="inlineStr">
        <is>
          <t>BOOK</t>
        </is>
      </c>
      <c r="BC115" t="inlineStr">
        <is>
          <t>32285001502177</t>
        </is>
      </c>
      <c r="BD115" t="inlineStr">
        <is>
          <t>893686419</t>
        </is>
      </c>
    </row>
    <row r="116">
      <c r="A116" t="inlineStr">
        <is>
          <t>No</t>
        </is>
      </c>
      <c r="B116" t="inlineStr">
        <is>
          <t>RA418 .T56 1992</t>
        </is>
      </c>
      <c r="C116" t="inlineStr">
        <is>
          <t>0                      RA 0418000T  56          1992</t>
        </is>
      </c>
      <c r="D116" t="inlineStr">
        <is>
          <t>Time, health, and medicine / edited by Ronald Frankenburg.</t>
        </is>
      </c>
      <c r="F116" t="inlineStr">
        <is>
          <t>No</t>
        </is>
      </c>
      <c r="G116" t="inlineStr">
        <is>
          <t>1</t>
        </is>
      </c>
      <c r="H116" t="inlineStr">
        <is>
          <t>No</t>
        </is>
      </c>
      <c r="I116" t="inlineStr">
        <is>
          <t>No</t>
        </is>
      </c>
      <c r="J116" t="inlineStr">
        <is>
          <t>0</t>
        </is>
      </c>
      <c r="L116" t="inlineStr">
        <is>
          <t>London ; Newbury Park : Sage Publications, 1992.</t>
        </is>
      </c>
      <c r="M116" t="inlineStr">
        <is>
          <t>1992</t>
        </is>
      </c>
      <c r="O116" t="inlineStr">
        <is>
          <t>eng</t>
        </is>
      </c>
      <c r="P116" t="inlineStr">
        <is>
          <t>enk</t>
        </is>
      </c>
      <c r="R116" t="inlineStr">
        <is>
          <t xml:space="preserve">RA </t>
        </is>
      </c>
      <c r="S116" t="n">
        <v>1</v>
      </c>
      <c r="T116" t="n">
        <v>1</v>
      </c>
      <c r="U116" t="inlineStr">
        <is>
          <t>2007-04-02</t>
        </is>
      </c>
      <c r="V116" t="inlineStr">
        <is>
          <t>2007-04-02</t>
        </is>
      </c>
      <c r="W116" t="inlineStr">
        <is>
          <t>2007-04-02</t>
        </is>
      </c>
      <c r="X116" t="inlineStr">
        <is>
          <t>2007-04-02</t>
        </is>
      </c>
      <c r="Y116" t="n">
        <v>170</v>
      </c>
      <c r="Z116" t="n">
        <v>84</v>
      </c>
      <c r="AA116" t="n">
        <v>85</v>
      </c>
      <c r="AB116" t="n">
        <v>1</v>
      </c>
      <c r="AC116" t="n">
        <v>1</v>
      </c>
      <c r="AD116" t="n">
        <v>4</v>
      </c>
      <c r="AE116" t="n">
        <v>4</v>
      </c>
      <c r="AF116" t="n">
        <v>2</v>
      </c>
      <c r="AG116" t="n">
        <v>2</v>
      </c>
      <c r="AH116" t="n">
        <v>2</v>
      </c>
      <c r="AI116" t="n">
        <v>2</v>
      </c>
      <c r="AJ116" t="n">
        <v>2</v>
      </c>
      <c r="AK116" t="n">
        <v>2</v>
      </c>
      <c r="AL116" t="n">
        <v>0</v>
      </c>
      <c r="AM116" t="n">
        <v>0</v>
      </c>
      <c r="AN116" t="n">
        <v>0</v>
      </c>
      <c r="AO116" t="n">
        <v>0</v>
      </c>
      <c r="AP116" t="inlineStr">
        <is>
          <t>No</t>
        </is>
      </c>
      <c r="AQ116" t="inlineStr">
        <is>
          <t>No</t>
        </is>
      </c>
      <c r="AS116">
        <f>HYPERLINK("https://creighton-primo.hosted.exlibrisgroup.com/primo-explore/search?tab=default_tab&amp;search_scope=EVERYTHING&amp;vid=01CRU&amp;lang=en_US&amp;offset=0&amp;query=any,contains,991005052329702656","Catalog Record")</f>
        <v/>
      </c>
      <c r="AT116">
        <f>HYPERLINK("http://www.worldcat.org/oclc/26464227","WorldCat Record")</f>
        <v/>
      </c>
      <c r="AU116" t="inlineStr">
        <is>
          <t>138711302:eng</t>
        </is>
      </c>
      <c r="AV116" t="inlineStr">
        <is>
          <t>26464227</t>
        </is>
      </c>
      <c r="AW116" t="inlineStr">
        <is>
          <t>991005052329702656</t>
        </is>
      </c>
      <c r="AX116" t="inlineStr">
        <is>
          <t>991005052329702656</t>
        </is>
      </c>
      <c r="AY116" t="inlineStr">
        <is>
          <t>2260153990002656</t>
        </is>
      </c>
      <c r="AZ116" t="inlineStr">
        <is>
          <t>BOOK</t>
        </is>
      </c>
      <c r="BB116" t="inlineStr">
        <is>
          <t>9780803986787</t>
        </is>
      </c>
      <c r="BC116" t="inlineStr">
        <is>
          <t>32285005284616</t>
        </is>
      </c>
      <c r="BD116" t="inlineStr">
        <is>
          <t>893513954</t>
        </is>
      </c>
    </row>
    <row r="117">
      <c r="A117" t="inlineStr">
        <is>
          <t>No</t>
        </is>
      </c>
      <c r="B117" t="inlineStr">
        <is>
          <t>RA418.3.D48 S63 1996</t>
        </is>
      </c>
      <c r="C117" t="inlineStr">
        <is>
          <t>0                      RA 0418300D  48                 S  63          1996</t>
        </is>
      </c>
      <c r="D117" t="inlineStr">
        <is>
          <t>Society, health, and disease : transcultural perspectives / Janardan Subedi, Eugene B. Gallagher.</t>
        </is>
      </c>
      <c r="F117" t="inlineStr">
        <is>
          <t>No</t>
        </is>
      </c>
      <c r="G117" t="inlineStr">
        <is>
          <t>1</t>
        </is>
      </c>
      <c r="H117" t="inlineStr">
        <is>
          <t>No</t>
        </is>
      </c>
      <c r="I117" t="inlineStr">
        <is>
          <t>No</t>
        </is>
      </c>
      <c r="J117" t="inlineStr">
        <is>
          <t>0</t>
        </is>
      </c>
      <c r="L117" t="inlineStr">
        <is>
          <t>Philadelphia : Prentice Hall, 1996.</t>
        </is>
      </c>
      <c r="M117" t="inlineStr">
        <is>
          <t>1996</t>
        </is>
      </c>
      <c r="O117" t="inlineStr">
        <is>
          <t>eng</t>
        </is>
      </c>
      <c r="P117" t="inlineStr">
        <is>
          <t>nju</t>
        </is>
      </c>
      <c r="R117" t="inlineStr">
        <is>
          <t xml:space="preserve">RA </t>
        </is>
      </c>
      <c r="S117" t="n">
        <v>12</v>
      </c>
      <c r="T117" t="n">
        <v>12</v>
      </c>
      <c r="U117" t="inlineStr">
        <is>
          <t>2003-11-03</t>
        </is>
      </c>
      <c r="V117" t="inlineStr">
        <is>
          <t>2003-11-03</t>
        </is>
      </c>
      <c r="W117" t="inlineStr">
        <is>
          <t>1995-09-18</t>
        </is>
      </c>
      <c r="X117" t="inlineStr">
        <is>
          <t>1995-09-18</t>
        </is>
      </c>
      <c r="Y117" t="n">
        <v>213</v>
      </c>
      <c r="Z117" t="n">
        <v>148</v>
      </c>
      <c r="AA117" t="n">
        <v>148</v>
      </c>
      <c r="AB117" t="n">
        <v>1</v>
      </c>
      <c r="AC117" t="n">
        <v>1</v>
      </c>
      <c r="AD117" t="n">
        <v>6</v>
      </c>
      <c r="AE117" t="n">
        <v>6</v>
      </c>
      <c r="AF117" t="n">
        <v>1</v>
      </c>
      <c r="AG117" t="n">
        <v>1</v>
      </c>
      <c r="AH117" t="n">
        <v>2</v>
      </c>
      <c r="AI117" t="n">
        <v>2</v>
      </c>
      <c r="AJ117" t="n">
        <v>4</v>
      </c>
      <c r="AK117" t="n">
        <v>4</v>
      </c>
      <c r="AL117" t="n">
        <v>0</v>
      </c>
      <c r="AM117" t="n">
        <v>0</v>
      </c>
      <c r="AN117" t="n">
        <v>0</v>
      </c>
      <c r="AO117" t="n">
        <v>0</v>
      </c>
      <c r="AP117" t="inlineStr">
        <is>
          <t>No</t>
        </is>
      </c>
      <c r="AQ117" t="inlineStr">
        <is>
          <t>No</t>
        </is>
      </c>
      <c r="AS117">
        <f>HYPERLINK("https://creighton-primo.hosted.exlibrisgroup.com/primo-explore/search?tab=default_tab&amp;search_scope=EVERYTHING&amp;vid=01CRU&amp;lang=en_US&amp;offset=0&amp;query=any,contains,991002460839702656","Catalog Record")</f>
        <v/>
      </c>
      <c r="AT117">
        <f>HYPERLINK("http://www.worldcat.org/oclc/32052910","WorldCat Record")</f>
        <v/>
      </c>
      <c r="AU117" t="inlineStr">
        <is>
          <t>837028245:eng</t>
        </is>
      </c>
      <c r="AV117" t="inlineStr">
        <is>
          <t>32052910</t>
        </is>
      </c>
      <c r="AW117" t="inlineStr">
        <is>
          <t>991002460839702656</t>
        </is>
      </c>
      <c r="AX117" t="inlineStr">
        <is>
          <t>991002460839702656</t>
        </is>
      </c>
      <c r="AY117" t="inlineStr">
        <is>
          <t>2267197930002656</t>
        </is>
      </c>
      <c r="AZ117" t="inlineStr">
        <is>
          <t>BOOK</t>
        </is>
      </c>
      <c r="BB117" t="inlineStr">
        <is>
          <t>9780136690948</t>
        </is>
      </c>
      <c r="BC117" t="inlineStr">
        <is>
          <t>32285002094521</t>
        </is>
      </c>
      <c r="BD117" t="inlineStr">
        <is>
          <t>893329109</t>
        </is>
      </c>
    </row>
    <row r="118">
      <c r="A118" t="inlineStr">
        <is>
          <t>No</t>
        </is>
      </c>
      <c r="B118" t="inlineStr">
        <is>
          <t>RA418.3.G95 S63 1986</t>
        </is>
      </c>
      <c r="C118" t="inlineStr">
        <is>
          <t>0                      RA 0418300G  95                 S  63          1986</t>
        </is>
      </c>
      <c r="D118" t="inlineStr">
        <is>
          <t>Society and health in Guyana : the sociology of health care in a developing nation / Marcel Fredericks ... [et al.].</t>
        </is>
      </c>
      <c r="F118" t="inlineStr">
        <is>
          <t>No</t>
        </is>
      </c>
      <c r="G118" t="inlineStr">
        <is>
          <t>1</t>
        </is>
      </c>
      <c r="H118" t="inlineStr">
        <is>
          <t>No</t>
        </is>
      </c>
      <c r="I118" t="inlineStr">
        <is>
          <t>No</t>
        </is>
      </c>
      <c r="J118" t="inlineStr">
        <is>
          <t>0</t>
        </is>
      </c>
      <c r="L118" t="inlineStr">
        <is>
          <t>Durham, N.C. : Carolina Academic Press, c1986.</t>
        </is>
      </c>
      <c r="M118" t="inlineStr">
        <is>
          <t>1986</t>
        </is>
      </c>
      <c r="O118" t="inlineStr">
        <is>
          <t>eng</t>
        </is>
      </c>
      <c r="P118" t="inlineStr">
        <is>
          <t>ncu</t>
        </is>
      </c>
      <c r="R118" t="inlineStr">
        <is>
          <t xml:space="preserve">RA </t>
        </is>
      </c>
      <c r="S118" t="n">
        <v>1</v>
      </c>
      <c r="T118" t="n">
        <v>1</v>
      </c>
      <c r="U118" t="inlineStr">
        <is>
          <t>2007-09-04</t>
        </is>
      </c>
      <c r="V118" t="inlineStr">
        <is>
          <t>2007-09-04</t>
        </is>
      </c>
      <c r="W118" t="inlineStr">
        <is>
          <t>1993-03-09</t>
        </is>
      </c>
      <c r="X118" t="inlineStr">
        <is>
          <t>1993-03-09</t>
        </is>
      </c>
      <c r="Y118" t="n">
        <v>194</v>
      </c>
      <c r="Z118" t="n">
        <v>169</v>
      </c>
      <c r="AA118" t="n">
        <v>171</v>
      </c>
      <c r="AB118" t="n">
        <v>1</v>
      </c>
      <c r="AC118" t="n">
        <v>1</v>
      </c>
      <c r="AD118" t="n">
        <v>5</v>
      </c>
      <c r="AE118" t="n">
        <v>5</v>
      </c>
      <c r="AF118" t="n">
        <v>0</v>
      </c>
      <c r="AG118" t="n">
        <v>0</v>
      </c>
      <c r="AH118" t="n">
        <v>3</v>
      </c>
      <c r="AI118" t="n">
        <v>3</v>
      </c>
      <c r="AJ118" t="n">
        <v>4</v>
      </c>
      <c r="AK118" t="n">
        <v>4</v>
      </c>
      <c r="AL118" t="n">
        <v>0</v>
      </c>
      <c r="AM118" t="n">
        <v>0</v>
      </c>
      <c r="AN118" t="n">
        <v>0</v>
      </c>
      <c r="AO118" t="n">
        <v>0</v>
      </c>
      <c r="AP118" t="inlineStr">
        <is>
          <t>No</t>
        </is>
      </c>
      <c r="AQ118" t="inlineStr">
        <is>
          <t>Yes</t>
        </is>
      </c>
      <c r="AR118">
        <f>HYPERLINK("http://catalog.hathitrust.org/Record/000488026","HathiTrust Record")</f>
        <v/>
      </c>
      <c r="AS118">
        <f>HYPERLINK("https://creighton-primo.hosted.exlibrisgroup.com/primo-explore/search?tab=default_tab&amp;search_scope=EVERYTHING&amp;vid=01CRU&amp;lang=en_US&amp;offset=0&amp;query=any,contains,991000871649702656","Catalog Record")</f>
        <v/>
      </c>
      <c r="AT118">
        <f>HYPERLINK("http://www.worldcat.org/oclc/13793254","WorldCat Record")</f>
        <v/>
      </c>
      <c r="AU118" t="inlineStr">
        <is>
          <t>7875346:eng</t>
        </is>
      </c>
      <c r="AV118" t="inlineStr">
        <is>
          <t>13793254</t>
        </is>
      </c>
      <c r="AW118" t="inlineStr">
        <is>
          <t>991000871649702656</t>
        </is>
      </c>
      <c r="AX118" t="inlineStr">
        <is>
          <t>991000871649702656</t>
        </is>
      </c>
      <c r="AY118" t="inlineStr">
        <is>
          <t>2272021970002656</t>
        </is>
      </c>
      <c r="AZ118" t="inlineStr">
        <is>
          <t>BOOK</t>
        </is>
      </c>
      <c r="BB118" t="inlineStr">
        <is>
          <t>9780890892954</t>
        </is>
      </c>
      <c r="BC118" t="inlineStr">
        <is>
          <t>32285001586824</t>
        </is>
      </c>
      <c r="BD118" t="inlineStr">
        <is>
          <t>893231493</t>
        </is>
      </c>
    </row>
    <row r="119">
      <c r="A119" t="inlineStr">
        <is>
          <t>No</t>
        </is>
      </c>
      <c r="B119" t="inlineStr">
        <is>
          <t>RA418.3.I8 S6 1990</t>
        </is>
      </c>
      <c r="C119" t="inlineStr">
        <is>
          <t>0                      RA 0418300I  8                  S  6           1990</t>
        </is>
      </c>
      <c r="D119" t="inlineStr">
        <is>
          <t>The Sociology of health and health care in Israel / editor, Aaron Antonovsky.</t>
        </is>
      </c>
      <c r="F119" t="inlineStr">
        <is>
          <t>No</t>
        </is>
      </c>
      <c r="G119" t="inlineStr">
        <is>
          <t>1</t>
        </is>
      </c>
      <c r="H119" t="inlineStr">
        <is>
          <t>No</t>
        </is>
      </c>
      <c r="I119" t="inlineStr">
        <is>
          <t>No</t>
        </is>
      </c>
      <c r="J119" t="inlineStr">
        <is>
          <t>0</t>
        </is>
      </c>
      <c r="L119" t="inlineStr">
        <is>
          <t>New Brunswick, U.S.A. : Transaction Publishers, c1990.</t>
        </is>
      </c>
      <c r="M119" t="inlineStr">
        <is>
          <t>1990</t>
        </is>
      </c>
      <c r="O119" t="inlineStr">
        <is>
          <t>eng</t>
        </is>
      </c>
      <c r="P119" t="inlineStr">
        <is>
          <t>nkc</t>
        </is>
      </c>
      <c r="Q119" t="inlineStr">
        <is>
          <t>Studies of Israeli society ; v. 5</t>
        </is>
      </c>
      <c r="R119" t="inlineStr">
        <is>
          <t xml:space="preserve">RA </t>
        </is>
      </c>
      <c r="S119" t="n">
        <v>1</v>
      </c>
      <c r="T119" t="n">
        <v>1</v>
      </c>
      <c r="U119" t="inlineStr">
        <is>
          <t>2001-10-11</t>
        </is>
      </c>
      <c r="V119" t="inlineStr">
        <is>
          <t>2001-10-11</t>
        </is>
      </c>
      <c r="W119" t="inlineStr">
        <is>
          <t>2001-06-12</t>
        </is>
      </c>
      <c r="X119" t="inlineStr">
        <is>
          <t>2001-06-12</t>
        </is>
      </c>
      <c r="Y119" t="n">
        <v>96</v>
      </c>
      <c r="Z119" t="n">
        <v>60</v>
      </c>
      <c r="AA119" t="n">
        <v>61</v>
      </c>
      <c r="AB119" t="n">
        <v>1</v>
      </c>
      <c r="AC119" t="n">
        <v>1</v>
      </c>
      <c r="AD119" t="n">
        <v>1</v>
      </c>
      <c r="AE119" t="n">
        <v>1</v>
      </c>
      <c r="AF119" t="n">
        <v>0</v>
      </c>
      <c r="AG119" t="n">
        <v>0</v>
      </c>
      <c r="AH119" t="n">
        <v>1</v>
      </c>
      <c r="AI119" t="n">
        <v>1</v>
      </c>
      <c r="AJ119" t="n">
        <v>1</v>
      </c>
      <c r="AK119" t="n">
        <v>1</v>
      </c>
      <c r="AL119" t="n">
        <v>0</v>
      </c>
      <c r="AM119" t="n">
        <v>0</v>
      </c>
      <c r="AN119" t="n">
        <v>0</v>
      </c>
      <c r="AO119" t="n">
        <v>0</v>
      </c>
      <c r="AP119" t="inlineStr">
        <is>
          <t>No</t>
        </is>
      </c>
      <c r="AQ119" t="inlineStr">
        <is>
          <t>No</t>
        </is>
      </c>
      <c r="AS119">
        <f>HYPERLINK("https://creighton-primo.hosted.exlibrisgroup.com/primo-explore/search?tab=default_tab&amp;search_scope=EVERYTHING&amp;vid=01CRU&amp;lang=en_US&amp;offset=0&amp;query=any,contains,991003553589702656","Catalog Record")</f>
        <v/>
      </c>
      <c r="AT119">
        <f>HYPERLINK("http://www.worldcat.org/oclc/22814984","WorldCat Record")</f>
        <v/>
      </c>
      <c r="AU119" t="inlineStr">
        <is>
          <t>24231333:eng</t>
        </is>
      </c>
      <c r="AV119" t="inlineStr">
        <is>
          <t>22814984</t>
        </is>
      </c>
      <c r="AW119" t="inlineStr">
        <is>
          <t>991003553589702656</t>
        </is>
      </c>
      <c r="AX119" t="inlineStr">
        <is>
          <t>991003553589702656</t>
        </is>
      </c>
      <c r="AY119" t="inlineStr">
        <is>
          <t>2263126590002656</t>
        </is>
      </c>
      <c r="AZ119" t="inlineStr">
        <is>
          <t>BOOK</t>
        </is>
      </c>
      <c r="BB119" t="inlineStr">
        <is>
          <t>9780887383083</t>
        </is>
      </c>
      <c r="BC119" t="inlineStr">
        <is>
          <t>32285004326707</t>
        </is>
      </c>
      <c r="BD119" t="inlineStr">
        <is>
          <t>893441420</t>
        </is>
      </c>
    </row>
    <row r="120">
      <c r="A120" t="inlineStr">
        <is>
          <t>No</t>
        </is>
      </c>
      <c r="B120" t="inlineStr">
        <is>
          <t>RA418.3.U6 G56 1990</t>
        </is>
      </c>
      <c r="C120" t="inlineStr">
        <is>
          <t>0                      RA 0418300U  6                  G  56          1990</t>
        </is>
      </c>
      <c r="D120" t="inlineStr">
        <is>
          <t>The medical triangle : physicians, politicians, and the public / Eli Ginzberg.</t>
        </is>
      </c>
      <c r="F120" t="inlineStr">
        <is>
          <t>No</t>
        </is>
      </c>
      <c r="G120" t="inlineStr">
        <is>
          <t>1</t>
        </is>
      </c>
      <c r="H120" t="inlineStr">
        <is>
          <t>Yes</t>
        </is>
      </c>
      <c r="I120" t="inlineStr">
        <is>
          <t>No</t>
        </is>
      </c>
      <c r="J120" t="inlineStr">
        <is>
          <t>0</t>
        </is>
      </c>
      <c r="K120" t="inlineStr">
        <is>
          <t>Ginzberg, Eli, 1911-2002.</t>
        </is>
      </c>
      <c r="L120" t="inlineStr">
        <is>
          <t>Cambridge, Mass. : Harvard University Press, 1990.</t>
        </is>
      </c>
      <c r="M120" t="inlineStr">
        <is>
          <t>1990</t>
        </is>
      </c>
      <c r="O120" t="inlineStr">
        <is>
          <t>eng</t>
        </is>
      </c>
      <c r="P120" t="inlineStr">
        <is>
          <t>mau</t>
        </is>
      </c>
      <c r="R120" t="inlineStr">
        <is>
          <t xml:space="preserve">RA </t>
        </is>
      </c>
      <c r="S120" t="n">
        <v>2</v>
      </c>
      <c r="T120" t="n">
        <v>2</v>
      </c>
      <c r="U120" t="inlineStr">
        <is>
          <t>1994-04-15</t>
        </is>
      </c>
      <c r="V120" t="inlineStr">
        <is>
          <t>1994-04-15</t>
        </is>
      </c>
      <c r="W120" t="inlineStr">
        <is>
          <t>1990-06-21</t>
        </is>
      </c>
      <c r="X120" t="inlineStr">
        <is>
          <t>1990-06-21</t>
        </is>
      </c>
      <c r="Y120" t="n">
        <v>675</v>
      </c>
      <c r="Z120" t="n">
        <v>594</v>
      </c>
      <c r="AA120" t="n">
        <v>599</v>
      </c>
      <c r="AB120" t="n">
        <v>4</v>
      </c>
      <c r="AC120" t="n">
        <v>4</v>
      </c>
      <c r="AD120" t="n">
        <v>27</v>
      </c>
      <c r="AE120" t="n">
        <v>27</v>
      </c>
      <c r="AF120" t="n">
        <v>8</v>
      </c>
      <c r="AG120" t="n">
        <v>8</v>
      </c>
      <c r="AH120" t="n">
        <v>6</v>
      </c>
      <c r="AI120" t="n">
        <v>6</v>
      </c>
      <c r="AJ120" t="n">
        <v>12</v>
      </c>
      <c r="AK120" t="n">
        <v>12</v>
      </c>
      <c r="AL120" t="n">
        <v>2</v>
      </c>
      <c r="AM120" t="n">
        <v>2</v>
      </c>
      <c r="AN120" t="n">
        <v>7</v>
      </c>
      <c r="AO120" t="n">
        <v>7</v>
      </c>
      <c r="AP120" t="inlineStr">
        <is>
          <t>No</t>
        </is>
      </c>
      <c r="AQ120" t="inlineStr">
        <is>
          <t>No</t>
        </is>
      </c>
      <c r="AS120">
        <f>HYPERLINK("https://creighton-primo.hosted.exlibrisgroup.com/primo-explore/search?tab=default_tab&amp;search_scope=EVERYTHING&amp;vid=01CRU&amp;lang=en_US&amp;offset=0&amp;query=any,contains,991001582749702656","Catalog Record")</f>
        <v/>
      </c>
      <c r="AT120">
        <f>HYPERLINK("http://www.worldcat.org/oclc/20492239","WorldCat Record")</f>
        <v/>
      </c>
      <c r="AU120" t="inlineStr">
        <is>
          <t>836735554:eng</t>
        </is>
      </c>
      <c r="AV120" t="inlineStr">
        <is>
          <t>20492239</t>
        </is>
      </c>
      <c r="AW120" t="inlineStr">
        <is>
          <t>991001582749702656</t>
        </is>
      </c>
      <c r="AX120" t="inlineStr">
        <is>
          <t>991001582749702656</t>
        </is>
      </c>
      <c r="AY120" t="inlineStr">
        <is>
          <t>2270258210002656</t>
        </is>
      </c>
      <c r="AZ120" t="inlineStr">
        <is>
          <t>BOOK</t>
        </is>
      </c>
      <c r="BB120" t="inlineStr">
        <is>
          <t>9780674563254</t>
        </is>
      </c>
      <c r="BC120" t="inlineStr">
        <is>
          <t>32285000179290</t>
        </is>
      </c>
      <c r="BD120" t="inlineStr">
        <is>
          <t>893590453</t>
        </is>
      </c>
    </row>
    <row r="121">
      <c r="A121" t="inlineStr">
        <is>
          <t>No</t>
        </is>
      </c>
      <c r="B121" t="inlineStr">
        <is>
          <t>RA418.3.U6 N57</t>
        </is>
      </c>
      <c r="C121" t="inlineStr">
        <is>
          <t>0                      RA 0418300U  6                  N  57</t>
        </is>
      </c>
      <c r="D121" t="inlineStr">
        <is>
          <t>Sex, diet, and debility in Jacksonian America : Sylvester Graham and health reform / Stephen Nissenbaum.</t>
        </is>
      </c>
      <c r="F121" t="inlineStr">
        <is>
          <t>No</t>
        </is>
      </c>
      <c r="G121" t="inlineStr">
        <is>
          <t>1</t>
        </is>
      </c>
      <c r="H121" t="inlineStr">
        <is>
          <t>No</t>
        </is>
      </c>
      <c r="I121" t="inlineStr">
        <is>
          <t>No</t>
        </is>
      </c>
      <c r="J121" t="inlineStr">
        <is>
          <t>0</t>
        </is>
      </c>
      <c r="K121" t="inlineStr">
        <is>
          <t>Nissenbaum, Stephen.</t>
        </is>
      </c>
      <c r="L121" t="inlineStr">
        <is>
          <t>Westport, Conn. : Greenwood Press, 1980.</t>
        </is>
      </c>
      <c r="M121" t="inlineStr">
        <is>
          <t>1980</t>
        </is>
      </c>
      <c r="O121" t="inlineStr">
        <is>
          <t>eng</t>
        </is>
      </c>
      <c r="P121" t="inlineStr">
        <is>
          <t>ctu</t>
        </is>
      </c>
      <c r="Q121" t="inlineStr">
        <is>
          <t>Contributions in medical history, 0147-1058 ; no. 4</t>
        </is>
      </c>
      <c r="R121" t="inlineStr">
        <is>
          <t xml:space="preserve">RA </t>
        </is>
      </c>
      <c r="S121" t="n">
        <v>7</v>
      </c>
      <c r="T121" t="n">
        <v>7</v>
      </c>
      <c r="U121" t="inlineStr">
        <is>
          <t>2003-09-29</t>
        </is>
      </c>
      <c r="V121" t="inlineStr">
        <is>
          <t>2003-09-29</t>
        </is>
      </c>
      <c r="W121" t="inlineStr">
        <is>
          <t>1993-03-09</t>
        </is>
      </c>
      <c r="X121" t="inlineStr">
        <is>
          <t>1993-03-09</t>
        </is>
      </c>
      <c r="Y121" t="n">
        <v>532</v>
      </c>
      <c r="Z121" t="n">
        <v>476</v>
      </c>
      <c r="AA121" t="n">
        <v>527</v>
      </c>
      <c r="AB121" t="n">
        <v>4</v>
      </c>
      <c r="AC121" t="n">
        <v>4</v>
      </c>
      <c r="AD121" t="n">
        <v>17</v>
      </c>
      <c r="AE121" t="n">
        <v>18</v>
      </c>
      <c r="AF121" t="n">
        <v>3</v>
      </c>
      <c r="AG121" t="n">
        <v>3</v>
      </c>
      <c r="AH121" t="n">
        <v>7</v>
      </c>
      <c r="AI121" t="n">
        <v>7</v>
      </c>
      <c r="AJ121" t="n">
        <v>8</v>
      </c>
      <c r="AK121" t="n">
        <v>9</v>
      </c>
      <c r="AL121" t="n">
        <v>3</v>
      </c>
      <c r="AM121" t="n">
        <v>3</v>
      </c>
      <c r="AN121" t="n">
        <v>0</v>
      </c>
      <c r="AO121" t="n">
        <v>0</v>
      </c>
      <c r="AP121" t="inlineStr">
        <is>
          <t>No</t>
        </is>
      </c>
      <c r="AQ121" t="inlineStr">
        <is>
          <t>Yes</t>
        </is>
      </c>
      <c r="AR121">
        <f>HYPERLINK("http://catalog.hathitrust.org/Record/000714233","HathiTrust Record")</f>
        <v/>
      </c>
      <c r="AS121">
        <f>HYPERLINK("https://creighton-primo.hosted.exlibrisgroup.com/primo-explore/search?tab=default_tab&amp;search_scope=EVERYTHING&amp;vid=01CRU&amp;lang=en_US&amp;offset=0&amp;query=any,contains,991004826099702656","Catalog Record")</f>
        <v/>
      </c>
      <c r="AT121">
        <f>HYPERLINK("http://www.worldcat.org/oclc/5353727","WorldCat Record")</f>
        <v/>
      </c>
      <c r="AU121" t="inlineStr">
        <is>
          <t>2598939:eng</t>
        </is>
      </c>
      <c r="AV121" t="inlineStr">
        <is>
          <t>5353727</t>
        </is>
      </c>
      <c r="AW121" t="inlineStr">
        <is>
          <t>991004826099702656</t>
        </is>
      </c>
      <c r="AX121" t="inlineStr">
        <is>
          <t>991004826099702656</t>
        </is>
      </c>
      <c r="AY121" t="inlineStr">
        <is>
          <t>2257456210002656</t>
        </is>
      </c>
      <c r="AZ121" t="inlineStr">
        <is>
          <t>BOOK</t>
        </is>
      </c>
      <c r="BB121" t="inlineStr">
        <is>
          <t>9780313214158</t>
        </is>
      </c>
      <c r="BC121" t="inlineStr">
        <is>
          <t>32285001586840</t>
        </is>
      </c>
      <c r="BD121" t="inlineStr">
        <is>
          <t>893905095</t>
        </is>
      </c>
    </row>
    <row r="122">
      <c r="A122" t="inlineStr">
        <is>
          <t>No</t>
        </is>
      </c>
      <c r="B122" t="inlineStr">
        <is>
          <t>RA418.3.U6 S64 1995</t>
        </is>
      </c>
      <c r="C122" t="inlineStr">
        <is>
          <t>0                      RA 0418300U  6                  S  64          1995</t>
        </is>
      </c>
      <c r="D122" t="inlineStr">
        <is>
          <t>Society and health / Benjamin C. Amick III ... [et al.].</t>
        </is>
      </c>
      <c r="F122" t="inlineStr">
        <is>
          <t>No</t>
        </is>
      </c>
      <c r="G122" t="inlineStr">
        <is>
          <t>1</t>
        </is>
      </c>
      <c r="H122" t="inlineStr">
        <is>
          <t>No</t>
        </is>
      </c>
      <c r="I122" t="inlineStr">
        <is>
          <t>No</t>
        </is>
      </c>
      <c r="J122" t="inlineStr">
        <is>
          <t>0</t>
        </is>
      </c>
      <c r="L122" t="inlineStr">
        <is>
          <t>New York : Oxford University Press, 1995.</t>
        </is>
      </c>
      <c r="M122" t="inlineStr">
        <is>
          <t>1995</t>
        </is>
      </c>
      <c r="O122" t="inlineStr">
        <is>
          <t>eng</t>
        </is>
      </c>
      <c r="P122" t="inlineStr">
        <is>
          <t>nyu</t>
        </is>
      </c>
      <c r="R122" t="inlineStr">
        <is>
          <t xml:space="preserve">RA </t>
        </is>
      </c>
      <c r="S122" t="n">
        <v>4</v>
      </c>
      <c r="T122" t="n">
        <v>4</v>
      </c>
      <c r="U122" t="inlineStr">
        <is>
          <t>2003-09-01</t>
        </is>
      </c>
      <c r="V122" t="inlineStr">
        <is>
          <t>2003-09-01</t>
        </is>
      </c>
      <c r="W122" t="inlineStr">
        <is>
          <t>2000-01-12</t>
        </is>
      </c>
      <c r="X122" t="inlineStr">
        <is>
          <t>2000-01-12</t>
        </is>
      </c>
      <c r="Y122" t="n">
        <v>376</v>
      </c>
      <c r="Z122" t="n">
        <v>295</v>
      </c>
      <c r="AA122" t="n">
        <v>300</v>
      </c>
      <c r="AB122" t="n">
        <v>2</v>
      </c>
      <c r="AC122" t="n">
        <v>2</v>
      </c>
      <c r="AD122" t="n">
        <v>12</v>
      </c>
      <c r="AE122" t="n">
        <v>12</v>
      </c>
      <c r="AF122" t="n">
        <v>3</v>
      </c>
      <c r="AG122" t="n">
        <v>3</v>
      </c>
      <c r="AH122" t="n">
        <v>5</v>
      </c>
      <c r="AI122" t="n">
        <v>5</v>
      </c>
      <c r="AJ122" t="n">
        <v>5</v>
      </c>
      <c r="AK122" t="n">
        <v>5</v>
      </c>
      <c r="AL122" t="n">
        <v>1</v>
      </c>
      <c r="AM122" t="n">
        <v>1</v>
      </c>
      <c r="AN122" t="n">
        <v>1</v>
      </c>
      <c r="AO122" t="n">
        <v>1</v>
      </c>
      <c r="AP122" t="inlineStr">
        <is>
          <t>No</t>
        </is>
      </c>
      <c r="AQ122" t="inlineStr">
        <is>
          <t>No</t>
        </is>
      </c>
      <c r="AS122">
        <f>HYPERLINK("https://creighton-primo.hosted.exlibrisgroup.com/primo-explore/search?tab=default_tab&amp;search_scope=EVERYTHING&amp;vid=01CRU&amp;lang=en_US&amp;offset=0&amp;query=any,contains,991002514189702656","Catalog Record")</f>
        <v/>
      </c>
      <c r="AT122">
        <f>HYPERLINK("http://www.worldcat.org/oclc/32698501","WorldCat Record")</f>
        <v/>
      </c>
      <c r="AU122" t="inlineStr">
        <is>
          <t>349900073:eng</t>
        </is>
      </c>
      <c r="AV122" t="inlineStr">
        <is>
          <t>32698501</t>
        </is>
      </c>
      <c r="AW122" t="inlineStr">
        <is>
          <t>991002514189702656</t>
        </is>
      </c>
      <c r="AX122" t="inlineStr">
        <is>
          <t>991002514189702656</t>
        </is>
      </c>
      <c r="AY122" t="inlineStr">
        <is>
          <t>2264561370002656</t>
        </is>
      </c>
      <c r="AZ122" t="inlineStr">
        <is>
          <t>BOOK</t>
        </is>
      </c>
      <c r="BB122" t="inlineStr">
        <is>
          <t>9780195085068</t>
        </is>
      </c>
      <c r="BC122" t="inlineStr">
        <is>
          <t>32285003640736</t>
        </is>
      </c>
      <c r="BD122" t="inlineStr">
        <is>
          <t>893616216</t>
        </is>
      </c>
    </row>
    <row r="123">
      <c r="A123" t="inlineStr">
        <is>
          <t>No</t>
        </is>
      </c>
      <c r="B123" t="inlineStr">
        <is>
          <t>RA418.3.U6 W5 1982</t>
        </is>
      </c>
      <c r="C123" t="inlineStr">
        <is>
          <t>0                      RA 0418300U  6                  W  5           1982</t>
        </is>
      </c>
      <c r="D123" t="inlineStr">
        <is>
          <t>Crusaders for fitness : the history of American health reformers / James C. Whorton.</t>
        </is>
      </c>
      <c r="F123" t="inlineStr">
        <is>
          <t>No</t>
        </is>
      </c>
      <c r="G123" t="inlineStr">
        <is>
          <t>1</t>
        </is>
      </c>
      <c r="H123" t="inlineStr">
        <is>
          <t>No</t>
        </is>
      </c>
      <c r="I123" t="inlineStr">
        <is>
          <t>No</t>
        </is>
      </c>
      <c r="J123" t="inlineStr">
        <is>
          <t>0</t>
        </is>
      </c>
      <c r="K123" t="inlineStr">
        <is>
          <t>Whorton, James C., 1942-</t>
        </is>
      </c>
      <c r="L123" t="inlineStr">
        <is>
          <t>Princeton, N.J. : Princeton University Press, c1982.</t>
        </is>
      </c>
      <c r="M123" t="inlineStr">
        <is>
          <t>1982</t>
        </is>
      </c>
      <c r="O123" t="inlineStr">
        <is>
          <t>eng</t>
        </is>
      </c>
      <c r="P123" t="inlineStr">
        <is>
          <t>nju</t>
        </is>
      </c>
      <c r="R123" t="inlineStr">
        <is>
          <t xml:space="preserve">RA </t>
        </is>
      </c>
      <c r="S123" t="n">
        <v>6</v>
      </c>
      <c r="T123" t="n">
        <v>6</v>
      </c>
      <c r="U123" t="inlineStr">
        <is>
          <t>1997-07-08</t>
        </is>
      </c>
      <c r="V123" t="inlineStr">
        <is>
          <t>1997-07-08</t>
        </is>
      </c>
      <c r="W123" t="inlineStr">
        <is>
          <t>1993-03-10</t>
        </is>
      </c>
      <c r="X123" t="inlineStr">
        <is>
          <t>1993-03-10</t>
        </is>
      </c>
      <c r="Y123" t="n">
        <v>826</v>
      </c>
      <c r="Z123" t="n">
        <v>739</v>
      </c>
      <c r="AA123" t="n">
        <v>1011</v>
      </c>
      <c r="AB123" t="n">
        <v>4</v>
      </c>
      <c r="AC123" t="n">
        <v>8</v>
      </c>
      <c r="AD123" t="n">
        <v>25</v>
      </c>
      <c r="AE123" t="n">
        <v>43</v>
      </c>
      <c r="AF123" t="n">
        <v>12</v>
      </c>
      <c r="AG123" t="n">
        <v>20</v>
      </c>
      <c r="AH123" t="n">
        <v>5</v>
      </c>
      <c r="AI123" t="n">
        <v>11</v>
      </c>
      <c r="AJ123" t="n">
        <v>12</v>
      </c>
      <c r="AK123" t="n">
        <v>18</v>
      </c>
      <c r="AL123" t="n">
        <v>3</v>
      </c>
      <c r="AM123" t="n">
        <v>6</v>
      </c>
      <c r="AN123" t="n">
        <v>0</v>
      </c>
      <c r="AO123" t="n">
        <v>0</v>
      </c>
      <c r="AP123" t="inlineStr">
        <is>
          <t>No</t>
        </is>
      </c>
      <c r="AQ123" t="inlineStr">
        <is>
          <t>No</t>
        </is>
      </c>
      <c r="AS123">
        <f>HYPERLINK("https://creighton-primo.hosted.exlibrisgroup.com/primo-explore/search?tab=default_tab&amp;search_scope=EVERYTHING&amp;vid=01CRU&amp;lang=en_US&amp;offset=0&amp;query=any,contains,991005242149702656","Catalog Record")</f>
        <v/>
      </c>
      <c r="AT123">
        <f>HYPERLINK("http://www.worldcat.org/oclc/8430463","WorldCat Record")</f>
        <v/>
      </c>
      <c r="AU123" t="inlineStr">
        <is>
          <t>441357:eng</t>
        </is>
      </c>
      <c r="AV123" t="inlineStr">
        <is>
          <t>8430463</t>
        </is>
      </c>
      <c r="AW123" t="inlineStr">
        <is>
          <t>991005242149702656</t>
        </is>
      </c>
      <c r="AX123" t="inlineStr">
        <is>
          <t>991005242149702656</t>
        </is>
      </c>
      <c r="AY123" t="inlineStr">
        <is>
          <t>2261300220002656</t>
        </is>
      </c>
      <c r="AZ123" t="inlineStr">
        <is>
          <t>BOOK</t>
        </is>
      </c>
      <c r="BB123" t="inlineStr">
        <is>
          <t>9780691046945</t>
        </is>
      </c>
      <c r="BC123" t="inlineStr">
        <is>
          <t>32285001586857</t>
        </is>
      </c>
      <c r="BD123" t="inlineStr">
        <is>
          <t>893902353</t>
        </is>
      </c>
    </row>
    <row r="124">
      <c r="A124" t="inlineStr">
        <is>
          <t>No</t>
        </is>
      </c>
      <c r="B124" t="inlineStr">
        <is>
          <t>RA418.5.F3 F76 1992</t>
        </is>
      </c>
      <c r="C124" t="inlineStr">
        <is>
          <t>0                      RA 0418500F  3                  F  76          1992</t>
        </is>
      </c>
      <c r="D124" t="inlineStr">
        <is>
          <t>From despair to hope : family and drug addiction / The Pontifical Council for the Family.</t>
        </is>
      </c>
      <c r="F124" t="inlineStr">
        <is>
          <t>No</t>
        </is>
      </c>
      <c r="G124" t="inlineStr">
        <is>
          <t>1</t>
        </is>
      </c>
      <c r="H124" t="inlineStr">
        <is>
          <t>No</t>
        </is>
      </c>
      <c r="I124" t="inlineStr">
        <is>
          <t>No</t>
        </is>
      </c>
      <c r="J124" t="inlineStr">
        <is>
          <t>0</t>
        </is>
      </c>
      <c r="L124" t="inlineStr">
        <is>
          <t>Vatican City : Libreria Editrice Vaticana ; [Washington, D.C. : United States Catholic Conference], 1992.</t>
        </is>
      </c>
      <c r="M124" t="inlineStr">
        <is>
          <t>1992</t>
        </is>
      </c>
      <c r="O124" t="inlineStr">
        <is>
          <t>eng</t>
        </is>
      </c>
      <c r="P124" t="inlineStr">
        <is>
          <t>dcu</t>
        </is>
      </c>
      <c r="Q124" t="inlineStr">
        <is>
          <t>Publication / Office for Publishing and Promotion Services, United States Catholic Conference ; no. 552-6.</t>
        </is>
      </c>
      <c r="R124" t="inlineStr">
        <is>
          <t xml:space="preserve">RA </t>
        </is>
      </c>
      <c r="S124" t="n">
        <v>4</v>
      </c>
      <c r="T124" t="n">
        <v>4</v>
      </c>
      <c r="U124" t="inlineStr">
        <is>
          <t>1995-11-26</t>
        </is>
      </c>
      <c r="V124" t="inlineStr">
        <is>
          <t>1995-11-26</t>
        </is>
      </c>
      <c r="W124" t="inlineStr">
        <is>
          <t>1993-04-13</t>
        </is>
      </c>
      <c r="X124" t="inlineStr">
        <is>
          <t>1993-04-13</t>
        </is>
      </c>
      <c r="Y124" t="n">
        <v>54</v>
      </c>
      <c r="Z124" t="n">
        <v>51</v>
      </c>
      <c r="AA124" t="n">
        <v>53</v>
      </c>
      <c r="AB124" t="n">
        <v>1</v>
      </c>
      <c r="AC124" t="n">
        <v>1</v>
      </c>
      <c r="AD124" t="n">
        <v>10</v>
      </c>
      <c r="AE124" t="n">
        <v>10</v>
      </c>
      <c r="AF124" t="n">
        <v>2</v>
      </c>
      <c r="AG124" t="n">
        <v>2</v>
      </c>
      <c r="AH124" t="n">
        <v>4</v>
      </c>
      <c r="AI124" t="n">
        <v>4</v>
      </c>
      <c r="AJ124" t="n">
        <v>6</v>
      </c>
      <c r="AK124" t="n">
        <v>6</v>
      </c>
      <c r="AL124" t="n">
        <v>0</v>
      </c>
      <c r="AM124" t="n">
        <v>0</v>
      </c>
      <c r="AN124" t="n">
        <v>0</v>
      </c>
      <c r="AO124" t="n">
        <v>0</v>
      </c>
      <c r="AP124" t="inlineStr">
        <is>
          <t>No</t>
        </is>
      </c>
      <c r="AQ124" t="inlineStr">
        <is>
          <t>No</t>
        </is>
      </c>
      <c r="AS124">
        <f>HYPERLINK("https://creighton-primo.hosted.exlibrisgroup.com/primo-explore/search?tab=default_tab&amp;search_scope=EVERYTHING&amp;vid=01CRU&amp;lang=en_US&amp;offset=0&amp;query=any,contains,991002156299702656","Catalog Record")</f>
        <v/>
      </c>
      <c r="AT124">
        <f>HYPERLINK("http://www.worldcat.org/oclc/27784676","WorldCat Record")</f>
        <v/>
      </c>
      <c r="AU124" t="inlineStr">
        <is>
          <t>26270178:eng</t>
        </is>
      </c>
      <c r="AV124" t="inlineStr">
        <is>
          <t>27784676</t>
        </is>
      </c>
      <c r="AW124" t="inlineStr">
        <is>
          <t>991002156299702656</t>
        </is>
      </c>
      <c r="AX124" t="inlineStr">
        <is>
          <t>991002156299702656</t>
        </is>
      </c>
      <c r="AY124" t="inlineStr">
        <is>
          <t>2263509240002656</t>
        </is>
      </c>
      <c r="AZ124" t="inlineStr">
        <is>
          <t>BOOK</t>
        </is>
      </c>
      <c r="BC124" t="inlineStr">
        <is>
          <t>32285001614774</t>
        </is>
      </c>
      <c r="BD124" t="inlineStr">
        <is>
          <t>893609526</t>
        </is>
      </c>
    </row>
    <row r="125">
      <c r="A125" t="inlineStr">
        <is>
          <t>No</t>
        </is>
      </c>
      <c r="B125" t="inlineStr">
        <is>
          <t>RA418.5.M4 B49 2000</t>
        </is>
      </c>
      <c r="C125" t="inlineStr">
        <is>
          <t>0                      RA 0418500M  4                  B  49          2000</t>
        </is>
      </c>
      <c r="D125" t="inlineStr">
        <is>
          <t>Beyond managed care : how consumers and technology are changing the future of health care / Dean C. Coddington ... [et al.].</t>
        </is>
      </c>
      <c r="F125" t="inlineStr">
        <is>
          <t>No</t>
        </is>
      </c>
      <c r="G125" t="inlineStr">
        <is>
          <t>1</t>
        </is>
      </c>
      <c r="H125" t="inlineStr">
        <is>
          <t>No</t>
        </is>
      </c>
      <c r="I125" t="inlineStr">
        <is>
          <t>No</t>
        </is>
      </c>
      <c r="J125" t="inlineStr">
        <is>
          <t>0</t>
        </is>
      </c>
      <c r="L125" t="inlineStr">
        <is>
          <t>San Francisco : Jossey-Bass, c2000.</t>
        </is>
      </c>
      <c r="M125" t="inlineStr">
        <is>
          <t>2000</t>
        </is>
      </c>
      <c r="N125" t="inlineStr">
        <is>
          <t>1st ed.</t>
        </is>
      </c>
      <c r="O125" t="inlineStr">
        <is>
          <t>eng</t>
        </is>
      </c>
      <c r="P125" t="inlineStr">
        <is>
          <t>cau</t>
        </is>
      </c>
      <c r="Q125" t="inlineStr">
        <is>
          <t>Jossey-Bass health care series</t>
        </is>
      </c>
      <c r="R125" t="inlineStr">
        <is>
          <t xml:space="preserve">RA </t>
        </is>
      </c>
      <c r="S125" t="n">
        <v>2</v>
      </c>
      <c r="T125" t="n">
        <v>2</v>
      </c>
      <c r="U125" t="inlineStr">
        <is>
          <t>2003-02-23</t>
        </is>
      </c>
      <c r="V125" t="inlineStr">
        <is>
          <t>2003-02-23</t>
        </is>
      </c>
      <c r="W125" t="inlineStr">
        <is>
          <t>2000-12-12</t>
        </is>
      </c>
      <c r="X125" t="inlineStr">
        <is>
          <t>2000-12-12</t>
        </is>
      </c>
      <c r="Y125" t="n">
        <v>332</v>
      </c>
      <c r="Z125" t="n">
        <v>303</v>
      </c>
      <c r="AA125" t="n">
        <v>305</v>
      </c>
      <c r="AB125" t="n">
        <v>1</v>
      </c>
      <c r="AC125" t="n">
        <v>1</v>
      </c>
      <c r="AD125" t="n">
        <v>13</v>
      </c>
      <c r="AE125" t="n">
        <v>13</v>
      </c>
      <c r="AF125" t="n">
        <v>5</v>
      </c>
      <c r="AG125" t="n">
        <v>5</v>
      </c>
      <c r="AH125" t="n">
        <v>2</v>
      </c>
      <c r="AI125" t="n">
        <v>2</v>
      </c>
      <c r="AJ125" t="n">
        <v>8</v>
      </c>
      <c r="AK125" t="n">
        <v>8</v>
      </c>
      <c r="AL125" t="n">
        <v>0</v>
      </c>
      <c r="AM125" t="n">
        <v>0</v>
      </c>
      <c r="AN125" t="n">
        <v>0</v>
      </c>
      <c r="AO125" t="n">
        <v>0</v>
      </c>
      <c r="AP125" t="inlineStr">
        <is>
          <t>No</t>
        </is>
      </c>
      <c r="AQ125" t="inlineStr">
        <is>
          <t>Yes</t>
        </is>
      </c>
      <c r="AR125">
        <f>HYPERLINK("http://catalog.hathitrust.org/Record/004129105","HathiTrust Record")</f>
        <v/>
      </c>
      <c r="AS125">
        <f>HYPERLINK("https://creighton-primo.hosted.exlibrisgroup.com/primo-explore/search?tab=default_tab&amp;search_scope=EVERYTHING&amp;vid=01CRU&amp;lang=en_US&amp;offset=0&amp;query=any,contains,991003320109702656","Catalog Record")</f>
        <v/>
      </c>
      <c r="AT125">
        <f>HYPERLINK("http://www.worldcat.org/oclc/44750595","WorldCat Record")</f>
        <v/>
      </c>
      <c r="AU125" t="inlineStr">
        <is>
          <t>981817118:eng</t>
        </is>
      </c>
      <c r="AV125" t="inlineStr">
        <is>
          <t>44750595</t>
        </is>
      </c>
      <c r="AW125" t="inlineStr">
        <is>
          <t>991003320109702656</t>
        </is>
      </c>
      <c r="AX125" t="inlineStr">
        <is>
          <t>991003320109702656</t>
        </is>
      </c>
      <c r="AY125" t="inlineStr">
        <is>
          <t>2261847730002656</t>
        </is>
      </c>
      <c r="AZ125" t="inlineStr">
        <is>
          <t>BOOK</t>
        </is>
      </c>
      <c r="BB125" t="inlineStr">
        <is>
          <t>9780787953836</t>
        </is>
      </c>
      <c r="BC125" t="inlineStr">
        <is>
          <t>32285004276001</t>
        </is>
      </c>
      <c r="BD125" t="inlineStr">
        <is>
          <t>893780855</t>
        </is>
      </c>
    </row>
    <row r="126">
      <c r="A126" t="inlineStr">
        <is>
          <t>No</t>
        </is>
      </c>
      <c r="B126" t="inlineStr">
        <is>
          <t>RA418.5.M4 E44</t>
        </is>
      </c>
      <c r="C126" t="inlineStr">
        <is>
          <t>0                      RA 0418500M  4                  E  44</t>
        </is>
      </c>
      <c r="D126" t="inlineStr">
        <is>
          <t>The bio-medical fix : human dimensions of bio-medical technologies / David L. Ellison. --</t>
        </is>
      </c>
      <c r="F126" t="inlineStr">
        <is>
          <t>No</t>
        </is>
      </c>
      <c r="G126" t="inlineStr">
        <is>
          <t>1</t>
        </is>
      </c>
      <c r="H126" t="inlineStr">
        <is>
          <t>No</t>
        </is>
      </c>
      <c r="I126" t="inlineStr">
        <is>
          <t>No</t>
        </is>
      </c>
      <c r="J126" t="inlineStr">
        <is>
          <t>0</t>
        </is>
      </c>
      <c r="K126" t="inlineStr">
        <is>
          <t>Ellison, David L., 1934-</t>
        </is>
      </c>
      <c r="L126" t="inlineStr">
        <is>
          <t>Westport, Conn. : Greenwood Press, 1978.</t>
        </is>
      </c>
      <c r="M126" t="inlineStr">
        <is>
          <t>1978</t>
        </is>
      </c>
      <c r="O126" t="inlineStr">
        <is>
          <t>eng</t>
        </is>
      </c>
      <c r="P126" t="inlineStr">
        <is>
          <t>ctu</t>
        </is>
      </c>
      <c r="R126" t="inlineStr">
        <is>
          <t xml:space="preserve">RA </t>
        </is>
      </c>
      <c r="S126" t="n">
        <v>5</v>
      </c>
      <c r="T126" t="n">
        <v>5</v>
      </c>
      <c r="U126" t="inlineStr">
        <is>
          <t>1999-03-25</t>
        </is>
      </c>
      <c r="V126" t="inlineStr">
        <is>
          <t>1999-03-25</t>
        </is>
      </c>
      <c r="W126" t="inlineStr">
        <is>
          <t>1993-03-10</t>
        </is>
      </c>
      <c r="X126" t="inlineStr">
        <is>
          <t>1993-03-10</t>
        </is>
      </c>
      <c r="Y126" t="n">
        <v>345</v>
      </c>
      <c r="Z126" t="n">
        <v>298</v>
      </c>
      <c r="AA126" t="n">
        <v>299</v>
      </c>
      <c r="AB126" t="n">
        <v>2</v>
      </c>
      <c r="AC126" t="n">
        <v>2</v>
      </c>
      <c r="AD126" t="n">
        <v>11</v>
      </c>
      <c r="AE126" t="n">
        <v>11</v>
      </c>
      <c r="AF126" t="n">
        <v>4</v>
      </c>
      <c r="AG126" t="n">
        <v>4</v>
      </c>
      <c r="AH126" t="n">
        <v>3</v>
      </c>
      <c r="AI126" t="n">
        <v>3</v>
      </c>
      <c r="AJ126" t="n">
        <v>7</v>
      </c>
      <c r="AK126" t="n">
        <v>7</v>
      </c>
      <c r="AL126" t="n">
        <v>1</v>
      </c>
      <c r="AM126" t="n">
        <v>1</v>
      </c>
      <c r="AN126" t="n">
        <v>0</v>
      </c>
      <c r="AO126" t="n">
        <v>0</v>
      </c>
      <c r="AP126" t="inlineStr">
        <is>
          <t>No</t>
        </is>
      </c>
      <c r="AQ126" t="inlineStr">
        <is>
          <t>Yes</t>
        </is>
      </c>
      <c r="AR126">
        <f>HYPERLINK("http://catalog.hathitrust.org/Record/007469791","HathiTrust Record")</f>
        <v/>
      </c>
      <c r="AS126">
        <f>HYPERLINK("https://creighton-primo.hosted.exlibrisgroup.com/primo-explore/search?tab=default_tab&amp;search_scope=EVERYTHING&amp;vid=01CRU&amp;lang=en_US&amp;offset=0&amp;query=any,contains,991005264239702656","Catalog Record")</f>
        <v/>
      </c>
      <c r="AT126">
        <f>HYPERLINK("http://www.worldcat.org/oclc/3650673","WorldCat Record")</f>
        <v/>
      </c>
      <c r="AU126" t="inlineStr">
        <is>
          <t>143584527:eng</t>
        </is>
      </c>
      <c r="AV126" t="inlineStr">
        <is>
          <t>3650673</t>
        </is>
      </c>
      <c r="AW126" t="inlineStr">
        <is>
          <t>991005264239702656</t>
        </is>
      </c>
      <c r="AX126" t="inlineStr">
        <is>
          <t>991005264239702656</t>
        </is>
      </c>
      <c r="AY126" t="inlineStr">
        <is>
          <t>2261465840002656</t>
        </is>
      </c>
      <c r="AZ126" t="inlineStr">
        <is>
          <t>BOOK</t>
        </is>
      </c>
      <c r="BB126" t="inlineStr">
        <is>
          <t>9780313200380</t>
        </is>
      </c>
      <c r="BC126" t="inlineStr">
        <is>
          <t>32285001586865</t>
        </is>
      </c>
      <c r="BD126" t="inlineStr">
        <is>
          <t>893795888</t>
        </is>
      </c>
    </row>
    <row r="127">
      <c r="A127" t="inlineStr">
        <is>
          <t>No</t>
        </is>
      </c>
      <c r="B127" t="inlineStr">
        <is>
          <t>RA418.5.P6 D37 1983</t>
        </is>
      </c>
      <c r="C127" t="inlineStr">
        <is>
          <t>0                      RA 0418500P  6                  D  37          1983</t>
        </is>
      </c>
      <c r="D127" t="inlineStr">
        <is>
          <t>Health care for the urban poor : directions for policy / Edith M. Davis, Michael L. Millman, and associates, Patricia Maloney Alt ... [et al.] ; foreword by Eli Ginzberg.</t>
        </is>
      </c>
      <c r="F127" t="inlineStr">
        <is>
          <t>No</t>
        </is>
      </c>
      <c r="G127" t="inlineStr">
        <is>
          <t>1</t>
        </is>
      </c>
      <c r="H127" t="inlineStr">
        <is>
          <t>No</t>
        </is>
      </c>
      <c r="I127" t="inlineStr">
        <is>
          <t>No</t>
        </is>
      </c>
      <c r="J127" t="inlineStr">
        <is>
          <t>0</t>
        </is>
      </c>
      <c r="K127" t="inlineStr">
        <is>
          <t>Davis, Edith M.</t>
        </is>
      </c>
      <c r="L127" t="inlineStr">
        <is>
          <t>Totowa, N.J. : Rowman &amp; Allanheld, 1983.</t>
        </is>
      </c>
      <c r="M127" t="inlineStr">
        <is>
          <t>1983</t>
        </is>
      </c>
      <c r="O127" t="inlineStr">
        <is>
          <t>eng</t>
        </is>
      </c>
      <c r="P127" t="inlineStr">
        <is>
          <t>nju</t>
        </is>
      </c>
      <c r="Q127" t="inlineStr">
        <is>
          <t>Conservation of human resources series ; 21</t>
        </is>
      </c>
      <c r="R127" t="inlineStr">
        <is>
          <t xml:space="preserve">RA </t>
        </is>
      </c>
      <c r="S127" t="n">
        <v>12</v>
      </c>
      <c r="T127" t="n">
        <v>12</v>
      </c>
      <c r="U127" t="inlineStr">
        <is>
          <t>2008-12-08</t>
        </is>
      </c>
      <c r="V127" t="inlineStr">
        <is>
          <t>2008-12-08</t>
        </is>
      </c>
      <c r="W127" t="inlineStr">
        <is>
          <t>1991-11-25</t>
        </is>
      </c>
      <c r="X127" t="inlineStr">
        <is>
          <t>1991-11-25</t>
        </is>
      </c>
      <c r="Y127" t="n">
        <v>336</v>
      </c>
      <c r="Z127" t="n">
        <v>309</v>
      </c>
      <c r="AA127" t="n">
        <v>315</v>
      </c>
      <c r="AB127" t="n">
        <v>4</v>
      </c>
      <c r="AC127" t="n">
        <v>4</v>
      </c>
      <c r="AD127" t="n">
        <v>16</v>
      </c>
      <c r="AE127" t="n">
        <v>16</v>
      </c>
      <c r="AF127" t="n">
        <v>4</v>
      </c>
      <c r="AG127" t="n">
        <v>4</v>
      </c>
      <c r="AH127" t="n">
        <v>3</v>
      </c>
      <c r="AI127" t="n">
        <v>3</v>
      </c>
      <c r="AJ127" t="n">
        <v>9</v>
      </c>
      <c r="AK127" t="n">
        <v>9</v>
      </c>
      <c r="AL127" t="n">
        <v>3</v>
      </c>
      <c r="AM127" t="n">
        <v>3</v>
      </c>
      <c r="AN127" t="n">
        <v>1</v>
      </c>
      <c r="AO127" t="n">
        <v>1</v>
      </c>
      <c r="AP127" t="inlineStr">
        <is>
          <t>No</t>
        </is>
      </c>
      <c r="AQ127" t="inlineStr">
        <is>
          <t>Yes</t>
        </is>
      </c>
      <c r="AR127">
        <f>HYPERLINK("http://catalog.hathitrust.org/Record/000109173","HathiTrust Record")</f>
        <v/>
      </c>
      <c r="AS127">
        <f>HYPERLINK("https://creighton-primo.hosted.exlibrisgroup.com/primo-explore/search?tab=default_tab&amp;search_scope=EVERYTHING&amp;vid=01CRU&amp;lang=en_US&amp;offset=0&amp;query=any,contains,991005252549702656","Catalog Record")</f>
        <v/>
      </c>
      <c r="AT127">
        <f>HYPERLINK("http://www.worldcat.org/oclc/8495157","WorldCat Record")</f>
        <v/>
      </c>
      <c r="AU127" t="inlineStr">
        <is>
          <t>512862:eng</t>
        </is>
      </c>
      <c r="AV127" t="inlineStr">
        <is>
          <t>8495157</t>
        </is>
      </c>
      <c r="AW127" t="inlineStr">
        <is>
          <t>991005252549702656</t>
        </is>
      </c>
      <c r="AX127" t="inlineStr">
        <is>
          <t>991005252549702656</t>
        </is>
      </c>
      <c r="AY127" t="inlineStr">
        <is>
          <t>2260636010002656</t>
        </is>
      </c>
      <c r="AZ127" t="inlineStr">
        <is>
          <t>BOOK</t>
        </is>
      </c>
      <c r="BB127" t="inlineStr">
        <is>
          <t>9780865980884</t>
        </is>
      </c>
      <c r="BC127" t="inlineStr">
        <is>
          <t>32285000845452</t>
        </is>
      </c>
      <c r="BD127" t="inlineStr">
        <is>
          <t>893613394</t>
        </is>
      </c>
    </row>
    <row r="128">
      <c r="A128" t="inlineStr">
        <is>
          <t>No</t>
        </is>
      </c>
      <c r="B128" t="inlineStr">
        <is>
          <t>RA418.5.P6 D38</t>
        </is>
      </c>
      <c r="C128" t="inlineStr">
        <is>
          <t>0                      RA 0418500P  6                  D  38</t>
        </is>
      </c>
      <c r="D128" t="inlineStr">
        <is>
          <t>Health and the war on poverty : a ten-year appraisal / Karen Davis and Cathy Schoen.</t>
        </is>
      </c>
      <c r="F128" t="inlineStr">
        <is>
          <t>No</t>
        </is>
      </c>
      <c r="G128" t="inlineStr">
        <is>
          <t>1</t>
        </is>
      </c>
      <c r="H128" t="inlineStr">
        <is>
          <t>No</t>
        </is>
      </c>
      <c r="I128" t="inlineStr">
        <is>
          <t>No</t>
        </is>
      </c>
      <c r="J128" t="inlineStr">
        <is>
          <t>0</t>
        </is>
      </c>
      <c r="K128" t="inlineStr">
        <is>
          <t>Davis, Karen, 1942-</t>
        </is>
      </c>
      <c r="L128" t="inlineStr">
        <is>
          <t>Washington : Brookings Institution, [1978]</t>
        </is>
      </c>
      <c r="M128" t="inlineStr">
        <is>
          <t>1978</t>
        </is>
      </c>
      <c r="O128" t="inlineStr">
        <is>
          <t>eng</t>
        </is>
      </c>
      <c r="P128" t="inlineStr">
        <is>
          <t>dcu</t>
        </is>
      </c>
      <c r="Q128" t="inlineStr">
        <is>
          <t>Studies in social economics</t>
        </is>
      </c>
      <c r="R128" t="inlineStr">
        <is>
          <t xml:space="preserve">RA </t>
        </is>
      </c>
      <c r="S128" t="n">
        <v>15</v>
      </c>
      <c r="T128" t="n">
        <v>15</v>
      </c>
      <c r="U128" t="inlineStr">
        <is>
          <t>1997-02-15</t>
        </is>
      </c>
      <c r="V128" t="inlineStr">
        <is>
          <t>1997-02-15</t>
        </is>
      </c>
      <c r="W128" t="inlineStr">
        <is>
          <t>1992-04-30</t>
        </is>
      </c>
      <c r="X128" t="inlineStr">
        <is>
          <t>1992-04-30</t>
        </is>
      </c>
      <c r="Y128" t="n">
        <v>817</v>
      </c>
      <c r="Z128" t="n">
        <v>696</v>
      </c>
      <c r="AA128" t="n">
        <v>699</v>
      </c>
      <c r="AB128" t="n">
        <v>6</v>
      </c>
      <c r="AC128" t="n">
        <v>6</v>
      </c>
      <c r="AD128" t="n">
        <v>28</v>
      </c>
      <c r="AE128" t="n">
        <v>28</v>
      </c>
      <c r="AF128" t="n">
        <v>7</v>
      </c>
      <c r="AG128" t="n">
        <v>7</v>
      </c>
      <c r="AH128" t="n">
        <v>5</v>
      </c>
      <c r="AI128" t="n">
        <v>5</v>
      </c>
      <c r="AJ128" t="n">
        <v>13</v>
      </c>
      <c r="AK128" t="n">
        <v>13</v>
      </c>
      <c r="AL128" t="n">
        <v>5</v>
      </c>
      <c r="AM128" t="n">
        <v>5</v>
      </c>
      <c r="AN128" t="n">
        <v>5</v>
      </c>
      <c r="AO128" t="n">
        <v>5</v>
      </c>
      <c r="AP128" t="inlineStr">
        <is>
          <t>No</t>
        </is>
      </c>
      <c r="AQ128" t="inlineStr">
        <is>
          <t>Yes</t>
        </is>
      </c>
      <c r="AR128">
        <f>HYPERLINK("http://catalog.hathitrust.org/Record/000176855","HathiTrust Record")</f>
        <v/>
      </c>
      <c r="AS128">
        <f>HYPERLINK("https://creighton-primo.hosted.exlibrisgroup.com/primo-explore/search?tab=default_tab&amp;search_scope=EVERYTHING&amp;vid=01CRU&amp;lang=en_US&amp;offset=0&amp;query=any,contains,991004568159702656","Catalog Record")</f>
        <v/>
      </c>
      <c r="AT128">
        <f>HYPERLINK("http://www.worldcat.org/oclc/4005130","WorldCat Record")</f>
        <v/>
      </c>
      <c r="AU128" t="inlineStr">
        <is>
          <t>899746269:eng</t>
        </is>
      </c>
      <c r="AV128" t="inlineStr">
        <is>
          <t>4005130</t>
        </is>
      </c>
      <c r="AW128" t="inlineStr">
        <is>
          <t>991004568159702656</t>
        </is>
      </c>
      <c r="AX128" t="inlineStr">
        <is>
          <t>991004568159702656</t>
        </is>
      </c>
      <c r="AY128" t="inlineStr">
        <is>
          <t>2264849510002656</t>
        </is>
      </c>
      <c r="AZ128" t="inlineStr">
        <is>
          <t>BOOK</t>
        </is>
      </c>
      <c r="BB128" t="inlineStr">
        <is>
          <t>9780815717584</t>
        </is>
      </c>
      <c r="BC128" t="inlineStr">
        <is>
          <t>32285001096717</t>
        </is>
      </c>
      <c r="BD128" t="inlineStr">
        <is>
          <t>893694088</t>
        </is>
      </c>
    </row>
    <row r="129">
      <c r="A129" t="inlineStr">
        <is>
          <t>No</t>
        </is>
      </c>
      <c r="B129" t="inlineStr">
        <is>
          <t>RA418.5.P6 L84</t>
        </is>
      </c>
      <c r="C129" t="inlineStr">
        <is>
          <t>0                      RA 0418500P  6                  L  84</t>
        </is>
      </c>
      <c r="D129" t="inlineStr">
        <is>
          <t>Poverty and health : economic causes and consequences of health problems / Harold S. Luft.</t>
        </is>
      </c>
      <c r="F129" t="inlineStr">
        <is>
          <t>No</t>
        </is>
      </c>
      <c r="G129" t="inlineStr">
        <is>
          <t>1</t>
        </is>
      </c>
      <c r="H129" t="inlineStr">
        <is>
          <t>No</t>
        </is>
      </c>
      <c r="I129" t="inlineStr">
        <is>
          <t>No</t>
        </is>
      </c>
      <c r="J129" t="inlineStr">
        <is>
          <t>0</t>
        </is>
      </c>
      <c r="K129" t="inlineStr">
        <is>
          <t>Luft, Harold S.</t>
        </is>
      </c>
      <c r="L129" t="inlineStr">
        <is>
          <t>Cambridge, Mass. : Ballinger Pub. Co., c1978.</t>
        </is>
      </c>
      <c r="M129" t="inlineStr">
        <is>
          <t>1978</t>
        </is>
      </c>
      <c r="O129" t="inlineStr">
        <is>
          <t>eng</t>
        </is>
      </c>
      <c r="P129" t="inlineStr">
        <is>
          <t>mau</t>
        </is>
      </c>
      <c r="R129" t="inlineStr">
        <is>
          <t xml:space="preserve">RA </t>
        </is>
      </c>
      <c r="S129" t="n">
        <v>9</v>
      </c>
      <c r="T129" t="n">
        <v>9</v>
      </c>
      <c r="U129" t="inlineStr">
        <is>
          <t>2008-12-08</t>
        </is>
      </c>
      <c r="V129" t="inlineStr">
        <is>
          <t>2008-12-08</t>
        </is>
      </c>
      <c r="W129" t="inlineStr">
        <is>
          <t>1992-04-16</t>
        </is>
      </c>
      <c r="X129" t="inlineStr">
        <is>
          <t>1992-04-16</t>
        </is>
      </c>
      <c r="Y129" t="n">
        <v>557</v>
      </c>
      <c r="Z129" t="n">
        <v>473</v>
      </c>
      <c r="AA129" t="n">
        <v>480</v>
      </c>
      <c r="AB129" t="n">
        <v>3</v>
      </c>
      <c r="AC129" t="n">
        <v>3</v>
      </c>
      <c r="AD129" t="n">
        <v>18</v>
      </c>
      <c r="AE129" t="n">
        <v>18</v>
      </c>
      <c r="AF129" t="n">
        <v>7</v>
      </c>
      <c r="AG129" t="n">
        <v>7</v>
      </c>
      <c r="AH129" t="n">
        <v>5</v>
      </c>
      <c r="AI129" t="n">
        <v>5</v>
      </c>
      <c r="AJ129" t="n">
        <v>10</v>
      </c>
      <c r="AK129" t="n">
        <v>10</v>
      </c>
      <c r="AL129" t="n">
        <v>2</v>
      </c>
      <c r="AM129" t="n">
        <v>2</v>
      </c>
      <c r="AN129" t="n">
        <v>0</v>
      </c>
      <c r="AO129" t="n">
        <v>0</v>
      </c>
      <c r="AP129" t="inlineStr">
        <is>
          <t>No</t>
        </is>
      </c>
      <c r="AQ129" t="inlineStr">
        <is>
          <t>Yes</t>
        </is>
      </c>
      <c r="AR129">
        <f>HYPERLINK("http://catalog.hathitrust.org/Record/000091667","HathiTrust Record")</f>
        <v/>
      </c>
      <c r="AS129">
        <f>HYPERLINK("https://creighton-primo.hosted.exlibrisgroup.com/primo-explore/search?tab=default_tab&amp;search_scope=EVERYTHING&amp;vid=01CRU&amp;lang=en_US&amp;offset=0&amp;query=any,contains,991004477029702656","Catalog Record")</f>
        <v/>
      </c>
      <c r="AT129">
        <f>HYPERLINK("http://www.worldcat.org/oclc/3609680","WorldCat Record")</f>
        <v/>
      </c>
      <c r="AU129" t="inlineStr">
        <is>
          <t>424285535:eng</t>
        </is>
      </c>
      <c r="AV129" t="inlineStr">
        <is>
          <t>3609680</t>
        </is>
      </c>
      <c r="AW129" t="inlineStr">
        <is>
          <t>991004477029702656</t>
        </is>
      </c>
      <c r="AX129" t="inlineStr">
        <is>
          <t>991004477029702656</t>
        </is>
      </c>
      <c r="AY129" t="inlineStr">
        <is>
          <t>2271776230002656</t>
        </is>
      </c>
      <c r="AZ129" t="inlineStr">
        <is>
          <t>BOOK</t>
        </is>
      </c>
      <c r="BB129" t="inlineStr">
        <is>
          <t>9780884105152</t>
        </is>
      </c>
      <c r="BC129" t="inlineStr">
        <is>
          <t>32285001070035</t>
        </is>
      </c>
      <c r="BD129" t="inlineStr">
        <is>
          <t>893700291</t>
        </is>
      </c>
    </row>
    <row r="130">
      <c r="A130" t="inlineStr">
        <is>
          <t>No</t>
        </is>
      </c>
      <c r="B130" t="inlineStr">
        <is>
          <t>RA424.5.M43 M437 2004</t>
        </is>
      </c>
      <c r="C130" t="inlineStr">
        <is>
          <t>0                      RA 0424500M  43                 M  437         2004</t>
        </is>
      </c>
      <c r="D130" t="inlineStr">
        <is>
          <t>The red letters : my father's enchanted period / Ved Mehta.</t>
        </is>
      </c>
      <c r="F130" t="inlineStr">
        <is>
          <t>No</t>
        </is>
      </c>
      <c r="G130" t="inlineStr">
        <is>
          <t>1</t>
        </is>
      </c>
      <c r="H130" t="inlineStr">
        <is>
          <t>No</t>
        </is>
      </c>
      <c r="I130" t="inlineStr">
        <is>
          <t>No</t>
        </is>
      </c>
      <c r="J130" t="inlineStr">
        <is>
          <t>0</t>
        </is>
      </c>
      <c r="K130" t="inlineStr">
        <is>
          <t>Mehta, Ved, 1934-</t>
        </is>
      </c>
      <c r="L130" t="inlineStr">
        <is>
          <t>New York : Nation Books ; [Berkeley, Calif.] : Distributed by Publishers Group West, c2004.</t>
        </is>
      </c>
      <c r="M130" t="inlineStr">
        <is>
          <t>2004</t>
        </is>
      </c>
      <c r="O130" t="inlineStr">
        <is>
          <t>eng</t>
        </is>
      </c>
      <c r="P130" t="inlineStr">
        <is>
          <t>nyu</t>
        </is>
      </c>
      <c r="Q130" t="inlineStr">
        <is>
          <t>Continents of exile</t>
        </is>
      </c>
      <c r="R130" t="inlineStr">
        <is>
          <t xml:space="preserve">RA </t>
        </is>
      </c>
      <c r="S130" t="n">
        <v>2</v>
      </c>
      <c r="T130" t="n">
        <v>2</v>
      </c>
      <c r="U130" t="inlineStr">
        <is>
          <t>2004-11-15</t>
        </is>
      </c>
      <c r="V130" t="inlineStr">
        <is>
          <t>2004-11-15</t>
        </is>
      </c>
      <c r="W130" t="inlineStr">
        <is>
          <t>2004-11-15</t>
        </is>
      </c>
      <c r="X130" t="inlineStr">
        <is>
          <t>2004-11-15</t>
        </is>
      </c>
      <c r="Y130" t="n">
        <v>340</v>
      </c>
      <c r="Z130" t="n">
        <v>313</v>
      </c>
      <c r="AA130" t="n">
        <v>318</v>
      </c>
      <c r="AB130" t="n">
        <v>3</v>
      </c>
      <c r="AC130" t="n">
        <v>3</v>
      </c>
      <c r="AD130" t="n">
        <v>11</v>
      </c>
      <c r="AE130" t="n">
        <v>11</v>
      </c>
      <c r="AF130" t="n">
        <v>2</v>
      </c>
      <c r="AG130" t="n">
        <v>2</v>
      </c>
      <c r="AH130" t="n">
        <v>3</v>
      </c>
      <c r="AI130" t="n">
        <v>3</v>
      </c>
      <c r="AJ130" t="n">
        <v>7</v>
      </c>
      <c r="AK130" t="n">
        <v>7</v>
      </c>
      <c r="AL130" t="n">
        <v>2</v>
      </c>
      <c r="AM130" t="n">
        <v>2</v>
      </c>
      <c r="AN130" t="n">
        <v>0</v>
      </c>
      <c r="AO130" t="n">
        <v>0</v>
      </c>
      <c r="AP130" t="inlineStr">
        <is>
          <t>No</t>
        </is>
      </c>
      <c r="AQ130" t="inlineStr">
        <is>
          <t>No</t>
        </is>
      </c>
      <c r="AS130">
        <f>HYPERLINK("https://creighton-primo.hosted.exlibrisgroup.com/primo-explore/search?tab=default_tab&amp;search_scope=EVERYTHING&amp;vid=01CRU&amp;lang=en_US&amp;offset=0&amp;query=any,contains,991004405229702656","Catalog Record")</f>
        <v/>
      </c>
      <c r="AT130">
        <f>HYPERLINK("http://www.worldcat.org/oclc/56509149","WorldCat Record")</f>
        <v/>
      </c>
      <c r="AU130" t="inlineStr">
        <is>
          <t>999326:eng</t>
        </is>
      </c>
      <c r="AV130" t="inlineStr">
        <is>
          <t>56509149</t>
        </is>
      </c>
      <c r="AW130" t="inlineStr">
        <is>
          <t>991004405229702656</t>
        </is>
      </c>
      <c r="AX130" t="inlineStr">
        <is>
          <t>991004405229702656</t>
        </is>
      </c>
      <c r="AY130" t="inlineStr">
        <is>
          <t>2270709140002656</t>
        </is>
      </c>
      <c r="AZ130" t="inlineStr">
        <is>
          <t>BOOK</t>
        </is>
      </c>
      <c r="BB130" t="inlineStr">
        <is>
          <t>9781560256281</t>
        </is>
      </c>
      <c r="BC130" t="inlineStr">
        <is>
          <t>32285005010177</t>
        </is>
      </c>
      <c r="BD130" t="inlineStr">
        <is>
          <t>893628142</t>
        </is>
      </c>
    </row>
    <row r="131">
      <c r="A131" t="inlineStr">
        <is>
          <t>No</t>
        </is>
      </c>
      <c r="B131" t="inlineStr">
        <is>
          <t>RA425 .B7726 1999</t>
        </is>
      </c>
      <c r="C131" t="inlineStr">
        <is>
          <t>0                      RA 0425000B  7726        1999</t>
        </is>
      </c>
      <c r="D131" t="inlineStr">
        <is>
          <t>Community-based prevention : programs that work / Ross C. Brownson, Elizabeth A. Baker, Lloyd F. Novick.</t>
        </is>
      </c>
      <c r="F131" t="inlineStr">
        <is>
          <t>No</t>
        </is>
      </c>
      <c r="G131" t="inlineStr">
        <is>
          <t>1</t>
        </is>
      </c>
      <c r="H131" t="inlineStr">
        <is>
          <t>No</t>
        </is>
      </c>
      <c r="I131" t="inlineStr">
        <is>
          <t>No</t>
        </is>
      </c>
      <c r="J131" t="inlineStr">
        <is>
          <t>0</t>
        </is>
      </c>
      <c r="K131" t="inlineStr">
        <is>
          <t>Brownson, Ross C.</t>
        </is>
      </c>
      <c r="L131" t="inlineStr">
        <is>
          <t>Gaithersburg, Md. : Aspen Publishers, 1999.</t>
        </is>
      </c>
      <c r="M131" t="inlineStr">
        <is>
          <t>1999</t>
        </is>
      </c>
      <c r="O131" t="inlineStr">
        <is>
          <t>eng</t>
        </is>
      </c>
      <c r="P131" t="inlineStr">
        <is>
          <t>mdu</t>
        </is>
      </c>
      <c r="R131" t="inlineStr">
        <is>
          <t xml:space="preserve">RA </t>
        </is>
      </c>
      <c r="S131" t="n">
        <v>3</v>
      </c>
      <c r="T131" t="n">
        <v>3</v>
      </c>
      <c r="U131" t="inlineStr">
        <is>
          <t>2003-10-12</t>
        </is>
      </c>
      <c r="V131" t="inlineStr">
        <is>
          <t>2003-10-12</t>
        </is>
      </c>
      <c r="W131" t="inlineStr">
        <is>
          <t>2002-03-05</t>
        </is>
      </c>
      <c r="X131" t="inlineStr">
        <is>
          <t>2002-03-05</t>
        </is>
      </c>
      <c r="Y131" t="n">
        <v>326</v>
      </c>
      <c r="Z131" t="n">
        <v>286</v>
      </c>
      <c r="AA131" t="n">
        <v>290</v>
      </c>
      <c r="AB131" t="n">
        <v>3</v>
      </c>
      <c r="AC131" t="n">
        <v>3</v>
      </c>
      <c r="AD131" t="n">
        <v>11</v>
      </c>
      <c r="AE131" t="n">
        <v>11</v>
      </c>
      <c r="AF131" t="n">
        <v>3</v>
      </c>
      <c r="AG131" t="n">
        <v>3</v>
      </c>
      <c r="AH131" t="n">
        <v>2</v>
      </c>
      <c r="AI131" t="n">
        <v>2</v>
      </c>
      <c r="AJ131" t="n">
        <v>5</v>
      </c>
      <c r="AK131" t="n">
        <v>5</v>
      </c>
      <c r="AL131" t="n">
        <v>2</v>
      </c>
      <c r="AM131" t="n">
        <v>2</v>
      </c>
      <c r="AN131" t="n">
        <v>0</v>
      </c>
      <c r="AO131" t="n">
        <v>0</v>
      </c>
      <c r="AP131" t="inlineStr">
        <is>
          <t>No</t>
        </is>
      </c>
      <c r="AQ131" t="inlineStr">
        <is>
          <t>Yes</t>
        </is>
      </c>
      <c r="AR131">
        <f>HYPERLINK("http://catalog.hathitrust.org/Record/004017265","HathiTrust Record")</f>
        <v/>
      </c>
      <c r="AS131">
        <f>HYPERLINK("https://creighton-primo.hosted.exlibrisgroup.com/primo-explore/search?tab=default_tab&amp;search_scope=EVERYTHING&amp;vid=01CRU&amp;lang=en_US&amp;offset=0&amp;query=any,contains,991003727209702656","Catalog Record")</f>
        <v/>
      </c>
      <c r="AT131">
        <f>HYPERLINK("http://www.worldcat.org/oclc/39860095","WorldCat Record")</f>
        <v/>
      </c>
      <c r="AU131" t="inlineStr">
        <is>
          <t>20583318:eng</t>
        </is>
      </c>
      <c r="AV131" t="inlineStr">
        <is>
          <t>39860095</t>
        </is>
      </c>
      <c r="AW131" t="inlineStr">
        <is>
          <t>991003727209702656</t>
        </is>
      </c>
      <c r="AX131" t="inlineStr">
        <is>
          <t>991003727209702656</t>
        </is>
      </c>
      <c r="AY131" t="inlineStr">
        <is>
          <t>2258428450002656</t>
        </is>
      </c>
      <c r="AZ131" t="inlineStr">
        <is>
          <t>BOOK</t>
        </is>
      </c>
      <c r="BB131" t="inlineStr">
        <is>
          <t>9780834212411</t>
        </is>
      </c>
      <c r="BC131" t="inlineStr">
        <is>
          <t>32285004459417</t>
        </is>
      </c>
      <c r="BD131" t="inlineStr">
        <is>
          <t>893787671</t>
        </is>
      </c>
    </row>
    <row r="132">
      <c r="A132" t="inlineStr">
        <is>
          <t>No</t>
        </is>
      </c>
      <c r="B132" t="inlineStr">
        <is>
          <t>RA425 .B774</t>
        </is>
      </c>
      <c r="C132" t="inlineStr">
        <is>
          <t>0                      RA 0425000B  774</t>
        </is>
      </c>
      <c r="D132" t="inlineStr">
        <is>
          <t>Health &amp; the developing world.</t>
        </is>
      </c>
      <c r="F132" t="inlineStr">
        <is>
          <t>No</t>
        </is>
      </c>
      <c r="G132" t="inlineStr">
        <is>
          <t>1</t>
        </is>
      </c>
      <c r="H132" t="inlineStr">
        <is>
          <t>No</t>
        </is>
      </c>
      <c r="I132" t="inlineStr">
        <is>
          <t>No</t>
        </is>
      </c>
      <c r="J132" t="inlineStr">
        <is>
          <t>0</t>
        </is>
      </c>
      <c r="K132" t="inlineStr">
        <is>
          <t>Bryant, John H., 1925-2017.</t>
        </is>
      </c>
      <c r="L132" t="inlineStr">
        <is>
          <t>Ithaca [N.Y.] Cornell University Press [1969]</t>
        </is>
      </c>
      <c r="M132" t="inlineStr">
        <is>
          <t>1969</t>
        </is>
      </c>
      <c r="O132" t="inlineStr">
        <is>
          <t>eng</t>
        </is>
      </c>
      <c r="P132" t="inlineStr">
        <is>
          <t>nyu</t>
        </is>
      </c>
      <c r="R132" t="inlineStr">
        <is>
          <t xml:space="preserve">RA </t>
        </is>
      </c>
      <c r="S132" t="n">
        <v>7</v>
      </c>
      <c r="T132" t="n">
        <v>7</v>
      </c>
      <c r="U132" t="inlineStr">
        <is>
          <t>2008-12-08</t>
        </is>
      </c>
      <c r="V132" t="inlineStr">
        <is>
          <t>2008-12-08</t>
        </is>
      </c>
      <c r="W132" t="inlineStr">
        <is>
          <t>1997-08-08</t>
        </is>
      </c>
      <c r="X132" t="inlineStr">
        <is>
          <t>1997-08-08</t>
        </is>
      </c>
      <c r="Y132" t="n">
        <v>519</v>
      </c>
      <c r="Z132" t="n">
        <v>402</v>
      </c>
      <c r="AA132" t="n">
        <v>593</v>
      </c>
      <c r="AB132" t="n">
        <v>3</v>
      </c>
      <c r="AC132" t="n">
        <v>3</v>
      </c>
      <c r="AD132" t="n">
        <v>10</v>
      </c>
      <c r="AE132" t="n">
        <v>22</v>
      </c>
      <c r="AF132" t="n">
        <v>2</v>
      </c>
      <c r="AG132" t="n">
        <v>9</v>
      </c>
      <c r="AH132" t="n">
        <v>3</v>
      </c>
      <c r="AI132" t="n">
        <v>7</v>
      </c>
      <c r="AJ132" t="n">
        <v>5</v>
      </c>
      <c r="AK132" t="n">
        <v>11</v>
      </c>
      <c r="AL132" t="n">
        <v>2</v>
      </c>
      <c r="AM132" t="n">
        <v>2</v>
      </c>
      <c r="AN132" t="n">
        <v>0</v>
      </c>
      <c r="AO132" t="n">
        <v>0</v>
      </c>
      <c r="AP132" t="inlineStr">
        <is>
          <t>No</t>
        </is>
      </c>
      <c r="AQ132" t="inlineStr">
        <is>
          <t>Yes</t>
        </is>
      </c>
      <c r="AR132">
        <f>HYPERLINK("http://catalog.hathitrust.org/Record/001558821","HathiTrust Record")</f>
        <v/>
      </c>
      <c r="AS132">
        <f>HYPERLINK("https://creighton-primo.hosted.exlibrisgroup.com/primo-explore/search?tab=default_tab&amp;search_scope=EVERYTHING&amp;vid=01CRU&amp;lang=en_US&amp;offset=0&amp;query=any,contains,991000114349702656","Catalog Record")</f>
        <v/>
      </c>
      <c r="AT132">
        <f>HYPERLINK("http://www.worldcat.org/oclc/48680","WorldCat Record")</f>
        <v/>
      </c>
      <c r="AU132" t="inlineStr">
        <is>
          <t>1218234:eng</t>
        </is>
      </c>
      <c r="AV132" t="inlineStr">
        <is>
          <t>48680</t>
        </is>
      </c>
      <c r="AW132" t="inlineStr">
        <is>
          <t>991000114349702656</t>
        </is>
      </c>
      <c r="AX132" t="inlineStr">
        <is>
          <t>991000114349702656</t>
        </is>
      </c>
      <c r="AY132" t="inlineStr">
        <is>
          <t>2263149760002656</t>
        </is>
      </c>
      <c r="AZ132" t="inlineStr">
        <is>
          <t>BOOK</t>
        </is>
      </c>
      <c r="BB132" t="inlineStr">
        <is>
          <t>9780801405334</t>
        </is>
      </c>
      <c r="BC132" t="inlineStr">
        <is>
          <t>32285003083473</t>
        </is>
      </c>
      <c r="BD132" t="inlineStr">
        <is>
          <t>893320814</t>
        </is>
      </c>
    </row>
    <row r="133">
      <c r="A133" t="inlineStr">
        <is>
          <t>No</t>
        </is>
      </c>
      <c r="B133" t="inlineStr">
        <is>
          <t>RA425 .S165 1987</t>
        </is>
      </c>
      <c r="C133" t="inlineStr">
        <is>
          <t>0                      RA 0425000S  165         1987</t>
        </is>
      </c>
      <c r="D133" t="inlineStr">
        <is>
          <t>The health of nations : true causes of sickness and well-being / Leonard A. Sagan.</t>
        </is>
      </c>
      <c r="F133" t="inlineStr">
        <is>
          <t>No</t>
        </is>
      </c>
      <c r="G133" t="inlineStr">
        <is>
          <t>1</t>
        </is>
      </c>
      <c r="H133" t="inlineStr">
        <is>
          <t>No</t>
        </is>
      </c>
      <c r="I133" t="inlineStr">
        <is>
          <t>No</t>
        </is>
      </c>
      <c r="J133" t="inlineStr">
        <is>
          <t>0</t>
        </is>
      </c>
      <c r="K133" t="inlineStr">
        <is>
          <t>Sagan, Leonard A.</t>
        </is>
      </c>
      <c r="L133" t="inlineStr">
        <is>
          <t>New York : Basic Books, c1987.</t>
        </is>
      </c>
      <c r="M133" t="inlineStr">
        <is>
          <t>1987</t>
        </is>
      </c>
      <c r="O133" t="inlineStr">
        <is>
          <t>eng</t>
        </is>
      </c>
      <c r="P133" t="inlineStr">
        <is>
          <t>nyu</t>
        </is>
      </c>
      <c r="R133" t="inlineStr">
        <is>
          <t xml:space="preserve">RA </t>
        </is>
      </c>
      <c r="S133" t="n">
        <v>7</v>
      </c>
      <c r="T133" t="n">
        <v>7</v>
      </c>
      <c r="U133" t="inlineStr">
        <is>
          <t>2006-10-25</t>
        </is>
      </c>
      <c r="V133" t="inlineStr">
        <is>
          <t>2006-10-25</t>
        </is>
      </c>
      <c r="W133" t="inlineStr">
        <is>
          <t>1990-03-01</t>
        </is>
      </c>
      <c r="X133" t="inlineStr">
        <is>
          <t>1990-03-01</t>
        </is>
      </c>
      <c r="Y133" t="n">
        <v>663</v>
      </c>
      <c r="Z133" t="n">
        <v>578</v>
      </c>
      <c r="AA133" t="n">
        <v>584</v>
      </c>
      <c r="AB133" t="n">
        <v>3</v>
      </c>
      <c r="AC133" t="n">
        <v>3</v>
      </c>
      <c r="AD133" t="n">
        <v>15</v>
      </c>
      <c r="AE133" t="n">
        <v>15</v>
      </c>
      <c r="AF133" t="n">
        <v>2</v>
      </c>
      <c r="AG133" t="n">
        <v>2</v>
      </c>
      <c r="AH133" t="n">
        <v>2</v>
      </c>
      <c r="AI133" t="n">
        <v>2</v>
      </c>
      <c r="AJ133" t="n">
        <v>10</v>
      </c>
      <c r="AK133" t="n">
        <v>10</v>
      </c>
      <c r="AL133" t="n">
        <v>2</v>
      </c>
      <c r="AM133" t="n">
        <v>2</v>
      </c>
      <c r="AN133" t="n">
        <v>1</v>
      </c>
      <c r="AO133" t="n">
        <v>1</v>
      </c>
      <c r="AP133" t="inlineStr">
        <is>
          <t>No</t>
        </is>
      </c>
      <c r="AQ133" t="inlineStr">
        <is>
          <t>Yes</t>
        </is>
      </c>
      <c r="AR133">
        <f>HYPERLINK("http://catalog.hathitrust.org/Record/000882924","HathiTrust Record")</f>
        <v/>
      </c>
      <c r="AS133">
        <f>HYPERLINK("https://creighton-primo.hosted.exlibrisgroup.com/primo-explore/search?tab=default_tab&amp;search_scope=EVERYTHING&amp;vid=01CRU&amp;lang=en_US&amp;offset=0&amp;query=any,contains,991001137019702656","Catalog Record")</f>
        <v/>
      </c>
      <c r="AT133">
        <f>HYPERLINK("http://www.worldcat.org/oclc/16717092","WorldCat Record")</f>
        <v/>
      </c>
      <c r="AU133" t="inlineStr">
        <is>
          <t>13486628:eng</t>
        </is>
      </c>
      <c r="AV133" t="inlineStr">
        <is>
          <t>16717092</t>
        </is>
      </c>
      <c r="AW133" t="inlineStr">
        <is>
          <t>991001137019702656</t>
        </is>
      </c>
      <c r="AX133" t="inlineStr">
        <is>
          <t>991001137019702656</t>
        </is>
      </c>
      <c r="AY133" t="inlineStr">
        <is>
          <t>2256991310002656</t>
        </is>
      </c>
      <c r="AZ133" t="inlineStr">
        <is>
          <t>BOOK</t>
        </is>
      </c>
      <c r="BB133" t="inlineStr">
        <is>
          <t>9780465028931</t>
        </is>
      </c>
      <c r="BC133" t="inlineStr">
        <is>
          <t>32285000075324</t>
        </is>
      </c>
      <c r="BD133" t="inlineStr">
        <is>
          <t>893897556</t>
        </is>
      </c>
    </row>
    <row r="134">
      <c r="A134" t="inlineStr">
        <is>
          <t>No</t>
        </is>
      </c>
      <c r="B134" t="inlineStr">
        <is>
          <t>RA427 .C59 1996</t>
        </is>
      </c>
      <c r="C134" t="inlineStr">
        <is>
          <t>0                      RA 0427000C  59          1996</t>
        </is>
      </c>
      <c r="D134" t="inlineStr">
        <is>
          <t>Collaborating to improve community health : workbook and guide to best practices in creating healthier communities and populations / Kathryn Johnson, Wynne Grossman, Anne Cassidy, editors ; foreword by Tyler Norris.</t>
        </is>
      </c>
      <c r="F134" t="inlineStr">
        <is>
          <t>No</t>
        </is>
      </c>
      <c r="G134" t="inlineStr">
        <is>
          <t>1</t>
        </is>
      </c>
      <c r="H134" t="inlineStr">
        <is>
          <t>No</t>
        </is>
      </c>
      <c r="I134" t="inlineStr">
        <is>
          <t>No</t>
        </is>
      </c>
      <c r="J134" t="inlineStr">
        <is>
          <t>0</t>
        </is>
      </c>
      <c r="L134" t="inlineStr">
        <is>
          <t>San Francisco : Jossey-Bass Publishers, c1996.</t>
        </is>
      </c>
      <c r="M134" t="inlineStr">
        <is>
          <t>1996</t>
        </is>
      </c>
      <c r="O134" t="inlineStr">
        <is>
          <t>eng</t>
        </is>
      </c>
      <c r="P134" t="inlineStr">
        <is>
          <t>cau</t>
        </is>
      </c>
      <c r="Q134" t="inlineStr">
        <is>
          <t>Leadership center publication series</t>
        </is>
      </c>
      <c r="R134" t="inlineStr">
        <is>
          <t xml:space="preserve">RA </t>
        </is>
      </c>
      <c r="S134" t="n">
        <v>2</v>
      </c>
      <c r="T134" t="n">
        <v>2</v>
      </c>
      <c r="U134" t="inlineStr">
        <is>
          <t>2003-01-24</t>
        </is>
      </c>
      <c r="V134" t="inlineStr">
        <is>
          <t>2003-01-24</t>
        </is>
      </c>
      <c r="W134" t="inlineStr">
        <is>
          <t>2001-01-10</t>
        </is>
      </c>
      <c r="X134" t="inlineStr">
        <is>
          <t>2001-01-10</t>
        </is>
      </c>
      <c r="Y134" t="n">
        <v>187</v>
      </c>
      <c r="Z134" t="n">
        <v>153</v>
      </c>
      <c r="AA134" t="n">
        <v>153</v>
      </c>
      <c r="AB134" t="n">
        <v>2</v>
      </c>
      <c r="AC134" t="n">
        <v>2</v>
      </c>
      <c r="AD134" t="n">
        <v>9</v>
      </c>
      <c r="AE134" t="n">
        <v>9</v>
      </c>
      <c r="AF134" t="n">
        <v>3</v>
      </c>
      <c r="AG134" t="n">
        <v>3</v>
      </c>
      <c r="AH134" t="n">
        <v>1</v>
      </c>
      <c r="AI134" t="n">
        <v>1</v>
      </c>
      <c r="AJ134" t="n">
        <v>4</v>
      </c>
      <c r="AK134" t="n">
        <v>4</v>
      </c>
      <c r="AL134" t="n">
        <v>1</v>
      </c>
      <c r="AM134" t="n">
        <v>1</v>
      </c>
      <c r="AN134" t="n">
        <v>1</v>
      </c>
      <c r="AO134" t="n">
        <v>1</v>
      </c>
      <c r="AP134" t="inlineStr">
        <is>
          <t>No</t>
        </is>
      </c>
      <c r="AQ134" t="inlineStr">
        <is>
          <t>No</t>
        </is>
      </c>
      <c r="AS134">
        <f>HYPERLINK("https://creighton-primo.hosted.exlibrisgroup.com/primo-explore/search?tab=default_tab&amp;search_scope=EVERYTHING&amp;vid=01CRU&amp;lang=en_US&amp;offset=0&amp;query=any,contains,991003320169702656","Catalog Record")</f>
        <v/>
      </c>
      <c r="AT134">
        <f>HYPERLINK("http://www.worldcat.org/oclc/37011358","WorldCat Record")</f>
        <v/>
      </c>
      <c r="AU134" t="inlineStr">
        <is>
          <t>603544:eng</t>
        </is>
      </c>
      <c r="AV134" t="inlineStr">
        <is>
          <t>37011358</t>
        </is>
      </c>
      <c r="AW134" t="inlineStr">
        <is>
          <t>991003320169702656</t>
        </is>
      </c>
      <c r="AX134" t="inlineStr">
        <is>
          <t>991003320169702656</t>
        </is>
      </c>
      <c r="AY134" t="inlineStr">
        <is>
          <t>2268220400002656</t>
        </is>
      </c>
      <c r="AZ134" t="inlineStr">
        <is>
          <t>BOOK</t>
        </is>
      </c>
      <c r="BB134" t="inlineStr">
        <is>
          <t>9780787910792</t>
        </is>
      </c>
      <c r="BC134" t="inlineStr">
        <is>
          <t>32285004282389</t>
        </is>
      </c>
      <c r="BD134" t="inlineStr">
        <is>
          <t>893774622</t>
        </is>
      </c>
    </row>
    <row r="135">
      <c r="A135" t="inlineStr">
        <is>
          <t>No</t>
        </is>
      </c>
      <c r="B135" t="inlineStr">
        <is>
          <t>RA427 .N376 1977</t>
        </is>
      </c>
      <c r="C135" t="inlineStr">
        <is>
          <t>0                      RA 0427000N  376         1977</t>
        </is>
      </c>
      <c r="D135" t="inlineStr">
        <is>
          <t>Marketing and preventive health care : interdisciplinary and interorganizational perspectives / edited by Philip D. Cooper, William J. Kehoe, Patrick E. Murphy. --</t>
        </is>
      </c>
      <c r="F135" t="inlineStr">
        <is>
          <t>No</t>
        </is>
      </c>
      <c r="G135" t="inlineStr">
        <is>
          <t>1</t>
        </is>
      </c>
      <c r="H135" t="inlineStr">
        <is>
          <t>No</t>
        </is>
      </c>
      <c r="I135" t="inlineStr">
        <is>
          <t>No</t>
        </is>
      </c>
      <c r="J135" t="inlineStr">
        <is>
          <t>0</t>
        </is>
      </c>
      <c r="K135" t="inlineStr">
        <is>
          <t>National Workshop on Preventive Health Care and Marketing (1st : 1977 : Charlottesville, Va.)</t>
        </is>
      </c>
      <c r="L135" t="inlineStr">
        <is>
          <t>Chicago : American Marketing Association, c1978.</t>
        </is>
      </c>
      <c r="M135" t="inlineStr">
        <is>
          <t>1978</t>
        </is>
      </c>
      <c r="O135" t="inlineStr">
        <is>
          <t>eng</t>
        </is>
      </c>
      <c r="P135" t="inlineStr">
        <is>
          <t>ilu</t>
        </is>
      </c>
      <c r="Q135" t="inlineStr">
        <is>
          <t>Proceeding series - American Marketing Association</t>
        </is>
      </c>
      <c r="R135" t="inlineStr">
        <is>
          <t xml:space="preserve">RA </t>
        </is>
      </c>
      <c r="S135" t="n">
        <v>3</v>
      </c>
      <c r="T135" t="n">
        <v>3</v>
      </c>
      <c r="U135" t="inlineStr">
        <is>
          <t>2001-09-19</t>
        </is>
      </c>
      <c r="V135" t="inlineStr">
        <is>
          <t>2001-09-19</t>
        </is>
      </c>
      <c r="W135" t="inlineStr">
        <is>
          <t>1993-03-10</t>
        </is>
      </c>
      <c r="X135" t="inlineStr">
        <is>
          <t>1993-03-10</t>
        </is>
      </c>
      <c r="Y135" t="n">
        <v>191</v>
      </c>
      <c r="Z135" t="n">
        <v>153</v>
      </c>
      <c r="AA135" t="n">
        <v>154</v>
      </c>
      <c r="AB135" t="n">
        <v>1</v>
      </c>
      <c r="AC135" t="n">
        <v>1</v>
      </c>
      <c r="AD135" t="n">
        <v>5</v>
      </c>
      <c r="AE135" t="n">
        <v>5</v>
      </c>
      <c r="AF135" t="n">
        <v>0</v>
      </c>
      <c r="AG135" t="n">
        <v>0</v>
      </c>
      <c r="AH135" t="n">
        <v>3</v>
      </c>
      <c r="AI135" t="n">
        <v>3</v>
      </c>
      <c r="AJ135" t="n">
        <v>4</v>
      </c>
      <c r="AK135" t="n">
        <v>4</v>
      </c>
      <c r="AL135" t="n">
        <v>0</v>
      </c>
      <c r="AM135" t="n">
        <v>0</v>
      </c>
      <c r="AN135" t="n">
        <v>0</v>
      </c>
      <c r="AO135" t="n">
        <v>0</v>
      </c>
      <c r="AP135" t="inlineStr">
        <is>
          <t>No</t>
        </is>
      </c>
      <c r="AQ135" t="inlineStr">
        <is>
          <t>No</t>
        </is>
      </c>
      <c r="AS135">
        <f>HYPERLINK("https://creighton-primo.hosted.exlibrisgroup.com/primo-explore/search?tab=default_tab&amp;search_scope=EVERYTHING&amp;vid=01CRU&amp;lang=en_US&amp;offset=0&amp;query=any,contains,991004451829702656","Catalog Record")</f>
        <v/>
      </c>
      <c r="AT135">
        <f>HYPERLINK("http://www.worldcat.org/oclc/3516361","WorldCat Record")</f>
        <v/>
      </c>
      <c r="AU135" t="inlineStr">
        <is>
          <t>889873004:eng</t>
        </is>
      </c>
      <c r="AV135" t="inlineStr">
        <is>
          <t>3516361</t>
        </is>
      </c>
      <c r="AW135" t="inlineStr">
        <is>
          <t>991004451829702656</t>
        </is>
      </c>
      <c r="AX135" t="inlineStr">
        <is>
          <t>991004451829702656</t>
        </is>
      </c>
      <c r="AY135" t="inlineStr">
        <is>
          <t>2272382870002656</t>
        </is>
      </c>
      <c r="AZ135" t="inlineStr">
        <is>
          <t>BOOK</t>
        </is>
      </c>
      <c r="BB135" t="inlineStr">
        <is>
          <t>9780877571056</t>
        </is>
      </c>
      <c r="BC135" t="inlineStr">
        <is>
          <t>32285001586899</t>
        </is>
      </c>
      <c r="BD135" t="inlineStr">
        <is>
          <t>893895022</t>
        </is>
      </c>
    </row>
    <row r="136">
      <c r="A136" t="inlineStr">
        <is>
          <t>No</t>
        </is>
      </c>
      <c r="B136" t="inlineStr">
        <is>
          <t>RA427 .R87 1986</t>
        </is>
      </c>
      <c r="C136" t="inlineStr">
        <is>
          <t>0                      RA 0427000R  87          1986</t>
        </is>
      </c>
      <c r="D136" t="inlineStr">
        <is>
          <t>Is prevention better than cure? / Louise B. Russell.</t>
        </is>
      </c>
      <c r="F136" t="inlineStr">
        <is>
          <t>No</t>
        </is>
      </c>
      <c r="G136" t="inlineStr">
        <is>
          <t>1</t>
        </is>
      </c>
      <c r="H136" t="inlineStr">
        <is>
          <t>Yes</t>
        </is>
      </c>
      <c r="I136" t="inlineStr">
        <is>
          <t>No</t>
        </is>
      </c>
      <c r="J136" t="inlineStr">
        <is>
          <t>0</t>
        </is>
      </c>
      <c r="K136" t="inlineStr">
        <is>
          <t>Russell, Louise B.</t>
        </is>
      </c>
      <c r="L136" t="inlineStr">
        <is>
          <t>Washington, D.C. : Brookings Institution, c1986.</t>
        </is>
      </c>
      <c r="M136" t="inlineStr">
        <is>
          <t>1986</t>
        </is>
      </c>
      <c r="O136" t="inlineStr">
        <is>
          <t>eng</t>
        </is>
      </c>
      <c r="P136" t="inlineStr">
        <is>
          <t>dcu</t>
        </is>
      </c>
      <c r="Q136" t="inlineStr">
        <is>
          <t>Studies in social economics</t>
        </is>
      </c>
      <c r="R136" t="inlineStr">
        <is>
          <t xml:space="preserve">RA </t>
        </is>
      </c>
      <c r="S136" t="n">
        <v>4</v>
      </c>
      <c r="T136" t="n">
        <v>7</v>
      </c>
      <c r="U136" t="inlineStr">
        <is>
          <t>2003-11-11</t>
        </is>
      </c>
      <c r="V136" t="inlineStr">
        <is>
          <t>2003-11-11</t>
        </is>
      </c>
      <c r="W136" t="inlineStr">
        <is>
          <t>1993-03-10</t>
        </is>
      </c>
      <c r="X136" t="inlineStr">
        <is>
          <t>1993-03-10</t>
        </is>
      </c>
      <c r="Y136" t="n">
        <v>724</v>
      </c>
      <c r="Z136" t="n">
        <v>618</v>
      </c>
      <c r="AA136" t="n">
        <v>624</v>
      </c>
      <c r="AB136" t="n">
        <v>4</v>
      </c>
      <c r="AC136" t="n">
        <v>4</v>
      </c>
      <c r="AD136" t="n">
        <v>25</v>
      </c>
      <c r="AE136" t="n">
        <v>25</v>
      </c>
      <c r="AF136" t="n">
        <v>7</v>
      </c>
      <c r="AG136" t="n">
        <v>7</v>
      </c>
      <c r="AH136" t="n">
        <v>7</v>
      </c>
      <c r="AI136" t="n">
        <v>7</v>
      </c>
      <c r="AJ136" t="n">
        <v>16</v>
      </c>
      <c r="AK136" t="n">
        <v>16</v>
      </c>
      <c r="AL136" t="n">
        <v>2</v>
      </c>
      <c r="AM136" t="n">
        <v>2</v>
      </c>
      <c r="AN136" t="n">
        <v>2</v>
      </c>
      <c r="AO136" t="n">
        <v>2</v>
      </c>
      <c r="AP136" t="inlineStr">
        <is>
          <t>No</t>
        </is>
      </c>
      <c r="AQ136" t="inlineStr">
        <is>
          <t>Yes</t>
        </is>
      </c>
      <c r="AR136">
        <f>HYPERLINK("http://catalog.hathitrust.org/Record/000583360","HathiTrust Record")</f>
        <v/>
      </c>
      <c r="AS136">
        <f>HYPERLINK("https://creighton-primo.hosted.exlibrisgroup.com/primo-explore/search?tab=default_tab&amp;search_scope=EVERYTHING&amp;vid=01CRU&amp;lang=en_US&amp;offset=0&amp;query=any,contains,991001758299702656","Catalog Record")</f>
        <v/>
      </c>
      <c r="AT136">
        <f>HYPERLINK("http://www.worldcat.org/oclc/12557363","WorldCat Record")</f>
        <v/>
      </c>
      <c r="AU136" t="inlineStr">
        <is>
          <t>4932754:eng</t>
        </is>
      </c>
      <c r="AV136" t="inlineStr">
        <is>
          <t>12557363</t>
        </is>
      </c>
      <c r="AW136" t="inlineStr">
        <is>
          <t>991001758299702656</t>
        </is>
      </c>
      <c r="AX136" t="inlineStr">
        <is>
          <t>991001758299702656</t>
        </is>
      </c>
      <c r="AY136" t="inlineStr">
        <is>
          <t>2255466570002656</t>
        </is>
      </c>
      <c r="AZ136" t="inlineStr">
        <is>
          <t>BOOK</t>
        </is>
      </c>
      <c r="BB136" t="inlineStr">
        <is>
          <t>9780815776314</t>
        </is>
      </c>
      <c r="BC136" t="inlineStr">
        <is>
          <t>32285001586907</t>
        </is>
      </c>
      <c r="BD136" t="inlineStr">
        <is>
          <t>893779038</t>
        </is>
      </c>
    </row>
    <row r="137">
      <c r="A137" t="inlineStr">
        <is>
          <t>No</t>
        </is>
      </c>
      <c r="B137" t="inlineStr">
        <is>
          <t>RA427 .W49 1994</t>
        </is>
      </c>
      <c r="C137" t="inlineStr">
        <is>
          <t>0                      RA 0427000W  49          1994</t>
        </is>
      </c>
      <c r="D137" t="inlineStr">
        <is>
          <t>Why are some people healthy and others not? : the determinants of health of populations / Robert G. Evans, Morris L. Barer, and Theodore R. Marmor, editors.</t>
        </is>
      </c>
      <c r="F137" t="inlineStr">
        <is>
          <t>No</t>
        </is>
      </c>
      <c r="G137" t="inlineStr">
        <is>
          <t>1</t>
        </is>
      </c>
      <c r="H137" t="inlineStr">
        <is>
          <t>Yes</t>
        </is>
      </c>
      <c r="I137" t="inlineStr">
        <is>
          <t>No</t>
        </is>
      </c>
      <c r="J137" t="inlineStr">
        <is>
          <t>0</t>
        </is>
      </c>
      <c r="L137" t="inlineStr">
        <is>
          <t>New York : A. de Gruyter, c1994.</t>
        </is>
      </c>
      <c r="M137" t="inlineStr">
        <is>
          <t>1994</t>
        </is>
      </c>
      <c r="O137" t="inlineStr">
        <is>
          <t>eng</t>
        </is>
      </c>
      <c r="P137" t="inlineStr">
        <is>
          <t>nyu</t>
        </is>
      </c>
      <c r="Q137" t="inlineStr">
        <is>
          <t>Social institutions and social change</t>
        </is>
      </c>
      <c r="R137" t="inlineStr">
        <is>
          <t xml:space="preserve">RA </t>
        </is>
      </c>
      <c r="S137" t="n">
        <v>8</v>
      </c>
      <c r="T137" t="n">
        <v>15</v>
      </c>
      <c r="U137" t="inlineStr">
        <is>
          <t>2003-03-23</t>
        </is>
      </c>
      <c r="V137" t="inlineStr">
        <is>
          <t>2008-01-08</t>
        </is>
      </c>
      <c r="W137" t="inlineStr">
        <is>
          <t>1995-04-05</t>
        </is>
      </c>
      <c r="X137" t="inlineStr">
        <is>
          <t>1995-04-05</t>
        </is>
      </c>
      <c r="Y137" t="n">
        <v>684</v>
      </c>
      <c r="Z137" t="n">
        <v>514</v>
      </c>
      <c r="AA137" t="n">
        <v>542</v>
      </c>
      <c r="AB137" t="n">
        <v>6</v>
      </c>
      <c r="AC137" t="n">
        <v>6</v>
      </c>
      <c r="AD137" t="n">
        <v>28</v>
      </c>
      <c r="AE137" t="n">
        <v>28</v>
      </c>
      <c r="AF137" t="n">
        <v>9</v>
      </c>
      <c r="AG137" t="n">
        <v>9</v>
      </c>
      <c r="AH137" t="n">
        <v>6</v>
      </c>
      <c r="AI137" t="n">
        <v>6</v>
      </c>
      <c r="AJ137" t="n">
        <v>15</v>
      </c>
      <c r="AK137" t="n">
        <v>15</v>
      </c>
      <c r="AL137" t="n">
        <v>4</v>
      </c>
      <c r="AM137" t="n">
        <v>4</v>
      </c>
      <c r="AN137" t="n">
        <v>0</v>
      </c>
      <c r="AO137" t="n">
        <v>0</v>
      </c>
      <c r="AP137" t="inlineStr">
        <is>
          <t>No</t>
        </is>
      </c>
      <c r="AQ137" t="inlineStr">
        <is>
          <t>No</t>
        </is>
      </c>
      <c r="AS137">
        <f>HYPERLINK("https://creighton-primo.hosted.exlibrisgroup.com/primo-explore/search?tab=default_tab&amp;search_scope=EVERYTHING&amp;vid=01CRU&amp;lang=en_US&amp;offset=0&amp;query=any,contains,991001795719702656","Catalog Record")</f>
        <v/>
      </c>
      <c r="AT137">
        <f>HYPERLINK("http://www.worldcat.org/oclc/30319256","WorldCat Record")</f>
        <v/>
      </c>
      <c r="AU137" t="inlineStr">
        <is>
          <t>891906309:eng</t>
        </is>
      </c>
      <c r="AV137" t="inlineStr">
        <is>
          <t>30319256</t>
        </is>
      </c>
      <c r="AW137" t="inlineStr">
        <is>
          <t>991001795719702656</t>
        </is>
      </c>
      <c r="AX137" t="inlineStr">
        <is>
          <t>991001795719702656</t>
        </is>
      </c>
      <c r="AY137" t="inlineStr">
        <is>
          <t>2267963100002656</t>
        </is>
      </c>
      <c r="AZ137" t="inlineStr">
        <is>
          <t>BOOK</t>
        </is>
      </c>
      <c r="BB137" t="inlineStr">
        <is>
          <t>9780202304892</t>
        </is>
      </c>
      <c r="BC137" t="inlineStr">
        <is>
          <t>32285002016441</t>
        </is>
      </c>
      <c r="BD137" t="inlineStr">
        <is>
          <t>893529241</t>
        </is>
      </c>
    </row>
    <row r="138">
      <c r="A138" t="inlineStr">
        <is>
          <t>No</t>
        </is>
      </c>
      <c r="B138" t="inlineStr">
        <is>
          <t>RA427.3 .R56 1993</t>
        </is>
      </c>
      <c r="C138" t="inlineStr">
        <is>
          <t>0                      RA 0427300R  56          1993</t>
        </is>
      </c>
      <c r="D138" t="inlineStr">
        <is>
          <t>Risk / edited by Edward J. Burger, Jr.</t>
        </is>
      </c>
      <c r="F138" t="inlineStr">
        <is>
          <t>No</t>
        </is>
      </c>
      <c r="G138" t="inlineStr">
        <is>
          <t>1</t>
        </is>
      </c>
      <c r="H138" t="inlineStr">
        <is>
          <t>No</t>
        </is>
      </c>
      <c r="I138" t="inlineStr">
        <is>
          <t>No</t>
        </is>
      </c>
      <c r="J138" t="inlineStr">
        <is>
          <t>0</t>
        </is>
      </c>
      <c r="L138" t="inlineStr">
        <is>
          <t>Ann Arbor : University of Michigan Press, 1993.</t>
        </is>
      </c>
      <c r="M138" t="inlineStr">
        <is>
          <t>1993</t>
        </is>
      </c>
      <c r="O138" t="inlineStr">
        <is>
          <t>eng</t>
        </is>
      </c>
      <c r="P138" t="inlineStr">
        <is>
          <t>miu</t>
        </is>
      </c>
      <c r="R138" t="inlineStr">
        <is>
          <t xml:space="preserve">RA </t>
        </is>
      </c>
      <c r="S138" t="n">
        <v>4</v>
      </c>
      <c r="T138" t="n">
        <v>4</v>
      </c>
      <c r="U138" t="inlineStr">
        <is>
          <t>2005-11-08</t>
        </is>
      </c>
      <c r="V138" t="inlineStr">
        <is>
          <t>2005-11-08</t>
        </is>
      </c>
      <c r="W138" t="inlineStr">
        <is>
          <t>1993-09-08</t>
        </is>
      </c>
      <c r="X138" t="inlineStr">
        <is>
          <t>1993-09-08</t>
        </is>
      </c>
      <c r="Y138" t="n">
        <v>157</v>
      </c>
      <c r="Z138" t="n">
        <v>142</v>
      </c>
      <c r="AA138" t="n">
        <v>142</v>
      </c>
      <c r="AB138" t="n">
        <v>2</v>
      </c>
      <c r="AC138" t="n">
        <v>2</v>
      </c>
      <c r="AD138" t="n">
        <v>8</v>
      </c>
      <c r="AE138" t="n">
        <v>8</v>
      </c>
      <c r="AF138" t="n">
        <v>0</v>
      </c>
      <c r="AG138" t="n">
        <v>0</v>
      </c>
      <c r="AH138" t="n">
        <v>1</v>
      </c>
      <c r="AI138" t="n">
        <v>1</v>
      </c>
      <c r="AJ138" t="n">
        <v>2</v>
      </c>
      <c r="AK138" t="n">
        <v>2</v>
      </c>
      <c r="AL138" t="n">
        <v>0</v>
      </c>
      <c r="AM138" t="n">
        <v>0</v>
      </c>
      <c r="AN138" t="n">
        <v>6</v>
      </c>
      <c r="AO138" t="n">
        <v>6</v>
      </c>
      <c r="AP138" t="inlineStr">
        <is>
          <t>No</t>
        </is>
      </c>
      <c r="AQ138" t="inlineStr">
        <is>
          <t>No</t>
        </is>
      </c>
      <c r="AS138">
        <f>HYPERLINK("https://creighton-primo.hosted.exlibrisgroup.com/primo-explore/search?tab=default_tab&amp;search_scope=EVERYTHING&amp;vid=01CRU&amp;lang=en_US&amp;offset=0&amp;query=any,contains,991002176779702656","Catalog Record")</f>
        <v/>
      </c>
      <c r="AT138">
        <f>HYPERLINK("http://www.worldcat.org/oclc/28023746","WorldCat Record")</f>
        <v/>
      </c>
      <c r="AU138" t="inlineStr">
        <is>
          <t>55703964:eng</t>
        </is>
      </c>
      <c r="AV138" t="inlineStr">
        <is>
          <t>28023746</t>
        </is>
      </c>
      <c r="AW138" t="inlineStr">
        <is>
          <t>991002176779702656</t>
        </is>
      </c>
      <c r="AX138" t="inlineStr">
        <is>
          <t>991002176779702656</t>
        </is>
      </c>
      <c r="AY138" t="inlineStr">
        <is>
          <t>2268386700002656</t>
        </is>
      </c>
      <c r="AZ138" t="inlineStr">
        <is>
          <t>BOOK</t>
        </is>
      </c>
      <c r="BB138" t="inlineStr">
        <is>
          <t>9780472082223</t>
        </is>
      </c>
      <c r="BC138" t="inlineStr">
        <is>
          <t>32285001765071</t>
        </is>
      </c>
      <c r="BD138" t="inlineStr">
        <is>
          <t>893238732</t>
        </is>
      </c>
    </row>
    <row r="139">
      <c r="A139" t="inlineStr">
        <is>
          <t>No</t>
        </is>
      </c>
      <c r="B139" t="inlineStr">
        <is>
          <t>RA427.8 .B74 1997</t>
        </is>
      </c>
      <c r="C139" t="inlineStr">
        <is>
          <t>0                      RA 0427800B  74          1997</t>
        </is>
      </c>
      <c r="D139" t="inlineStr">
        <is>
          <t>Managing health promotion programs : leadership skills for the 21st century / Donald J. Breckon.</t>
        </is>
      </c>
      <c r="F139" t="inlineStr">
        <is>
          <t>No</t>
        </is>
      </c>
      <c r="G139" t="inlineStr">
        <is>
          <t>1</t>
        </is>
      </c>
      <c r="H139" t="inlineStr">
        <is>
          <t>No</t>
        </is>
      </c>
      <c r="I139" t="inlineStr">
        <is>
          <t>No</t>
        </is>
      </c>
      <c r="J139" t="inlineStr">
        <is>
          <t>0</t>
        </is>
      </c>
      <c r="K139" t="inlineStr">
        <is>
          <t>Breckon, Donald J.</t>
        </is>
      </c>
      <c r="L139" t="inlineStr">
        <is>
          <t>Gaithersburg, Md. : Aspen Publishers, 1997.</t>
        </is>
      </c>
      <c r="M139" t="inlineStr">
        <is>
          <t>1997</t>
        </is>
      </c>
      <c r="O139" t="inlineStr">
        <is>
          <t>eng</t>
        </is>
      </c>
      <c r="P139" t="inlineStr">
        <is>
          <t>mdu</t>
        </is>
      </c>
      <c r="R139" t="inlineStr">
        <is>
          <t xml:space="preserve">RA </t>
        </is>
      </c>
      <c r="S139" t="n">
        <v>3</v>
      </c>
      <c r="T139" t="n">
        <v>3</v>
      </c>
      <c r="U139" t="inlineStr">
        <is>
          <t>2003-11-11</t>
        </is>
      </c>
      <c r="V139" t="inlineStr">
        <is>
          <t>2003-11-11</t>
        </is>
      </c>
      <c r="W139" t="inlineStr">
        <is>
          <t>2002-08-27</t>
        </is>
      </c>
      <c r="X139" t="inlineStr">
        <is>
          <t>2002-08-27</t>
        </is>
      </c>
      <c r="Y139" t="n">
        <v>266</v>
      </c>
      <c r="Z139" t="n">
        <v>223</v>
      </c>
      <c r="AA139" t="n">
        <v>237</v>
      </c>
      <c r="AB139" t="n">
        <v>3</v>
      </c>
      <c r="AC139" t="n">
        <v>3</v>
      </c>
      <c r="AD139" t="n">
        <v>12</v>
      </c>
      <c r="AE139" t="n">
        <v>13</v>
      </c>
      <c r="AF139" t="n">
        <v>3</v>
      </c>
      <c r="AG139" t="n">
        <v>4</v>
      </c>
      <c r="AH139" t="n">
        <v>4</v>
      </c>
      <c r="AI139" t="n">
        <v>4</v>
      </c>
      <c r="AJ139" t="n">
        <v>7</v>
      </c>
      <c r="AK139" t="n">
        <v>7</v>
      </c>
      <c r="AL139" t="n">
        <v>2</v>
      </c>
      <c r="AM139" t="n">
        <v>2</v>
      </c>
      <c r="AN139" t="n">
        <v>0</v>
      </c>
      <c r="AO139" t="n">
        <v>0</v>
      </c>
      <c r="AP139" t="inlineStr">
        <is>
          <t>No</t>
        </is>
      </c>
      <c r="AQ139" t="inlineStr">
        <is>
          <t>Yes</t>
        </is>
      </c>
      <c r="AR139">
        <f>HYPERLINK("http://catalog.hathitrust.org/Record/004538282","HathiTrust Record")</f>
        <v/>
      </c>
      <c r="AS139">
        <f>HYPERLINK("https://creighton-primo.hosted.exlibrisgroup.com/primo-explore/search?tab=default_tab&amp;search_scope=EVERYTHING&amp;vid=01CRU&amp;lang=en_US&amp;offset=0&amp;query=any,contains,991003850799702656","Catalog Record")</f>
        <v/>
      </c>
      <c r="AT139">
        <f>HYPERLINK("http://www.worldcat.org/oclc/35925014","WorldCat Record")</f>
        <v/>
      </c>
      <c r="AU139" t="inlineStr">
        <is>
          <t>837037181:eng</t>
        </is>
      </c>
      <c r="AV139" t="inlineStr">
        <is>
          <t>35925014</t>
        </is>
      </c>
      <c r="AW139" t="inlineStr">
        <is>
          <t>991003850799702656</t>
        </is>
      </c>
      <c r="AX139" t="inlineStr">
        <is>
          <t>991003850799702656</t>
        </is>
      </c>
      <c r="AY139" t="inlineStr">
        <is>
          <t>2266129830002656</t>
        </is>
      </c>
      <c r="AZ139" t="inlineStr">
        <is>
          <t>BOOK</t>
        </is>
      </c>
      <c r="BB139" t="inlineStr">
        <is>
          <t>9780834207394</t>
        </is>
      </c>
      <c r="BC139" t="inlineStr">
        <is>
          <t>32285004645114</t>
        </is>
      </c>
      <c r="BD139" t="inlineStr">
        <is>
          <t>893687030</t>
        </is>
      </c>
    </row>
    <row r="140">
      <c r="A140" t="inlineStr">
        <is>
          <t>No</t>
        </is>
      </c>
      <c r="B140" t="inlineStr">
        <is>
          <t>RA427.8 .H494 1990</t>
        </is>
      </c>
      <c r="C140" t="inlineStr">
        <is>
          <t>0                      RA 0427800H  494         1990</t>
        </is>
      </c>
      <c r="D140" t="inlineStr">
        <is>
          <t>Health promotion at the community level / Neil Bracht, editor.</t>
        </is>
      </c>
      <c r="F140" t="inlineStr">
        <is>
          <t>No</t>
        </is>
      </c>
      <c r="G140" t="inlineStr">
        <is>
          <t>1</t>
        </is>
      </c>
      <c r="H140" t="inlineStr">
        <is>
          <t>Yes</t>
        </is>
      </c>
      <c r="I140" t="inlineStr">
        <is>
          <t>No</t>
        </is>
      </c>
      <c r="J140" t="inlineStr">
        <is>
          <t>0</t>
        </is>
      </c>
      <c r="L140" t="inlineStr">
        <is>
          <t>Newbury Park, Calif. : Sage Publications, c1990.</t>
        </is>
      </c>
      <c r="M140" t="inlineStr">
        <is>
          <t>1990</t>
        </is>
      </c>
      <c r="O140" t="inlineStr">
        <is>
          <t>eng</t>
        </is>
      </c>
      <c r="P140" t="inlineStr">
        <is>
          <t>cau</t>
        </is>
      </c>
      <c r="Q140" t="inlineStr">
        <is>
          <t>Sage sourcebooks for the human services series ; 15</t>
        </is>
      </c>
      <c r="R140" t="inlineStr">
        <is>
          <t xml:space="preserve">RA </t>
        </is>
      </c>
      <c r="S140" t="n">
        <v>10</v>
      </c>
      <c r="T140" t="n">
        <v>29</v>
      </c>
      <c r="U140" t="inlineStr">
        <is>
          <t>2000-02-16</t>
        </is>
      </c>
      <c r="V140" t="inlineStr">
        <is>
          <t>2001-12-30</t>
        </is>
      </c>
      <c r="W140" t="inlineStr">
        <is>
          <t>1994-05-06</t>
        </is>
      </c>
      <c r="X140" t="inlineStr">
        <is>
          <t>1994-05-06</t>
        </is>
      </c>
      <c r="Y140" t="n">
        <v>384</v>
      </c>
      <c r="Z140" t="n">
        <v>256</v>
      </c>
      <c r="AA140" t="n">
        <v>263</v>
      </c>
      <c r="AB140" t="n">
        <v>4</v>
      </c>
      <c r="AC140" t="n">
        <v>4</v>
      </c>
      <c r="AD140" t="n">
        <v>12</v>
      </c>
      <c r="AE140" t="n">
        <v>12</v>
      </c>
      <c r="AF140" t="n">
        <v>5</v>
      </c>
      <c r="AG140" t="n">
        <v>5</v>
      </c>
      <c r="AH140" t="n">
        <v>4</v>
      </c>
      <c r="AI140" t="n">
        <v>4</v>
      </c>
      <c r="AJ140" t="n">
        <v>6</v>
      </c>
      <c r="AK140" t="n">
        <v>6</v>
      </c>
      <c r="AL140" t="n">
        <v>2</v>
      </c>
      <c r="AM140" t="n">
        <v>2</v>
      </c>
      <c r="AN140" t="n">
        <v>0</v>
      </c>
      <c r="AO140" t="n">
        <v>0</v>
      </c>
      <c r="AP140" t="inlineStr">
        <is>
          <t>No</t>
        </is>
      </c>
      <c r="AQ140" t="inlineStr">
        <is>
          <t>Yes</t>
        </is>
      </c>
      <c r="AR140">
        <f>HYPERLINK("http://catalog.hathitrust.org/Record/002238424","HathiTrust Record")</f>
        <v/>
      </c>
      <c r="AS140">
        <f>HYPERLINK("https://creighton-primo.hosted.exlibrisgroup.com/primo-explore/search?tab=default_tab&amp;search_scope=EVERYTHING&amp;vid=01CRU&amp;lang=en_US&amp;offset=0&amp;query=any,contains,991001796059702656","Catalog Record")</f>
        <v/>
      </c>
      <c r="AT140">
        <f>HYPERLINK("http://www.worldcat.org/oclc/21763176","WorldCat Record")</f>
        <v/>
      </c>
      <c r="AU140" t="inlineStr">
        <is>
          <t>3768833330:eng</t>
        </is>
      </c>
      <c r="AV140" t="inlineStr">
        <is>
          <t>21763176</t>
        </is>
      </c>
      <c r="AW140" t="inlineStr">
        <is>
          <t>991001796059702656</t>
        </is>
      </c>
      <c r="AX140" t="inlineStr">
        <is>
          <t>991001796059702656</t>
        </is>
      </c>
      <c r="AY140" t="inlineStr">
        <is>
          <t>2255698410002656</t>
        </is>
      </c>
      <c r="AZ140" t="inlineStr">
        <is>
          <t>BOOK</t>
        </is>
      </c>
      <c r="BB140" t="inlineStr">
        <is>
          <t>9780803938588</t>
        </is>
      </c>
      <c r="BC140" t="inlineStr">
        <is>
          <t>32285001879369</t>
        </is>
      </c>
      <c r="BD140" t="inlineStr">
        <is>
          <t>893866488</t>
        </is>
      </c>
    </row>
    <row r="141">
      <c r="A141" t="inlineStr">
        <is>
          <t>No</t>
        </is>
      </c>
      <c r="B141" t="inlineStr">
        <is>
          <t>RA427.8 .I47 1986</t>
        </is>
      </c>
      <c r="C141" t="inlineStr">
        <is>
          <t>0                      RA 0427800I  47          1986</t>
        </is>
      </c>
      <c r="D141" t="inlineStr">
        <is>
          <t>Implementing health/fitness programs / Robert W. Patton ... [et al.].</t>
        </is>
      </c>
      <c r="F141" t="inlineStr">
        <is>
          <t>No</t>
        </is>
      </c>
      <c r="G141" t="inlineStr">
        <is>
          <t>1</t>
        </is>
      </c>
      <c r="H141" t="inlineStr">
        <is>
          <t>No</t>
        </is>
      </c>
      <c r="I141" t="inlineStr">
        <is>
          <t>No</t>
        </is>
      </c>
      <c r="J141" t="inlineStr">
        <is>
          <t>0</t>
        </is>
      </c>
      <c r="L141" t="inlineStr">
        <is>
          <t>Champaign, Ill. : Human Kinetics Publ., Inc., c1986.</t>
        </is>
      </c>
      <c r="M141" t="inlineStr">
        <is>
          <t>1986</t>
        </is>
      </c>
      <c r="O141" t="inlineStr">
        <is>
          <t>eng</t>
        </is>
      </c>
      <c r="P141" t="inlineStr">
        <is>
          <t>cau</t>
        </is>
      </c>
      <c r="R141" t="inlineStr">
        <is>
          <t xml:space="preserve">RA </t>
        </is>
      </c>
      <c r="S141" t="n">
        <v>9</v>
      </c>
      <c r="T141" t="n">
        <v>9</v>
      </c>
      <c r="U141" t="inlineStr">
        <is>
          <t>2000-02-16</t>
        </is>
      </c>
      <c r="V141" t="inlineStr">
        <is>
          <t>2000-02-16</t>
        </is>
      </c>
      <c r="W141" t="inlineStr">
        <is>
          <t>1992-04-01</t>
        </is>
      </c>
      <c r="X141" t="inlineStr">
        <is>
          <t>1992-04-01</t>
        </is>
      </c>
      <c r="Y141" t="n">
        <v>438</v>
      </c>
      <c r="Z141" t="n">
        <v>350</v>
      </c>
      <c r="AA141" t="n">
        <v>359</v>
      </c>
      <c r="AB141" t="n">
        <v>3</v>
      </c>
      <c r="AC141" t="n">
        <v>3</v>
      </c>
      <c r="AD141" t="n">
        <v>6</v>
      </c>
      <c r="AE141" t="n">
        <v>6</v>
      </c>
      <c r="AF141" t="n">
        <v>2</v>
      </c>
      <c r="AG141" t="n">
        <v>2</v>
      </c>
      <c r="AH141" t="n">
        <v>1</v>
      </c>
      <c r="AI141" t="n">
        <v>1</v>
      </c>
      <c r="AJ141" t="n">
        <v>2</v>
      </c>
      <c r="AK141" t="n">
        <v>2</v>
      </c>
      <c r="AL141" t="n">
        <v>2</v>
      </c>
      <c r="AM141" t="n">
        <v>2</v>
      </c>
      <c r="AN141" t="n">
        <v>0</v>
      </c>
      <c r="AO141" t="n">
        <v>0</v>
      </c>
      <c r="AP141" t="inlineStr">
        <is>
          <t>No</t>
        </is>
      </c>
      <c r="AQ141" t="inlineStr">
        <is>
          <t>Yes</t>
        </is>
      </c>
      <c r="AR141">
        <f>HYPERLINK("http://catalog.hathitrust.org/Record/000487399","HathiTrust Record")</f>
        <v/>
      </c>
      <c r="AS141">
        <f>HYPERLINK("https://creighton-primo.hosted.exlibrisgroup.com/primo-explore/search?tab=default_tab&amp;search_scope=EVERYTHING&amp;vid=01CRU&amp;lang=en_US&amp;offset=0&amp;query=any,contains,991000629049702656","Catalog Record")</f>
        <v/>
      </c>
      <c r="AT141">
        <f>HYPERLINK("http://www.worldcat.org/oclc/12051177","WorldCat Record")</f>
        <v/>
      </c>
      <c r="AU141" t="inlineStr">
        <is>
          <t>54714890:eng</t>
        </is>
      </c>
      <c r="AV141" t="inlineStr">
        <is>
          <t>12051177</t>
        </is>
      </c>
      <c r="AW141" t="inlineStr">
        <is>
          <t>991000629049702656</t>
        </is>
      </c>
      <c r="AX141" t="inlineStr">
        <is>
          <t>991000629049702656</t>
        </is>
      </c>
      <c r="AY141" t="inlineStr">
        <is>
          <t>2268765330002656</t>
        </is>
      </c>
      <c r="AZ141" t="inlineStr">
        <is>
          <t>BOOK</t>
        </is>
      </c>
      <c r="BB141" t="inlineStr">
        <is>
          <t>9780534051150</t>
        </is>
      </c>
      <c r="BC141" t="inlineStr">
        <is>
          <t>32285001047603</t>
        </is>
      </c>
      <c r="BD141" t="inlineStr">
        <is>
          <t>893714755</t>
        </is>
      </c>
    </row>
    <row r="142">
      <c r="A142" t="inlineStr">
        <is>
          <t>No</t>
        </is>
      </c>
      <c r="B142" t="inlineStr">
        <is>
          <t>RA440.5 .D55 1987</t>
        </is>
      </c>
      <c r="C142" t="inlineStr">
        <is>
          <t>0                      RA 0440500D  55          1987</t>
        </is>
      </c>
      <c r="D142" t="inlineStr">
        <is>
          <t>Program planning for health education and health promotion / Mark B. Dignan, Patricia A. Carr.</t>
        </is>
      </c>
      <c r="F142" t="inlineStr">
        <is>
          <t>No</t>
        </is>
      </c>
      <c r="G142" t="inlineStr">
        <is>
          <t>1</t>
        </is>
      </c>
      <c r="H142" t="inlineStr">
        <is>
          <t>No</t>
        </is>
      </c>
      <c r="I142" t="inlineStr">
        <is>
          <t>No</t>
        </is>
      </c>
      <c r="J142" t="inlineStr">
        <is>
          <t>0</t>
        </is>
      </c>
      <c r="K142" t="inlineStr">
        <is>
          <t>Dignan, Mark B.</t>
        </is>
      </c>
      <c r="L142" t="inlineStr">
        <is>
          <t>Philadelphia : Lea &amp; Febiger, 1987.</t>
        </is>
      </c>
      <c r="M142" t="inlineStr">
        <is>
          <t>1987</t>
        </is>
      </c>
      <c r="O142" t="inlineStr">
        <is>
          <t>eng</t>
        </is>
      </c>
      <c r="P142" t="inlineStr">
        <is>
          <t>pau</t>
        </is>
      </c>
      <c r="R142" t="inlineStr">
        <is>
          <t xml:space="preserve">RA </t>
        </is>
      </c>
      <c r="S142" t="n">
        <v>7</v>
      </c>
      <c r="T142" t="n">
        <v>7</v>
      </c>
      <c r="U142" t="inlineStr">
        <is>
          <t>2000-02-16</t>
        </is>
      </c>
      <c r="V142" t="inlineStr">
        <is>
          <t>2000-02-16</t>
        </is>
      </c>
      <c r="W142" t="inlineStr">
        <is>
          <t>1992-03-26</t>
        </is>
      </c>
      <c r="X142" t="inlineStr">
        <is>
          <t>1992-03-26</t>
        </is>
      </c>
      <c r="Y142" t="n">
        <v>274</v>
      </c>
      <c r="Z142" t="n">
        <v>214</v>
      </c>
      <c r="AA142" t="n">
        <v>335</v>
      </c>
      <c r="AB142" t="n">
        <v>3</v>
      </c>
      <c r="AC142" t="n">
        <v>4</v>
      </c>
      <c r="AD142" t="n">
        <v>7</v>
      </c>
      <c r="AE142" t="n">
        <v>9</v>
      </c>
      <c r="AF142" t="n">
        <v>1</v>
      </c>
      <c r="AG142" t="n">
        <v>2</v>
      </c>
      <c r="AH142" t="n">
        <v>2</v>
      </c>
      <c r="AI142" t="n">
        <v>2</v>
      </c>
      <c r="AJ142" t="n">
        <v>4</v>
      </c>
      <c r="AK142" t="n">
        <v>4</v>
      </c>
      <c r="AL142" t="n">
        <v>2</v>
      </c>
      <c r="AM142" t="n">
        <v>3</v>
      </c>
      <c r="AN142" t="n">
        <v>0</v>
      </c>
      <c r="AO142" t="n">
        <v>0</v>
      </c>
      <c r="AP142" t="inlineStr">
        <is>
          <t>No</t>
        </is>
      </c>
      <c r="AQ142" t="inlineStr">
        <is>
          <t>Yes</t>
        </is>
      </c>
      <c r="AR142">
        <f>HYPERLINK("http://catalog.hathitrust.org/Record/000833711","HathiTrust Record")</f>
        <v/>
      </c>
      <c r="AS142">
        <f>HYPERLINK("https://creighton-primo.hosted.exlibrisgroup.com/primo-explore/search?tab=default_tab&amp;search_scope=EVERYTHING&amp;vid=01CRU&amp;lang=en_US&amp;offset=0&amp;query=any,contains,991001010869702656","Catalog Record")</f>
        <v/>
      </c>
      <c r="AT142">
        <f>HYPERLINK("http://www.worldcat.org/oclc/15283194","WorldCat Record")</f>
        <v/>
      </c>
      <c r="AU142" t="inlineStr">
        <is>
          <t>24121323:eng</t>
        </is>
      </c>
      <c r="AV142" t="inlineStr">
        <is>
          <t>15283194</t>
        </is>
      </c>
      <c r="AW142" t="inlineStr">
        <is>
          <t>991001010869702656</t>
        </is>
      </c>
      <c r="AX142" t="inlineStr">
        <is>
          <t>991001010869702656</t>
        </is>
      </c>
      <c r="AY142" t="inlineStr">
        <is>
          <t>2264585380002656</t>
        </is>
      </c>
      <c r="AZ142" t="inlineStr">
        <is>
          <t>BOOK</t>
        </is>
      </c>
      <c r="BB142" t="inlineStr">
        <is>
          <t>9780812110913</t>
        </is>
      </c>
      <c r="BC142" t="inlineStr">
        <is>
          <t>32285001006534</t>
        </is>
      </c>
      <c r="BD142" t="inlineStr">
        <is>
          <t>893407744</t>
        </is>
      </c>
    </row>
    <row r="143">
      <c r="A143" t="inlineStr">
        <is>
          <t>No</t>
        </is>
      </c>
      <c r="B143" t="inlineStr">
        <is>
          <t>RA441.5 .A57 1990</t>
        </is>
      </c>
      <c r="C143" t="inlineStr">
        <is>
          <t>0                      RA 0441500A  57          1990</t>
        </is>
      </c>
      <c r="D143" t="inlineStr">
        <is>
          <t>Anthropology and primary health care / edited by Jeannine Coreil and J. Dennis Mull.</t>
        </is>
      </c>
      <c r="F143" t="inlineStr">
        <is>
          <t>No</t>
        </is>
      </c>
      <c r="G143" t="inlineStr">
        <is>
          <t>1</t>
        </is>
      </c>
      <c r="H143" t="inlineStr">
        <is>
          <t>No</t>
        </is>
      </c>
      <c r="I143" t="inlineStr">
        <is>
          <t>No</t>
        </is>
      </c>
      <c r="J143" t="inlineStr">
        <is>
          <t>0</t>
        </is>
      </c>
      <c r="L143" t="inlineStr">
        <is>
          <t>Boulder : Westview Press, 1990.</t>
        </is>
      </c>
      <c r="M143" t="inlineStr">
        <is>
          <t>1990</t>
        </is>
      </c>
      <c r="O143" t="inlineStr">
        <is>
          <t>eng</t>
        </is>
      </c>
      <c r="P143" t="inlineStr">
        <is>
          <t>cou</t>
        </is>
      </c>
      <c r="R143" t="inlineStr">
        <is>
          <t xml:space="preserve">RA </t>
        </is>
      </c>
      <c r="S143" t="n">
        <v>2</v>
      </c>
      <c r="T143" t="n">
        <v>2</v>
      </c>
      <c r="U143" t="inlineStr">
        <is>
          <t>2009-10-26</t>
        </is>
      </c>
      <c r="V143" t="inlineStr">
        <is>
          <t>2009-10-26</t>
        </is>
      </c>
      <c r="W143" t="inlineStr">
        <is>
          <t>2007-03-28</t>
        </is>
      </c>
      <c r="X143" t="inlineStr">
        <is>
          <t>2007-03-28</t>
        </is>
      </c>
      <c r="Y143" t="n">
        <v>235</v>
      </c>
      <c r="Z143" t="n">
        <v>173</v>
      </c>
      <c r="AA143" t="n">
        <v>192</v>
      </c>
      <c r="AB143" t="n">
        <v>1</v>
      </c>
      <c r="AC143" t="n">
        <v>1</v>
      </c>
      <c r="AD143" t="n">
        <v>7</v>
      </c>
      <c r="AE143" t="n">
        <v>7</v>
      </c>
      <c r="AF143" t="n">
        <v>0</v>
      </c>
      <c r="AG143" t="n">
        <v>0</v>
      </c>
      <c r="AH143" t="n">
        <v>3</v>
      </c>
      <c r="AI143" t="n">
        <v>3</v>
      </c>
      <c r="AJ143" t="n">
        <v>4</v>
      </c>
      <c r="AK143" t="n">
        <v>4</v>
      </c>
      <c r="AL143" t="n">
        <v>0</v>
      </c>
      <c r="AM143" t="n">
        <v>0</v>
      </c>
      <c r="AN143" t="n">
        <v>1</v>
      </c>
      <c r="AO143" t="n">
        <v>1</v>
      </c>
      <c r="AP143" t="inlineStr">
        <is>
          <t>No</t>
        </is>
      </c>
      <c r="AQ143" t="inlineStr">
        <is>
          <t>No</t>
        </is>
      </c>
      <c r="AS143">
        <f>HYPERLINK("https://creighton-primo.hosted.exlibrisgroup.com/primo-explore/search?tab=default_tab&amp;search_scope=EVERYTHING&amp;vid=01CRU&amp;lang=en_US&amp;offset=0&amp;query=any,contains,991005054789702656","Catalog Record")</f>
        <v/>
      </c>
      <c r="AT143">
        <f>HYPERLINK("http://www.worldcat.org/oclc/22206704","WorldCat Record")</f>
        <v/>
      </c>
      <c r="AU143" t="inlineStr">
        <is>
          <t>350927034:eng</t>
        </is>
      </c>
      <c r="AV143" t="inlineStr">
        <is>
          <t>22206704</t>
        </is>
      </c>
      <c r="AW143" t="inlineStr">
        <is>
          <t>991005054789702656</t>
        </is>
      </c>
      <c r="AX143" t="inlineStr">
        <is>
          <t>991005054789702656</t>
        </is>
      </c>
      <c r="AY143" t="inlineStr">
        <is>
          <t>2255578230002656</t>
        </is>
      </c>
      <c r="AZ143" t="inlineStr">
        <is>
          <t>BOOK</t>
        </is>
      </c>
      <c r="BB143" t="inlineStr">
        <is>
          <t>9780813381381</t>
        </is>
      </c>
      <c r="BC143" t="inlineStr">
        <is>
          <t>32285005284053</t>
        </is>
      </c>
      <c r="BD143" t="inlineStr">
        <is>
          <t>893242126</t>
        </is>
      </c>
    </row>
    <row r="144">
      <c r="A144" t="inlineStr">
        <is>
          <t>No</t>
        </is>
      </c>
      <c r="B144" t="inlineStr">
        <is>
          <t>RA441.5 .D46 1985</t>
        </is>
      </c>
      <c r="C144" t="inlineStr">
        <is>
          <t>0                      RA 0441500D  46          1985</t>
        </is>
      </c>
      <c r="D144" t="inlineStr">
        <is>
          <t>The Demand for primary health services in the Third World / John S. Akin ... [et al.].</t>
        </is>
      </c>
      <c r="F144" t="inlineStr">
        <is>
          <t>No</t>
        </is>
      </c>
      <c r="G144" t="inlineStr">
        <is>
          <t>1</t>
        </is>
      </c>
      <c r="H144" t="inlineStr">
        <is>
          <t>No</t>
        </is>
      </c>
      <c r="I144" t="inlineStr">
        <is>
          <t>No</t>
        </is>
      </c>
      <c r="J144" t="inlineStr">
        <is>
          <t>0</t>
        </is>
      </c>
      <c r="L144" t="inlineStr">
        <is>
          <t>Totowa, NJ : Rowman &amp; Allanheld, 1985.</t>
        </is>
      </c>
      <c r="M144" t="inlineStr">
        <is>
          <t>1984</t>
        </is>
      </c>
      <c r="O144" t="inlineStr">
        <is>
          <t>eng</t>
        </is>
      </c>
      <c r="P144" t="inlineStr">
        <is>
          <t>nju</t>
        </is>
      </c>
      <c r="R144" t="inlineStr">
        <is>
          <t xml:space="preserve">RA </t>
        </is>
      </c>
      <c r="S144" t="n">
        <v>13</v>
      </c>
      <c r="T144" t="n">
        <v>13</v>
      </c>
      <c r="U144" t="inlineStr">
        <is>
          <t>2001-12-03</t>
        </is>
      </c>
      <c r="V144" t="inlineStr">
        <is>
          <t>2001-12-03</t>
        </is>
      </c>
      <c r="W144" t="inlineStr">
        <is>
          <t>1992-09-10</t>
        </is>
      </c>
      <c r="X144" t="inlineStr">
        <is>
          <t>1992-09-10</t>
        </is>
      </c>
      <c r="Y144" t="n">
        <v>306</v>
      </c>
      <c r="Z144" t="n">
        <v>252</v>
      </c>
      <c r="AA144" t="n">
        <v>264</v>
      </c>
      <c r="AB144" t="n">
        <v>1</v>
      </c>
      <c r="AC144" t="n">
        <v>1</v>
      </c>
      <c r="AD144" t="n">
        <v>6</v>
      </c>
      <c r="AE144" t="n">
        <v>6</v>
      </c>
      <c r="AF144" t="n">
        <v>3</v>
      </c>
      <c r="AG144" t="n">
        <v>3</v>
      </c>
      <c r="AH144" t="n">
        <v>2</v>
      </c>
      <c r="AI144" t="n">
        <v>2</v>
      </c>
      <c r="AJ144" t="n">
        <v>4</v>
      </c>
      <c r="AK144" t="n">
        <v>4</v>
      </c>
      <c r="AL144" t="n">
        <v>0</v>
      </c>
      <c r="AM144" t="n">
        <v>0</v>
      </c>
      <c r="AN144" t="n">
        <v>0</v>
      </c>
      <c r="AO144" t="n">
        <v>0</v>
      </c>
      <c r="AP144" t="inlineStr">
        <is>
          <t>No</t>
        </is>
      </c>
      <c r="AQ144" t="inlineStr">
        <is>
          <t>Yes</t>
        </is>
      </c>
      <c r="AR144">
        <f>HYPERLINK("http://catalog.hathitrust.org/Record/000339621","HathiTrust Record")</f>
        <v/>
      </c>
      <c r="AS144">
        <f>HYPERLINK("https://creighton-primo.hosted.exlibrisgroup.com/primo-explore/search?tab=default_tab&amp;search_scope=EVERYTHING&amp;vid=01CRU&amp;lang=en_US&amp;offset=0&amp;query=any,contains,991000503339702656","Catalog Record")</f>
        <v/>
      </c>
      <c r="AT144">
        <f>HYPERLINK("http://www.worldcat.org/oclc/11187809","WorldCat Record")</f>
        <v/>
      </c>
      <c r="AU144" t="inlineStr">
        <is>
          <t>354413213:eng</t>
        </is>
      </c>
      <c r="AV144" t="inlineStr">
        <is>
          <t>11187809</t>
        </is>
      </c>
      <c r="AW144" t="inlineStr">
        <is>
          <t>991000503339702656</t>
        </is>
      </c>
      <c r="AX144" t="inlineStr">
        <is>
          <t>991000503339702656</t>
        </is>
      </c>
      <c r="AY144" t="inlineStr">
        <is>
          <t>2263171260002656</t>
        </is>
      </c>
      <c r="AZ144" t="inlineStr">
        <is>
          <t>BOOK</t>
        </is>
      </c>
      <c r="BB144" t="inlineStr">
        <is>
          <t>9780847673551</t>
        </is>
      </c>
      <c r="BC144" t="inlineStr">
        <is>
          <t>32285001300127</t>
        </is>
      </c>
      <c r="BD144" t="inlineStr">
        <is>
          <t>893321095</t>
        </is>
      </c>
    </row>
    <row r="145">
      <c r="A145" t="inlineStr">
        <is>
          <t>No</t>
        </is>
      </c>
      <c r="B145" t="inlineStr">
        <is>
          <t>RA442 .A37 1988</t>
        </is>
      </c>
      <c r="C145" t="inlineStr">
        <is>
          <t>0                      RA 0442000A  37          1988</t>
        </is>
      </c>
      <c r="D145" t="inlineStr">
        <is>
          <t>The African exchange : toward a biological history of Black people / Kenneth F. Kiple, editor.</t>
        </is>
      </c>
      <c r="F145" t="inlineStr">
        <is>
          <t>No</t>
        </is>
      </c>
      <c r="G145" t="inlineStr">
        <is>
          <t>1</t>
        </is>
      </c>
      <c r="H145" t="inlineStr">
        <is>
          <t>No</t>
        </is>
      </c>
      <c r="I145" t="inlineStr">
        <is>
          <t>No</t>
        </is>
      </c>
      <c r="J145" t="inlineStr">
        <is>
          <t>0</t>
        </is>
      </c>
      <c r="L145" t="inlineStr">
        <is>
          <t>Durham [N.C.] : Duke University Press, 1987, c1988.</t>
        </is>
      </c>
      <c r="M145" t="inlineStr">
        <is>
          <t>1988</t>
        </is>
      </c>
      <c r="O145" t="inlineStr">
        <is>
          <t>eng</t>
        </is>
      </c>
      <c r="P145" t="inlineStr">
        <is>
          <t>ncu</t>
        </is>
      </c>
      <c r="R145" t="inlineStr">
        <is>
          <t xml:space="preserve">RA </t>
        </is>
      </c>
      <c r="S145" t="n">
        <v>3</v>
      </c>
      <c r="T145" t="n">
        <v>3</v>
      </c>
      <c r="U145" t="inlineStr">
        <is>
          <t>1996-09-16</t>
        </is>
      </c>
      <c r="V145" t="inlineStr">
        <is>
          <t>1996-09-16</t>
        </is>
      </c>
      <c r="W145" t="inlineStr">
        <is>
          <t>1993-03-11</t>
        </is>
      </c>
      <c r="X145" t="inlineStr">
        <is>
          <t>1993-03-11</t>
        </is>
      </c>
      <c r="Y145" t="n">
        <v>363</v>
      </c>
      <c r="Z145" t="n">
        <v>300</v>
      </c>
      <c r="AA145" t="n">
        <v>308</v>
      </c>
      <c r="AB145" t="n">
        <v>1</v>
      </c>
      <c r="AC145" t="n">
        <v>1</v>
      </c>
      <c r="AD145" t="n">
        <v>7</v>
      </c>
      <c r="AE145" t="n">
        <v>7</v>
      </c>
      <c r="AF145" t="n">
        <v>3</v>
      </c>
      <c r="AG145" t="n">
        <v>3</v>
      </c>
      <c r="AH145" t="n">
        <v>1</v>
      </c>
      <c r="AI145" t="n">
        <v>1</v>
      </c>
      <c r="AJ145" t="n">
        <v>6</v>
      </c>
      <c r="AK145" t="n">
        <v>6</v>
      </c>
      <c r="AL145" t="n">
        <v>0</v>
      </c>
      <c r="AM145" t="n">
        <v>0</v>
      </c>
      <c r="AN145" t="n">
        <v>0</v>
      </c>
      <c r="AO145" t="n">
        <v>0</v>
      </c>
      <c r="AP145" t="inlineStr">
        <is>
          <t>No</t>
        </is>
      </c>
      <c r="AQ145" t="inlineStr">
        <is>
          <t>No</t>
        </is>
      </c>
      <c r="AS145">
        <f>HYPERLINK("https://creighton-primo.hosted.exlibrisgroup.com/primo-explore/search?tab=default_tab&amp;search_scope=EVERYTHING&amp;vid=01CRU&amp;lang=en_US&amp;offset=0&amp;query=any,contains,991001165869702656","Catalog Record")</f>
        <v/>
      </c>
      <c r="AT145">
        <f>HYPERLINK("http://www.worldcat.org/oclc/16923191","WorldCat Record")</f>
        <v/>
      </c>
      <c r="AU145" t="inlineStr">
        <is>
          <t>371883362:eng</t>
        </is>
      </c>
      <c r="AV145" t="inlineStr">
        <is>
          <t>16923191</t>
        </is>
      </c>
      <c r="AW145" t="inlineStr">
        <is>
          <t>991001165869702656</t>
        </is>
      </c>
      <c r="AX145" t="inlineStr">
        <is>
          <t>991001165869702656</t>
        </is>
      </c>
      <c r="AY145" t="inlineStr">
        <is>
          <t>2269817950002656</t>
        </is>
      </c>
      <c r="AZ145" t="inlineStr">
        <is>
          <t>BOOK</t>
        </is>
      </c>
      <c r="BB145" t="inlineStr">
        <is>
          <t>9780822307310</t>
        </is>
      </c>
      <c r="BC145" t="inlineStr">
        <is>
          <t>32285001587061</t>
        </is>
      </c>
      <c r="BD145" t="inlineStr">
        <is>
          <t>893237921</t>
        </is>
      </c>
    </row>
    <row r="146">
      <c r="A146" t="inlineStr">
        <is>
          <t>No</t>
        </is>
      </c>
      <c r="B146" t="inlineStr">
        <is>
          <t>RA445 .C67 1985</t>
        </is>
      </c>
      <c r="C146" t="inlineStr">
        <is>
          <t>0                      RA 0445000C  67          1985</t>
        </is>
      </c>
      <c r="D146" t="inlineStr">
        <is>
          <t>The U.S. health care system : a look to the 1990s / Cornell University Medical College Conference on Health Policy, March 7-8, 1985, New York City ; Eli Ginzberg, editor.</t>
        </is>
      </c>
      <c r="F146" t="inlineStr">
        <is>
          <t>No</t>
        </is>
      </c>
      <c r="G146" t="inlineStr">
        <is>
          <t>1</t>
        </is>
      </c>
      <c r="H146" t="inlineStr">
        <is>
          <t>No</t>
        </is>
      </c>
      <c r="I146" t="inlineStr">
        <is>
          <t>No</t>
        </is>
      </c>
      <c r="J146" t="inlineStr">
        <is>
          <t>0</t>
        </is>
      </c>
      <c r="K146" t="inlineStr">
        <is>
          <t>Cornell University Medical College Conference on Health Policy (1st : 1985 : New York, N.Y.)</t>
        </is>
      </c>
      <c r="L146" t="inlineStr">
        <is>
          <t>Totowa, N.J. : Rowman &amp; Allanheld, 1985.</t>
        </is>
      </c>
      <c r="M146" t="inlineStr">
        <is>
          <t>1985</t>
        </is>
      </c>
      <c r="O146" t="inlineStr">
        <is>
          <t>eng</t>
        </is>
      </c>
      <c r="P146" t="inlineStr">
        <is>
          <t>nju</t>
        </is>
      </c>
      <c r="Q146" t="inlineStr">
        <is>
          <t>Conservation of human resources series ; 26</t>
        </is>
      </c>
      <c r="R146" t="inlineStr">
        <is>
          <t xml:space="preserve">RA </t>
        </is>
      </c>
      <c r="S146" t="n">
        <v>4</v>
      </c>
      <c r="T146" t="n">
        <v>4</v>
      </c>
      <c r="U146" t="inlineStr">
        <is>
          <t>2001-04-11</t>
        </is>
      </c>
      <c r="V146" t="inlineStr">
        <is>
          <t>2001-04-11</t>
        </is>
      </c>
      <c r="W146" t="inlineStr">
        <is>
          <t>1992-12-09</t>
        </is>
      </c>
      <c r="X146" t="inlineStr">
        <is>
          <t>1992-12-09</t>
        </is>
      </c>
      <c r="Y146" t="n">
        <v>295</v>
      </c>
      <c r="Z146" t="n">
        <v>265</v>
      </c>
      <c r="AA146" t="n">
        <v>272</v>
      </c>
      <c r="AB146" t="n">
        <v>1</v>
      </c>
      <c r="AC146" t="n">
        <v>1</v>
      </c>
      <c r="AD146" t="n">
        <v>10</v>
      </c>
      <c r="AE146" t="n">
        <v>10</v>
      </c>
      <c r="AF146" t="n">
        <v>3</v>
      </c>
      <c r="AG146" t="n">
        <v>3</v>
      </c>
      <c r="AH146" t="n">
        <v>4</v>
      </c>
      <c r="AI146" t="n">
        <v>4</v>
      </c>
      <c r="AJ146" t="n">
        <v>6</v>
      </c>
      <c r="AK146" t="n">
        <v>6</v>
      </c>
      <c r="AL146" t="n">
        <v>0</v>
      </c>
      <c r="AM146" t="n">
        <v>0</v>
      </c>
      <c r="AN146" t="n">
        <v>0</v>
      </c>
      <c r="AO146" t="n">
        <v>0</v>
      </c>
      <c r="AP146" t="inlineStr">
        <is>
          <t>No</t>
        </is>
      </c>
      <c r="AQ146" t="inlineStr">
        <is>
          <t>Yes</t>
        </is>
      </c>
      <c r="AR146">
        <f>HYPERLINK("http://catalog.hathitrust.org/Record/000667920","HathiTrust Record")</f>
        <v/>
      </c>
      <c r="AS146">
        <f>HYPERLINK("https://creighton-primo.hosted.exlibrisgroup.com/primo-explore/search?tab=default_tab&amp;search_scope=EVERYTHING&amp;vid=01CRU&amp;lang=en_US&amp;offset=0&amp;query=any,contains,991000683319702656","Catalog Record")</f>
        <v/>
      </c>
      <c r="AT146">
        <f>HYPERLINK("http://www.worldcat.org/oclc/12418985","WorldCat Record")</f>
        <v/>
      </c>
      <c r="AU146" t="inlineStr">
        <is>
          <t>5020867:eng</t>
        </is>
      </c>
      <c r="AV146" t="inlineStr">
        <is>
          <t>12418985</t>
        </is>
      </c>
      <c r="AW146" t="inlineStr">
        <is>
          <t>991000683319702656</t>
        </is>
      </c>
      <c r="AX146" t="inlineStr">
        <is>
          <t>991000683319702656</t>
        </is>
      </c>
      <c r="AY146" t="inlineStr">
        <is>
          <t>2262474790002656</t>
        </is>
      </c>
      <c r="AZ146" t="inlineStr">
        <is>
          <t>BOOK</t>
        </is>
      </c>
      <c r="BB146" t="inlineStr">
        <is>
          <t>9780847674688</t>
        </is>
      </c>
      <c r="BC146" t="inlineStr">
        <is>
          <t>32285001414878</t>
        </is>
      </c>
      <c r="BD146" t="inlineStr">
        <is>
          <t>893865584</t>
        </is>
      </c>
    </row>
    <row r="147">
      <c r="A147" t="inlineStr">
        <is>
          <t>No</t>
        </is>
      </c>
      <c r="B147" t="inlineStr">
        <is>
          <t>RA445 .H3364 2000</t>
        </is>
      </c>
      <c r="C147" t="inlineStr">
        <is>
          <t>0                      RA 0445000H  3364        2000</t>
        </is>
      </c>
      <c r="D147" t="inlineStr">
        <is>
          <t>Health and health care 2010 : the forecast, the challenge / [contributors, Roy Amara ... [et al.]].</t>
        </is>
      </c>
      <c r="F147" t="inlineStr">
        <is>
          <t>No</t>
        </is>
      </c>
      <c r="G147" t="inlineStr">
        <is>
          <t>1</t>
        </is>
      </c>
      <c r="H147" t="inlineStr">
        <is>
          <t>Yes</t>
        </is>
      </c>
      <c r="I147" t="inlineStr">
        <is>
          <t>No</t>
        </is>
      </c>
      <c r="J147" t="inlineStr">
        <is>
          <t>0</t>
        </is>
      </c>
      <c r="L147" t="inlineStr">
        <is>
          <t>San Francisco : Jossey-Bass, 2000.</t>
        </is>
      </c>
      <c r="M147" t="inlineStr">
        <is>
          <t>2000</t>
        </is>
      </c>
      <c r="O147" t="inlineStr">
        <is>
          <t>eng</t>
        </is>
      </c>
      <c r="P147" t="inlineStr">
        <is>
          <t>cau</t>
        </is>
      </c>
      <c r="R147" t="inlineStr">
        <is>
          <t xml:space="preserve">RA </t>
        </is>
      </c>
      <c r="S147" t="n">
        <v>10</v>
      </c>
      <c r="T147" t="n">
        <v>15</v>
      </c>
      <c r="U147" t="inlineStr">
        <is>
          <t>2003-11-08</t>
        </is>
      </c>
      <c r="V147" t="inlineStr">
        <is>
          <t>2003-11-08</t>
        </is>
      </c>
      <c r="W147" t="inlineStr">
        <is>
          <t>2000-12-20</t>
        </is>
      </c>
      <c r="X147" t="inlineStr">
        <is>
          <t>2001-11-15</t>
        </is>
      </c>
      <c r="Y147" t="n">
        <v>457</v>
      </c>
      <c r="Z147" t="n">
        <v>417</v>
      </c>
      <c r="AA147" t="n">
        <v>677</v>
      </c>
      <c r="AB147" t="n">
        <v>4</v>
      </c>
      <c r="AC147" t="n">
        <v>4</v>
      </c>
      <c r="AD147" t="n">
        <v>20</v>
      </c>
      <c r="AE147" t="n">
        <v>29</v>
      </c>
      <c r="AF147" t="n">
        <v>10</v>
      </c>
      <c r="AG147" t="n">
        <v>13</v>
      </c>
      <c r="AH147" t="n">
        <v>5</v>
      </c>
      <c r="AI147" t="n">
        <v>7</v>
      </c>
      <c r="AJ147" t="n">
        <v>6</v>
      </c>
      <c r="AK147" t="n">
        <v>12</v>
      </c>
      <c r="AL147" t="n">
        <v>2</v>
      </c>
      <c r="AM147" t="n">
        <v>2</v>
      </c>
      <c r="AN147" t="n">
        <v>0</v>
      </c>
      <c r="AO147" t="n">
        <v>0</v>
      </c>
      <c r="AP147" t="inlineStr">
        <is>
          <t>No</t>
        </is>
      </c>
      <c r="AQ147" t="inlineStr">
        <is>
          <t>Yes</t>
        </is>
      </c>
      <c r="AR147">
        <f>HYPERLINK("http://catalog.hathitrust.org/Record/003513176","HathiTrust Record")</f>
        <v/>
      </c>
      <c r="AS147">
        <f>HYPERLINK("https://creighton-primo.hosted.exlibrisgroup.com/primo-explore/search?tab=default_tab&amp;search_scope=EVERYTHING&amp;vid=01CRU&amp;lang=en_US&amp;offset=0&amp;query=any,contains,991001702479702656","Catalog Record")</f>
        <v/>
      </c>
      <c r="AT147">
        <f>HYPERLINK("http://www.worldcat.org/oclc/42980220","WorldCat Record")</f>
        <v/>
      </c>
      <c r="AU147" t="inlineStr">
        <is>
          <t>865763008:eng</t>
        </is>
      </c>
      <c r="AV147" t="inlineStr">
        <is>
          <t>42980220</t>
        </is>
      </c>
      <c r="AW147" t="inlineStr">
        <is>
          <t>991001702479702656</t>
        </is>
      </c>
      <c r="AX147" t="inlineStr">
        <is>
          <t>991001702479702656</t>
        </is>
      </c>
      <c r="AY147" t="inlineStr">
        <is>
          <t>2260452970002656</t>
        </is>
      </c>
      <c r="AZ147" t="inlineStr">
        <is>
          <t>BOOK</t>
        </is>
      </c>
      <c r="BB147" t="inlineStr">
        <is>
          <t>9780787953485</t>
        </is>
      </c>
      <c r="BC147" t="inlineStr">
        <is>
          <t>32285004278288</t>
        </is>
      </c>
      <c r="BD147" t="inlineStr">
        <is>
          <t>893772814</t>
        </is>
      </c>
    </row>
    <row r="148">
      <c r="A148" t="inlineStr">
        <is>
          <t>No</t>
        </is>
      </c>
      <c r="B148" t="inlineStr">
        <is>
          <t>RA445 .M36 2000</t>
        </is>
      </c>
      <c r="C148" t="inlineStr">
        <is>
          <t>0                      RA 0445000M  36          2000</t>
        </is>
      </c>
      <c r="D148" t="inlineStr">
        <is>
          <t>Local public health practice : trends &amp; models / Glen P. Mays, C. Arden Miller, Paul K. Halverson.</t>
        </is>
      </c>
      <c r="F148" t="inlineStr">
        <is>
          <t>No</t>
        </is>
      </c>
      <c r="G148" t="inlineStr">
        <is>
          <t>1</t>
        </is>
      </c>
      <c r="H148" t="inlineStr">
        <is>
          <t>No</t>
        </is>
      </c>
      <c r="I148" t="inlineStr">
        <is>
          <t>No</t>
        </is>
      </c>
      <c r="J148" t="inlineStr">
        <is>
          <t>0</t>
        </is>
      </c>
      <c r="K148" t="inlineStr">
        <is>
          <t>Mays, Glen P.</t>
        </is>
      </c>
      <c r="L148" t="inlineStr">
        <is>
          <t>Washington, DC : American Public Health Association, c2000.</t>
        </is>
      </c>
      <c r="M148" t="inlineStr">
        <is>
          <t>2000</t>
        </is>
      </c>
      <c r="O148" t="inlineStr">
        <is>
          <t>eng</t>
        </is>
      </c>
      <c r="P148" t="inlineStr">
        <is>
          <t>dcu</t>
        </is>
      </c>
      <c r="R148" t="inlineStr">
        <is>
          <t xml:space="preserve">RA </t>
        </is>
      </c>
      <c r="S148" t="n">
        <v>1</v>
      </c>
      <c r="T148" t="n">
        <v>1</v>
      </c>
      <c r="U148" t="inlineStr">
        <is>
          <t>2001-07-17</t>
        </is>
      </c>
      <c r="V148" t="inlineStr">
        <is>
          <t>2001-07-17</t>
        </is>
      </c>
      <c r="W148" t="inlineStr">
        <is>
          <t>2001-07-17</t>
        </is>
      </c>
      <c r="X148" t="inlineStr">
        <is>
          <t>2001-07-17</t>
        </is>
      </c>
      <c r="Y148" t="n">
        <v>196</v>
      </c>
      <c r="Z148" t="n">
        <v>183</v>
      </c>
      <c r="AA148" t="n">
        <v>186</v>
      </c>
      <c r="AB148" t="n">
        <v>1</v>
      </c>
      <c r="AC148" t="n">
        <v>1</v>
      </c>
      <c r="AD148" t="n">
        <v>8</v>
      </c>
      <c r="AE148" t="n">
        <v>8</v>
      </c>
      <c r="AF148" t="n">
        <v>1</v>
      </c>
      <c r="AG148" t="n">
        <v>1</v>
      </c>
      <c r="AH148" t="n">
        <v>3</v>
      </c>
      <c r="AI148" t="n">
        <v>3</v>
      </c>
      <c r="AJ148" t="n">
        <v>5</v>
      </c>
      <c r="AK148" t="n">
        <v>5</v>
      </c>
      <c r="AL148" t="n">
        <v>0</v>
      </c>
      <c r="AM148" t="n">
        <v>0</v>
      </c>
      <c r="AN148" t="n">
        <v>0</v>
      </c>
      <c r="AO148" t="n">
        <v>0</v>
      </c>
      <c r="AP148" t="inlineStr">
        <is>
          <t>No</t>
        </is>
      </c>
      <c r="AQ148" t="inlineStr">
        <is>
          <t>Yes</t>
        </is>
      </c>
      <c r="AR148">
        <f>HYPERLINK("http://catalog.hathitrust.org/Record/004576182","HathiTrust Record")</f>
        <v/>
      </c>
      <c r="AS148">
        <f>HYPERLINK("https://creighton-primo.hosted.exlibrisgroup.com/primo-explore/search?tab=default_tab&amp;search_scope=EVERYTHING&amp;vid=01CRU&amp;lang=en_US&amp;offset=0&amp;query=any,contains,991003540429702656","Catalog Record")</f>
        <v/>
      </c>
      <c r="AT148">
        <f>HYPERLINK("http://www.worldcat.org/oclc/44078978","WorldCat Record")</f>
        <v/>
      </c>
      <c r="AU148" t="inlineStr">
        <is>
          <t>33513156:eng</t>
        </is>
      </c>
      <c r="AV148" t="inlineStr">
        <is>
          <t>44078978</t>
        </is>
      </c>
      <c r="AW148" t="inlineStr">
        <is>
          <t>991003540429702656</t>
        </is>
      </c>
      <c r="AX148" t="inlineStr">
        <is>
          <t>991003540429702656</t>
        </is>
      </c>
      <c r="AY148" t="inlineStr">
        <is>
          <t>2268800730002656</t>
        </is>
      </c>
      <c r="AZ148" t="inlineStr">
        <is>
          <t>BOOK</t>
        </is>
      </c>
      <c r="BB148" t="inlineStr">
        <is>
          <t>9780875532431</t>
        </is>
      </c>
      <c r="BC148" t="inlineStr">
        <is>
          <t>32285004333315</t>
        </is>
      </c>
      <c r="BD148" t="inlineStr">
        <is>
          <t>893887571</t>
        </is>
      </c>
    </row>
    <row r="149">
      <c r="A149" t="inlineStr">
        <is>
          <t>No</t>
        </is>
      </c>
      <c r="B149" t="inlineStr">
        <is>
          <t>RA445 .M37 1989</t>
        </is>
      </c>
      <c r="C149" t="inlineStr">
        <is>
          <t>0                      RA 0445000M  37          1989</t>
        </is>
      </c>
      <c r="D149" t="inlineStr">
        <is>
          <t>Painful choices : research and essays on health care / David Mechanic.</t>
        </is>
      </c>
      <c r="F149" t="inlineStr">
        <is>
          <t>No</t>
        </is>
      </c>
      <c r="G149" t="inlineStr">
        <is>
          <t>1</t>
        </is>
      </c>
      <c r="H149" t="inlineStr">
        <is>
          <t>No</t>
        </is>
      </c>
      <c r="I149" t="inlineStr">
        <is>
          <t>No</t>
        </is>
      </c>
      <c r="J149" t="inlineStr">
        <is>
          <t>0</t>
        </is>
      </c>
      <c r="K149" t="inlineStr">
        <is>
          <t>Mechanic, David, 1936-</t>
        </is>
      </c>
      <c r="L149" t="inlineStr">
        <is>
          <t>New Brunswick, U.S.A. : Transaction Publishers, c1989.</t>
        </is>
      </c>
      <c r="M149" t="inlineStr">
        <is>
          <t>1989</t>
        </is>
      </c>
      <c r="O149" t="inlineStr">
        <is>
          <t>eng</t>
        </is>
      </c>
      <c r="P149" t="inlineStr">
        <is>
          <t>nju</t>
        </is>
      </c>
      <c r="R149" t="inlineStr">
        <is>
          <t xml:space="preserve">RA </t>
        </is>
      </c>
      <c r="S149" t="n">
        <v>2</v>
      </c>
      <c r="T149" t="n">
        <v>2</v>
      </c>
      <c r="U149" t="inlineStr">
        <is>
          <t>1996-12-02</t>
        </is>
      </c>
      <c r="V149" t="inlineStr">
        <is>
          <t>1996-12-02</t>
        </is>
      </c>
      <c r="W149" t="inlineStr">
        <is>
          <t>1990-06-13</t>
        </is>
      </c>
      <c r="X149" t="inlineStr">
        <is>
          <t>1990-06-13</t>
        </is>
      </c>
      <c r="Y149" t="n">
        <v>322</v>
      </c>
      <c r="Z149" t="n">
        <v>267</v>
      </c>
      <c r="AA149" t="n">
        <v>267</v>
      </c>
      <c r="AB149" t="n">
        <v>1</v>
      </c>
      <c r="AC149" t="n">
        <v>1</v>
      </c>
      <c r="AD149" t="n">
        <v>11</v>
      </c>
      <c r="AE149" t="n">
        <v>11</v>
      </c>
      <c r="AF149" t="n">
        <v>4</v>
      </c>
      <c r="AG149" t="n">
        <v>4</v>
      </c>
      <c r="AH149" t="n">
        <v>5</v>
      </c>
      <c r="AI149" t="n">
        <v>5</v>
      </c>
      <c r="AJ149" t="n">
        <v>7</v>
      </c>
      <c r="AK149" t="n">
        <v>7</v>
      </c>
      <c r="AL149" t="n">
        <v>0</v>
      </c>
      <c r="AM149" t="n">
        <v>0</v>
      </c>
      <c r="AN149" t="n">
        <v>0</v>
      </c>
      <c r="AO149" t="n">
        <v>0</v>
      </c>
      <c r="AP149" t="inlineStr">
        <is>
          <t>No</t>
        </is>
      </c>
      <c r="AQ149" t="inlineStr">
        <is>
          <t>No</t>
        </is>
      </c>
      <c r="AS149">
        <f>HYPERLINK("https://creighton-primo.hosted.exlibrisgroup.com/primo-explore/search?tab=default_tab&amp;search_scope=EVERYTHING&amp;vid=01CRU&amp;lang=en_US&amp;offset=0&amp;query=any,contains,991001335819702656","Catalog Record")</f>
        <v/>
      </c>
      <c r="AT149">
        <f>HYPERLINK("http://www.worldcat.org/oclc/18351540","WorldCat Record")</f>
        <v/>
      </c>
      <c r="AU149" t="inlineStr">
        <is>
          <t>152293992:eng</t>
        </is>
      </c>
      <c r="AV149" t="inlineStr">
        <is>
          <t>18351540</t>
        </is>
      </c>
      <c r="AW149" t="inlineStr">
        <is>
          <t>991001335819702656</t>
        </is>
      </c>
      <c r="AX149" t="inlineStr">
        <is>
          <t>991001335819702656</t>
        </is>
      </c>
      <c r="AY149" t="inlineStr">
        <is>
          <t>2265804030002656</t>
        </is>
      </c>
      <c r="AZ149" t="inlineStr">
        <is>
          <t>BOOK</t>
        </is>
      </c>
      <c r="BB149" t="inlineStr">
        <is>
          <t>9780887382581</t>
        </is>
      </c>
      <c r="BC149" t="inlineStr">
        <is>
          <t>32285000176650</t>
        </is>
      </c>
      <c r="BD149" t="inlineStr">
        <is>
          <t>893590205</t>
        </is>
      </c>
    </row>
    <row r="150">
      <c r="A150" t="inlineStr">
        <is>
          <t>No</t>
        </is>
      </c>
      <c r="B150" t="inlineStr">
        <is>
          <t>RA445 .N36 1994</t>
        </is>
      </c>
      <c r="C150" t="inlineStr">
        <is>
          <t>0                      RA 0445000N  36          1994</t>
        </is>
      </c>
      <c r="D150" t="inlineStr">
        <is>
          <t>The Nation's health / edited by Philip R. Lee, Carroll L. Estes ; Nancy Ramsay, associate editor.</t>
        </is>
      </c>
      <c r="F150" t="inlineStr">
        <is>
          <t>No</t>
        </is>
      </c>
      <c r="G150" t="inlineStr">
        <is>
          <t>1</t>
        </is>
      </c>
      <c r="H150" t="inlineStr">
        <is>
          <t>No</t>
        </is>
      </c>
      <c r="I150" t="inlineStr">
        <is>
          <t>Yes</t>
        </is>
      </c>
      <c r="J150" t="inlineStr">
        <is>
          <t>0</t>
        </is>
      </c>
      <c r="L150" t="inlineStr">
        <is>
          <t>Boston : Jones and Bartlett, c1994.</t>
        </is>
      </c>
      <c r="M150" t="inlineStr">
        <is>
          <t>1994</t>
        </is>
      </c>
      <c r="N150" t="inlineStr">
        <is>
          <t>4th ed.</t>
        </is>
      </c>
      <c r="O150" t="inlineStr">
        <is>
          <t>eng</t>
        </is>
      </c>
      <c r="P150" t="inlineStr">
        <is>
          <t>mau</t>
        </is>
      </c>
      <c r="Q150" t="inlineStr">
        <is>
          <t>The Jones and Bartlett series in health sciences</t>
        </is>
      </c>
      <c r="R150" t="inlineStr">
        <is>
          <t xml:space="preserve">RA </t>
        </is>
      </c>
      <c r="S150" t="n">
        <v>44</v>
      </c>
      <c r="T150" t="n">
        <v>44</v>
      </c>
      <c r="U150" t="inlineStr">
        <is>
          <t>2010-04-22</t>
        </is>
      </c>
      <c r="V150" t="inlineStr">
        <is>
          <t>2010-04-22</t>
        </is>
      </c>
      <c r="W150" t="inlineStr">
        <is>
          <t>1998-06-15</t>
        </is>
      </c>
      <c r="X150" t="inlineStr">
        <is>
          <t>1998-06-15</t>
        </is>
      </c>
      <c r="Y150" t="n">
        <v>315</v>
      </c>
      <c r="Z150" t="n">
        <v>291</v>
      </c>
      <c r="AA150" t="n">
        <v>1279</v>
      </c>
      <c r="AB150" t="n">
        <v>2</v>
      </c>
      <c r="AC150" t="n">
        <v>12</v>
      </c>
      <c r="AD150" t="n">
        <v>7</v>
      </c>
      <c r="AE150" t="n">
        <v>40</v>
      </c>
      <c r="AF150" t="n">
        <v>2</v>
      </c>
      <c r="AG150" t="n">
        <v>15</v>
      </c>
      <c r="AH150" t="n">
        <v>2</v>
      </c>
      <c r="AI150" t="n">
        <v>9</v>
      </c>
      <c r="AJ150" t="n">
        <v>4</v>
      </c>
      <c r="AK150" t="n">
        <v>15</v>
      </c>
      <c r="AL150" t="n">
        <v>0</v>
      </c>
      <c r="AM150" t="n">
        <v>8</v>
      </c>
      <c r="AN150" t="n">
        <v>1</v>
      </c>
      <c r="AO150" t="n">
        <v>1</v>
      </c>
      <c r="AP150" t="inlineStr">
        <is>
          <t>No</t>
        </is>
      </c>
      <c r="AQ150" t="inlineStr">
        <is>
          <t>Yes</t>
        </is>
      </c>
      <c r="AR150">
        <f>HYPERLINK("http://catalog.hathitrust.org/Record/002893466","HathiTrust Record")</f>
        <v/>
      </c>
      <c r="AS150">
        <f>HYPERLINK("https://creighton-primo.hosted.exlibrisgroup.com/primo-explore/search?tab=default_tab&amp;search_scope=EVERYTHING&amp;vid=01CRU&amp;lang=en_US&amp;offset=0&amp;query=any,contains,991002255229702656","Catalog Record")</f>
        <v/>
      </c>
      <c r="AT150">
        <f>HYPERLINK("http://www.worldcat.org/oclc/29220656","WorldCat Record")</f>
        <v/>
      </c>
      <c r="AU150" t="inlineStr">
        <is>
          <t>502773115:eng</t>
        </is>
      </c>
      <c r="AV150" t="inlineStr">
        <is>
          <t>29220656</t>
        </is>
      </c>
      <c r="AW150" t="inlineStr">
        <is>
          <t>991002255229702656</t>
        </is>
      </c>
      <c r="AX150" t="inlineStr">
        <is>
          <t>991002255229702656</t>
        </is>
      </c>
      <c r="AY150" t="inlineStr">
        <is>
          <t>2272465080002656</t>
        </is>
      </c>
      <c r="AZ150" t="inlineStr">
        <is>
          <t>BOOK</t>
        </is>
      </c>
      <c r="BB150" t="inlineStr">
        <is>
          <t>9780867208405</t>
        </is>
      </c>
      <c r="BC150" t="inlineStr">
        <is>
          <t>32285003420428</t>
        </is>
      </c>
      <c r="BD150" t="inlineStr">
        <is>
          <t>893316578</t>
        </is>
      </c>
    </row>
    <row r="151">
      <c r="A151" t="inlineStr">
        <is>
          <t>No</t>
        </is>
      </c>
      <c r="B151" t="inlineStr">
        <is>
          <t>RA445 .S46 1991</t>
        </is>
      </c>
      <c r="C151" t="inlineStr">
        <is>
          <t>0                      RA 0445000S  46          1991</t>
        </is>
      </c>
      <c r="D151" t="inlineStr">
        <is>
          <t>Curing U.S. health care ills / by Bert Seidman.</t>
        </is>
      </c>
      <c r="F151" t="inlineStr">
        <is>
          <t>No</t>
        </is>
      </c>
      <c r="G151" t="inlineStr">
        <is>
          <t>1</t>
        </is>
      </c>
      <c r="H151" t="inlineStr">
        <is>
          <t>No</t>
        </is>
      </c>
      <c r="I151" t="inlineStr">
        <is>
          <t>No</t>
        </is>
      </c>
      <c r="J151" t="inlineStr">
        <is>
          <t>0</t>
        </is>
      </c>
      <c r="K151" t="inlineStr">
        <is>
          <t>Seidman, Bert.</t>
        </is>
      </c>
      <c r="L151" t="inlineStr">
        <is>
          <t>Washington, D.C. : National Planning Association, c1991.</t>
        </is>
      </c>
      <c r="M151" t="inlineStr">
        <is>
          <t>1991</t>
        </is>
      </c>
      <c r="O151" t="inlineStr">
        <is>
          <t>eng</t>
        </is>
      </c>
      <c r="P151" t="inlineStr">
        <is>
          <t>dcu</t>
        </is>
      </c>
      <c r="Q151" t="inlineStr">
        <is>
          <t>NAR report ; no. 6</t>
        </is>
      </c>
      <c r="R151" t="inlineStr">
        <is>
          <t xml:space="preserve">RA </t>
        </is>
      </c>
      <c r="S151" t="n">
        <v>7</v>
      </c>
      <c r="T151" t="n">
        <v>7</v>
      </c>
      <c r="U151" t="inlineStr">
        <is>
          <t>1997-08-07</t>
        </is>
      </c>
      <c r="V151" t="inlineStr">
        <is>
          <t>1997-08-07</t>
        </is>
      </c>
      <c r="W151" t="inlineStr">
        <is>
          <t>1991-10-10</t>
        </is>
      </c>
      <c r="X151" t="inlineStr">
        <is>
          <t>1991-10-10</t>
        </is>
      </c>
      <c r="Y151" t="n">
        <v>166</v>
      </c>
      <c r="Z151" t="n">
        <v>157</v>
      </c>
      <c r="AA151" t="n">
        <v>157</v>
      </c>
      <c r="AB151" t="n">
        <v>1</v>
      </c>
      <c r="AC151" t="n">
        <v>1</v>
      </c>
      <c r="AD151" t="n">
        <v>5</v>
      </c>
      <c r="AE151" t="n">
        <v>5</v>
      </c>
      <c r="AF151" t="n">
        <v>0</v>
      </c>
      <c r="AG151" t="n">
        <v>0</v>
      </c>
      <c r="AH151" t="n">
        <v>2</v>
      </c>
      <c r="AI151" t="n">
        <v>2</v>
      </c>
      <c r="AJ151" t="n">
        <v>4</v>
      </c>
      <c r="AK151" t="n">
        <v>4</v>
      </c>
      <c r="AL151" t="n">
        <v>0</v>
      </c>
      <c r="AM151" t="n">
        <v>0</v>
      </c>
      <c r="AN151" t="n">
        <v>0</v>
      </c>
      <c r="AO151" t="n">
        <v>0</v>
      </c>
      <c r="AP151" t="inlineStr">
        <is>
          <t>No</t>
        </is>
      </c>
      <c r="AQ151" t="inlineStr">
        <is>
          <t>No</t>
        </is>
      </c>
      <c r="AS151">
        <f>HYPERLINK("https://creighton-primo.hosted.exlibrisgroup.com/primo-explore/search?tab=default_tab&amp;search_scope=EVERYTHING&amp;vid=01CRU&amp;lang=en_US&amp;offset=0&amp;query=any,contains,991001932729702656","Catalog Record")</f>
        <v/>
      </c>
      <c r="AT151">
        <f>HYPERLINK("http://www.worldcat.org/oclc/24394803","WorldCat Record")</f>
        <v/>
      </c>
      <c r="AU151" t="inlineStr">
        <is>
          <t>5610612442:eng</t>
        </is>
      </c>
      <c r="AV151" t="inlineStr">
        <is>
          <t>24394803</t>
        </is>
      </c>
      <c r="AW151" t="inlineStr">
        <is>
          <t>991001932729702656</t>
        </is>
      </c>
      <c r="AX151" t="inlineStr">
        <is>
          <t>991001932729702656</t>
        </is>
      </c>
      <c r="AY151" t="inlineStr">
        <is>
          <t>2258448140002656</t>
        </is>
      </c>
      <c r="AZ151" t="inlineStr">
        <is>
          <t>BOOK</t>
        </is>
      </c>
      <c r="BB151" t="inlineStr">
        <is>
          <t>9780890681084</t>
        </is>
      </c>
      <c r="BC151" t="inlineStr">
        <is>
          <t>32285000744887</t>
        </is>
      </c>
      <c r="BD151" t="inlineStr">
        <is>
          <t>893340848</t>
        </is>
      </c>
    </row>
    <row r="152">
      <c r="A152" t="inlineStr">
        <is>
          <t>No</t>
        </is>
      </c>
      <c r="B152" t="inlineStr">
        <is>
          <t>RA445 .S686 1999</t>
        </is>
      </c>
      <c r="C152" t="inlineStr">
        <is>
          <t>0                      RA 0445000S  686         1999</t>
        </is>
      </c>
      <c r="D152" t="inlineStr">
        <is>
          <t>Special populations in the community : advances in reducing health disparities / editors, Juliann G. Sebastian, Angeline Bushy.</t>
        </is>
      </c>
      <c r="F152" t="inlineStr">
        <is>
          <t>No</t>
        </is>
      </c>
      <c r="G152" t="inlineStr">
        <is>
          <t>1</t>
        </is>
      </c>
      <c r="H152" t="inlineStr">
        <is>
          <t>No</t>
        </is>
      </c>
      <c r="I152" t="inlineStr">
        <is>
          <t>No</t>
        </is>
      </c>
      <c r="J152" t="inlineStr">
        <is>
          <t>0</t>
        </is>
      </c>
      <c r="L152" t="inlineStr">
        <is>
          <t>Gaithersburg, MD : Aspen Publishers, 1999.</t>
        </is>
      </c>
      <c r="M152" t="inlineStr">
        <is>
          <t>1999</t>
        </is>
      </c>
      <c r="O152" t="inlineStr">
        <is>
          <t>eng</t>
        </is>
      </c>
      <c r="P152" t="inlineStr">
        <is>
          <t>mdu</t>
        </is>
      </c>
      <c r="R152" t="inlineStr">
        <is>
          <t xml:space="preserve">RA </t>
        </is>
      </c>
      <c r="S152" t="n">
        <v>2</v>
      </c>
      <c r="T152" t="n">
        <v>2</v>
      </c>
      <c r="U152" t="inlineStr">
        <is>
          <t>2001-03-26</t>
        </is>
      </c>
      <c r="V152" t="inlineStr">
        <is>
          <t>2001-03-26</t>
        </is>
      </c>
      <c r="W152" t="inlineStr">
        <is>
          <t>2000-09-12</t>
        </is>
      </c>
      <c r="X152" t="inlineStr">
        <is>
          <t>2000-09-12</t>
        </is>
      </c>
      <c r="Y152" t="n">
        <v>258</v>
      </c>
      <c r="Z152" t="n">
        <v>243</v>
      </c>
      <c r="AA152" t="n">
        <v>248</v>
      </c>
      <c r="AB152" t="n">
        <v>2</v>
      </c>
      <c r="AC152" t="n">
        <v>2</v>
      </c>
      <c r="AD152" t="n">
        <v>10</v>
      </c>
      <c r="AE152" t="n">
        <v>10</v>
      </c>
      <c r="AF152" t="n">
        <v>4</v>
      </c>
      <c r="AG152" t="n">
        <v>4</v>
      </c>
      <c r="AH152" t="n">
        <v>0</v>
      </c>
      <c r="AI152" t="n">
        <v>0</v>
      </c>
      <c r="AJ152" t="n">
        <v>6</v>
      </c>
      <c r="AK152" t="n">
        <v>6</v>
      </c>
      <c r="AL152" t="n">
        <v>1</v>
      </c>
      <c r="AM152" t="n">
        <v>1</v>
      </c>
      <c r="AN152" t="n">
        <v>0</v>
      </c>
      <c r="AO152" t="n">
        <v>0</v>
      </c>
      <c r="AP152" t="inlineStr">
        <is>
          <t>No</t>
        </is>
      </c>
      <c r="AQ152" t="inlineStr">
        <is>
          <t>No</t>
        </is>
      </c>
      <c r="AS152">
        <f>HYPERLINK("https://creighton-primo.hosted.exlibrisgroup.com/primo-explore/search?tab=default_tab&amp;search_scope=EVERYTHING&amp;vid=01CRU&amp;lang=en_US&amp;offset=0&amp;query=any,contains,991003239079702656","Catalog Record")</f>
        <v/>
      </c>
      <c r="AT152">
        <f>HYPERLINK("http://www.worldcat.org/oclc/41319959","WorldCat Record")</f>
        <v/>
      </c>
      <c r="AU152" t="inlineStr">
        <is>
          <t>1780114348:eng</t>
        </is>
      </c>
      <c r="AV152" t="inlineStr">
        <is>
          <t>41319959</t>
        </is>
      </c>
      <c r="AW152" t="inlineStr">
        <is>
          <t>991003239079702656</t>
        </is>
      </c>
      <c r="AX152" t="inlineStr">
        <is>
          <t>991003239079702656</t>
        </is>
      </c>
      <c r="AY152" t="inlineStr">
        <is>
          <t>2267597360002656</t>
        </is>
      </c>
      <c r="AZ152" t="inlineStr">
        <is>
          <t>BOOK</t>
        </is>
      </c>
      <c r="BB152" t="inlineStr">
        <is>
          <t>9780834213647</t>
        </is>
      </c>
      <c r="BC152" t="inlineStr">
        <is>
          <t>32285003761573</t>
        </is>
      </c>
      <c r="BD152" t="inlineStr">
        <is>
          <t>893899754</t>
        </is>
      </c>
    </row>
    <row r="153">
      <c r="A153" t="inlineStr">
        <is>
          <t>No</t>
        </is>
      </c>
      <c r="B153" t="inlineStr">
        <is>
          <t>RA445 .S95 1987</t>
        </is>
      </c>
      <c r="C153" t="inlineStr">
        <is>
          <t>0                      RA 0445000S  95          1987</t>
        </is>
      </c>
      <c r="D153" t="inlineStr">
        <is>
          <t>Swing beds : assessing flexible health care in rural communities : papers / by Joshua M. Wiener ... [et al.] presented at a conference at the Brookings Institution, February 24, 1986 ; edited by Joshua M. Wiener.</t>
        </is>
      </c>
      <c r="F153" t="inlineStr">
        <is>
          <t>No</t>
        </is>
      </c>
      <c r="G153" t="inlineStr">
        <is>
          <t>1</t>
        </is>
      </c>
      <c r="H153" t="inlineStr">
        <is>
          <t>No</t>
        </is>
      </c>
      <c r="I153" t="inlineStr">
        <is>
          <t>No</t>
        </is>
      </c>
      <c r="J153" t="inlineStr">
        <is>
          <t>0</t>
        </is>
      </c>
      <c r="L153" t="inlineStr">
        <is>
          <t>Washington, D.C. : Brookings Institution, c1987.</t>
        </is>
      </c>
      <c r="M153" t="inlineStr">
        <is>
          <t>1987</t>
        </is>
      </c>
      <c r="O153" t="inlineStr">
        <is>
          <t>eng</t>
        </is>
      </c>
      <c r="P153" t="inlineStr">
        <is>
          <t>dcu</t>
        </is>
      </c>
      <c r="Q153" t="inlineStr">
        <is>
          <t>Brookings dialogues on public policy</t>
        </is>
      </c>
      <c r="R153" t="inlineStr">
        <is>
          <t xml:space="preserve">RA </t>
        </is>
      </c>
      <c r="S153" t="n">
        <v>2</v>
      </c>
      <c r="T153" t="n">
        <v>2</v>
      </c>
      <c r="U153" t="inlineStr">
        <is>
          <t>1995-12-03</t>
        </is>
      </c>
      <c r="V153" t="inlineStr">
        <is>
          <t>1995-12-03</t>
        </is>
      </c>
      <c r="W153" t="inlineStr">
        <is>
          <t>1993-03-11</t>
        </is>
      </c>
      <c r="X153" t="inlineStr">
        <is>
          <t>1993-03-11</t>
        </is>
      </c>
      <c r="Y153" t="n">
        <v>331</v>
      </c>
      <c r="Z153" t="n">
        <v>291</v>
      </c>
      <c r="AA153" t="n">
        <v>292</v>
      </c>
      <c r="AB153" t="n">
        <v>2</v>
      </c>
      <c r="AC153" t="n">
        <v>2</v>
      </c>
      <c r="AD153" t="n">
        <v>10</v>
      </c>
      <c r="AE153" t="n">
        <v>10</v>
      </c>
      <c r="AF153" t="n">
        <v>2</v>
      </c>
      <c r="AG153" t="n">
        <v>2</v>
      </c>
      <c r="AH153" t="n">
        <v>2</v>
      </c>
      <c r="AI153" t="n">
        <v>2</v>
      </c>
      <c r="AJ153" t="n">
        <v>5</v>
      </c>
      <c r="AK153" t="n">
        <v>5</v>
      </c>
      <c r="AL153" t="n">
        <v>1</v>
      </c>
      <c r="AM153" t="n">
        <v>1</v>
      </c>
      <c r="AN153" t="n">
        <v>3</v>
      </c>
      <c r="AO153" t="n">
        <v>3</v>
      </c>
      <c r="AP153" t="inlineStr">
        <is>
          <t>No</t>
        </is>
      </c>
      <c r="AQ153" t="inlineStr">
        <is>
          <t>Yes</t>
        </is>
      </c>
      <c r="AR153">
        <f>HYPERLINK("http://catalog.hathitrust.org/Record/000824833","HathiTrust Record")</f>
        <v/>
      </c>
      <c r="AS153">
        <f>HYPERLINK("https://creighton-primo.hosted.exlibrisgroup.com/primo-explore/search?tab=default_tab&amp;search_scope=EVERYTHING&amp;vid=01CRU&amp;lang=en_US&amp;offset=0&amp;query=any,contains,991001012589702656","Catalog Record")</f>
        <v/>
      </c>
      <c r="AT153">
        <f>HYPERLINK("http://www.worldcat.org/oclc/15288369","WorldCat Record")</f>
        <v/>
      </c>
      <c r="AU153" t="inlineStr">
        <is>
          <t>3901141956:eng</t>
        </is>
      </c>
      <c r="AV153" t="inlineStr">
        <is>
          <t>15288369</t>
        </is>
      </c>
      <c r="AW153" t="inlineStr">
        <is>
          <t>991001012589702656</t>
        </is>
      </c>
      <c r="AX153" t="inlineStr">
        <is>
          <t>991001012589702656</t>
        </is>
      </c>
      <c r="AY153" t="inlineStr">
        <is>
          <t>2263192840002656</t>
        </is>
      </c>
      <c r="AZ153" t="inlineStr">
        <is>
          <t>BOOK</t>
        </is>
      </c>
      <c r="BB153" t="inlineStr">
        <is>
          <t>9780815792833</t>
        </is>
      </c>
      <c r="BC153" t="inlineStr">
        <is>
          <t>32285001587095</t>
        </is>
      </c>
      <c r="BD153" t="inlineStr">
        <is>
          <t>893702655</t>
        </is>
      </c>
    </row>
    <row r="154">
      <c r="A154" t="inlineStr">
        <is>
          <t>No</t>
        </is>
      </c>
      <c r="B154" t="inlineStr">
        <is>
          <t>RA448.5.H38 B87 1993</t>
        </is>
      </c>
      <c r="C154" t="inlineStr">
        <is>
          <t>0                      RA 0448500H  38                 B  87          1993</t>
        </is>
      </c>
      <c r="D154" t="inlineStr">
        <is>
          <t>The gifts of civilization : germs and genocide in Hawaiʻi / O.A. Bushnell.</t>
        </is>
      </c>
      <c r="F154" t="inlineStr">
        <is>
          <t>No</t>
        </is>
      </c>
      <c r="G154" t="inlineStr">
        <is>
          <t>1</t>
        </is>
      </c>
      <c r="H154" t="inlineStr">
        <is>
          <t>No</t>
        </is>
      </c>
      <c r="I154" t="inlineStr">
        <is>
          <t>No</t>
        </is>
      </c>
      <c r="J154" t="inlineStr">
        <is>
          <t>0</t>
        </is>
      </c>
      <c r="K154" t="inlineStr">
        <is>
          <t>Bushnell, O. A., 1913-2002.</t>
        </is>
      </c>
      <c r="L154" t="inlineStr">
        <is>
          <t>Honolulu : University of Hawaii Press, c1993.</t>
        </is>
      </c>
      <c r="M154" t="inlineStr">
        <is>
          <t>1993</t>
        </is>
      </c>
      <c r="O154" t="inlineStr">
        <is>
          <t>eng</t>
        </is>
      </c>
      <c r="P154" t="inlineStr">
        <is>
          <t>hiu</t>
        </is>
      </c>
      <c r="R154" t="inlineStr">
        <is>
          <t xml:space="preserve">RA </t>
        </is>
      </c>
      <c r="S154" t="n">
        <v>2</v>
      </c>
      <c r="T154" t="n">
        <v>2</v>
      </c>
      <c r="U154" t="inlineStr">
        <is>
          <t>2002-09-21</t>
        </is>
      </c>
      <c r="V154" t="inlineStr">
        <is>
          <t>2002-09-21</t>
        </is>
      </c>
      <c r="W154" t="inlineStr">
        <is>
          <t>1994-03-11</t>
        </is>
      </c>
      <c r="X154" t="inlineStr">
        <is>
          <t>1994-03-11</t>
        </is>
      </c>
      <c r="Y154" t="n">
        <v>275</v>
      </c>
      <c r="Z154" t="n">
        <v>216</v>
      </c>
      <c r="AA154" t="n">
        <v>542</v>
      </c>
      <c r="AB154" t="n">
        <v>1</v>
      </c>
      <c r="AC154" t="n">
        <v>2</v>
      </c>
      <c r="AD154" t="n">
        <v>8</v>
      </c>
      <c r="AE154" t="n">
        <v>10</v>
      </c>
      <c r="AF154" t="n">
        <v>0</v>
      </c>
      <c r="AG154" t="n">
        <v>1</v>
      </c>
      <c r="AH154" t="n">
        <v>4</v>
      </c>
      <c r="AI154" t="n">
        <v>4</v>
      </c>
      <c r="AJ154" t="n">
        <v>5</v>
      </c>
      <c r="AK154" t="n">
        <v>6</v>
      </c>
      <c r="AL154" t="n">
        <v>0</v>
      </c>
      <c r="AM154" t="n">
        <v>1</v>
      </c>
      <c r="AN154" t="n">
        <v>1</v>
      </c>
      <c r="AO154" t="n">
        <v>1</v>
      </c>
      <c r="AP154" t="inlineStr">
        <is>
          <t>No</t>
        </is>
      </c>
      <c r="AQ154" t="inlineStr">
        <is>
          <t>No</t>
        </is>
      </c>
      <c r="AS154">
        <f>HYPERLINK("https://creighton-primo.hosted.exlibrisgroup.com/primo-explore/search?tab=default_tab&amp;search_scope=EVERYTHING&amp;vid=01CRU&amp;lang=en_US&amp;offset=0&amp;query=any,contains,991002130399702656","Catalog Record")</f>
        <v/>
      </c>
      <c r="AT154">
        <f>HYPERLINK("http://www.worldcat.org/oclc/27267250","WorldCat Record")</f>
        <v/>
      </c>
      <c r="AU154" t="inlineStr">
        <is>
          <t>356557:eng</t>
        </is>
      </c>
      <c r="AV154" t="inlineStr">
        <is>
          <t>27267250</t>
        </is>
      </c>
      <c r="AW154" t="inlineStr">
        <is>
          <t>991002130399702656</t>
        </is>
      </c>
      <c r="AX154" t="inlineStr">
        <is>
          <t>991002130399702656</t>
        </is>
      </c>
      <c r="AY154" t="inlineStr">
        <is>
          <t>2268823500002656</t>
        </is>
      </c>
      <c r="AZ154" t="inlineStr">
        <is>
          <t>BOOK</t>
        </is>
      </c>
      <c r="BB154" t="inlineStr">
        <is>
          <t>9780824814571</t>
        </is>
      </c>
      <c r="BC154" t="inlineStr">
        <is>
          <t>32285001861599</t>
        </is>
      </c>
      <c r="BD154" t="inlineStr">
        <is>
          <t>893609503</t>
        </is>
      </c>
    </row>
    <row r="155">
      <c r="A155" t="inlineStr">
        <is>
          <t>No</t>
        </is>
      </c>
      <c r="B155" t="inlineStr">
        <is>
          <t>RA448.5.I5 L89 2001</t>
        </is>
      </c>
      <c r="C155" t="inlineStr">
        <is>
          <t>0                      RA 0448500I  5                  L  89          2001</t>
        </is>
      </c>
      <c r="D155" t="inlineStr">
        <is>
          <t>Medicine that walks : disease, medicine, and Canadian Plains native people, 1880-1940 / Maureen K. Lux.</t>
        </is>
      </c>
      <c r="F155" t="inlineStr">
        <is>
          <t>No</t>
        </is>
      </c>
      <c r="G155" t="inlineStr">
        <is>
          <t>1</t>
        </is>
      </c>
      <c r="H155" t="inlineStr">
        <is>
          <t>No</t>
        </is>
      </c>
      <c r="I155" t="inlineStr">
        <is>
          <t>No</t>
        </is>
      </c>
      <c r="J155" t="inlineStr">
        <is>
          <t>0</t>
        </is>
      </c>
      <c r="K155" t="inlineStr">
        <is>
          <t>Lux, Maureen K. (Maureen Katherine), 1956-</t>
        </is>
      </c>
      <c r="L155" t="inlineStr">
        <is>
          <t>Toronto ; Buffalo : University of Toronto Press, c2001.</t>
        </is>
      </c>
      <c r="M155" t="inlineStr">
        <is>
          <t>2001</t>
        </is>
      </c>
      <c r="O155" t="inlineStr">
        <is>
          <t>eng</t>
        </is>
      </c>
      <c r="P155" t="inlineStr">
        <is>
          <t>onc</t>
        </is>
      </c>
      <c r="R155" t="inlineStr">
        <is>
          <t xml:space="preserve">RA </t>
        </is>
      </c>
      <c r="S155" t="n">
        <v>5</v>
      </c>
      <c r="T155" t="n">
        <v>5</v>
      </c>
      <c r="U155" t="inlineStr">
        <is>
          <t>2009-11-24</t>
        </is>
      </c>
      <c r="V155" t="inlineStr">
        <is>
          <t>2009-11-24</t>
        </is>
      </c>
      <c r="W155" t="inlineStr">
        <is>
          <t>2002-10-16</t>
        </is>
      </c>
      <c r="X155" t="inlineStr">
        <is>
          <t>2002-10-16</t>
        </is>
      </c>
      <c r="Y155" t="n">
        <v>360</v>
      </c>
      <c r="Z155" t="n">
        <v>242</v>
      </c>
      <c r="AA155" t="n">
        <v>265</v>
      </c>
      <c r="AB155" t="n">
        <v>2</v>
      </c>
      <c r="AC155" t="n">
        <v>2</v>
      </c>
      <c r="AD155" t="n">
        <v>12</v>
      </c>
      <c r="AE155" t="n">
        <v>12</v>
      </c>
      <c r="AF155" t="n">
        <v>4</v>
      </c>
      <c r="AG155" t="n">
        <v>4</v>
      </c>
      <c r="AH155" t="n">
        <v>5</v>
      </c>
      <c r="AI155" t="n">
        <v>5</v>
      </c>
      <c r="AJ155" t="n">
        <v>4</v>
      </c>
      <c r="AK155" t="n">
        <v>4</v>
      </c>
      <c r="AL155" t="n">
        <v>1</v>
      </c>
      <c r="AM155" t="n">
        <v>1</v>
      </c>
      <c r="AN155" t="n">
        <v>1</v>
      </c>
      <c r="AO155" t="n">
        <v>1</v>
      </c>
      <c r="AP155" t="inlineStr">
        <is>
          <t>No</t>
        </is>
      </c>
      <c r="AQ155" t="inlineStr">
        <is>
          <t>No</t>
        </is>
      </c>
      <c r="AS155">
        <f>HYPERLINK("https://creighton-primo.hosted.exlibrisgroup.com/primo-explore/search?tab=default_tab&amp;search_scope=EVERYTHING&amp;vid=01CRU&amp;lang=en_US&amp;offset=0&amp;query=any,contains,991003893349702656","Catalog Record")</f>
        <v/>
      </c>
      <c r="AT155">
        <f>HYPERLINK("http://www.worldcat.org/oclc/46616036","WorldCat Record")</f>
        <v/>
      </c>
      <c r="AU155" t="inlineStr">
        <is>
          <t>35810334:eng</t>
        </is>
      </c>
      <c r="AV155" t="inlineStr">
        <is>
          <t>46616036</t>
        </is>
      </c>
      <c r="AW155" t="inlineStr">
        <is>
          <t>991003893349702656</t>
        </is>
      </c>
      <c r="AX155" t="inlineStr">
        <is>
          <t>991003893349702656</t>
        </is>
      </c>
      <c r="AY155" t="inlineStr">
        <is>
          <t>2269653870002656</t>
        </is>
      </c>
      <c r="AZ155" t="inlineStr">
        <is>
          <t>BOOK</t>
        </is>
      </c>
      <c r="BB155" t="inlineStr">
        <is>
          <t>9780802047281</t>
        </is>
      </c>
      <c r="BC155" t="inlineStr">
        <is>
          <t>32285004655071</t>
        </is>
      </c>
      <c r="BD155" t="inlineStr">
        <is>
          <t>893259061</t>
        </is>
      </c>
    </row>
    <row r="156">
      <c r="A156" t="inlineStr">
        <is>
          <t>No</t>
        </is>
      </c>
      <c r="B156" t="inlineStr">
        <is>
          <t>RA448.5.M4 R66</t>
        </is>
      </c>
      <c r="C156" t="inlineStr">
        <is>
          <t>0                      RA 0448500M  4                  R  66</t>
        </is>
      </c>
      <c r="D156" t="inlineStr">
        <is>
          <t>Disease beliefs in Mexican-American communities / Linda C. Rose.</t>
        </is>
      </c>
      <c r="F156" t="inlineStr">
        <is>
          <t>No</t>
        </is>
      </c>
      <c r="G156" t="inlineStr">
        <is>
          <t>1</t>
        </is>
      </c>
      <c r="H156" t="inlineStr">
        <is>
          <t>No</t>
        </is>
      </c>
      <c r="I156" t="inlineStr">
        <is>
          <t>No</t>
        </is>
      </c>
      <c r="J156" t="inlineStr">
        <is>
          <t>0</t>
        </is>
      </c>
      <c r="K156" t="inlineStr">
        <is>
          <t>Rose, Linda C.</t>
        </is>
      </c>
      <c r="L156" t="inlineStr">
        <is>
          <t>San Francisco : R &amp; E Research Associates, 1978.</t>
        </is>
      </c>
      <c r="M156" t="inlineStr">
        <is>
          <t>1978</t>
        </is>
      </c>
      <c r="O156" t="inlineStr">
        <is>
          <t>eng</t>
        </is>
      </c>
      <c r="P156" t="inlineStr">
        <is>
          <t>cau</t>
        </is>
      </c>
      <c r="R156" t="inlineStr">
        <is>
          <t xml:space="preserve">RA </t>
        </is>
      </c>
      <c r="S156" t="n">
        <v>2</v>
      </c>
      <c r="T156" t="n">
        <v>2</v>
      </c>
      <c r="U156" t="inlineStr">
        <is>
          <t>1999-02-03</t>
        </is>
      </c>
      <c r="V156" t="inlineStr">
        <is>
          <t>1999-02-03</t>
        </is>
      </c>
      <c r="W156" t="inlineStr">
        <is>
          <t>1993-03-11</t>
        </is>
      </c>
      <c r="X156" t="inlineStr">
        <is>
          <t>1993-03-11</t>
        </is>
      </c>
      <c r="Y156" t="n">
        <v>184</v>
      </c>
      <c r="Z156" t="n">
        <v>174</v>
      </c>
      <c r="AA156" t="n">
        <v>177</v>
      </c>
      <c r="AB156" t="n">
        <v>2</v>
      </c>
      <c r="AC156" t="n">
        <v>2</v>
      </c>
      <c r="AD156" t="n">
        <v>4</v>
      </c>
      <c r="AE156" t="n">
        <v>4</v>
      </c>
      <c r="AF156" t="n">
        <v>1</v>
      </c>
      <c r="AG156" t="n">
        <v>1</v>
      </c>
      <c r="AH156" t="n">
        <v>0</v>
      </c>
      <c r="AI156" t="n">
        <v>0</v>
      </c>
      <c r="AJ156" t="n">
        <v>2</v>
      </c>
      <c r="AK156" t="n">
        <v>2</v>
      </c>
      <c r="AL156" t="n">
        <v>1</v>
      </c>
      <c r="AM156" t="n">
        <v>1</v>
      </c>
      <c r="AN156" t="n">
        <v>0</v>
      </c>
      <c r="AO156" t="n">
        <v>0</v>
      </c>
      <c r="AP156" t="inlineStr">
        <is>
          <t>No</t>
        </is>
      </c>
      <c r="AQ156" t="inlineStr">
        <is>
          <t>Yes</t>
        </is>
      </c>
      <c r="AR156">
        <f>HYPERLINK("http://catalog.hathitrust.org/Record/000297012","HathiTrust Record")</f>
        <v/>
      </c>
      <c r="AS156">
        <f>HYPERLINK("https://creighton-primo.hosted.exlibrisgroup.com/primo-explore/search?tab=default_tab&amp;search_scope=EVERYTHING&amp;vid=01CRU&amp;lang=en_US&amp;offset=0&amp;query=any,contains,991004708289702656","Catalog Record")</f>
        <v/>
      </c>
      <c r="AT156">
        <f>HYPERLINK("http://www.worldcat.org/oclc/4732406","WorldCat Record")</f>
        <v/>
      </c>
      <c r="AU156" t="inlineStr">
        <is>
          <t>541903:eng</t>
        </is>
      </c>
      <c r="AV156" t="inlineStr">
        <is>
          <t>4732406</t>
        </is>
      </c>
      <c r="AW156" t="inlineStr">
        <is>
          <t>991004708289702656</t>
        </is>
      </c>
      <c r="AX156" t="inlineStr">
        <is>
          <t>991004708289702656</t>
        </is>
      </c>
      <c r="AY156" t="inlineStr">
        <is>
          <t>2258324190002656</t>
        </is>
      </c>
      <c r="AZ156" t="inlineStr">
        <is>
          <t>BOOK</t>
        </is>
      </c>
      <c r="BB156" t="inlineStr">
        <is>
          <t>9780882475196</t>
        </is>
      </c>
      <c r="BC156" t="inlineStr">
        <is>
          <t>32285001587137</t>
        </is>
      </c>
      <c r="BD156" t="inlineStr">
        <is>
          <t>893229734</t>
        </is>
      </c>
    </row>
    <row r="157">
      <c r="A157" t="inlineStr">
        <is>
          <t>No</t>
        </is>
      </c>
      <c r="B157" t="inlineStr">
        <is>
          <t>RA448.5.N4 B56 1988</t>
        </is>
      </c>
      <c r="C157" t="inlineStr">
        <is>
          <t>0                      RA 0448500N  4                  B  56          1988</t>
        </is>
      </c>
      <c r="D157" t="inlineStr">
        <is>
          <t>The Black American elderly : research on physical and psychosocial health / James S. Jackson, editor ; Patricia Newton ... [et al.], associate editors.</t>
        </is>
      </c>
      <c r="F157" t="inlineStr">
        <is>
          <t>No</t>
        </is>
      </c>
      <c r="G157" t="inlineStr">
        <is>
          <t>1</t>
        </is>
      </c>
      <c r="H157" t="inlineStr">
        <is>
          <t>Yes</t>
        </is>
      </c>
      <c r="I157" t="inlineStr">
        <is>
          <t>No</t>
        </is>
      </c>
      <c r="J157" t="inlineStr">
        <is>
          <t>0</t>
        </is>
      </c>
      <c r="L157" t="inlineStr">
        <is>
          <t>New York : Springer Pub. Co., c1988.</t>
        </is>
      </c>
      <c r="M157" t="inlineStr">
        <is>
          <t>1988</t>
        </is>
      </c>
      <c r="O157" t="inlineStr">
        <is>
          <t>eng</t>
        </is>
      </c>
      <c r="P157" t="inlineStr">
        <is>
          <t>nyu</t>
        </is>
      </c>
      <c r="R157" t="inlineStr">
        <is>
          <t xml:space="preserve">RA </t>
        </is>
      </c>
      <c r="S157" t="n">
        <v>8</v>
      </c>
      <c r="T157" t="n">
        <v>8</v>
      </c>
      <c r="U157" t="inlineStr">
        <is>
          <t>2000-11-12</t>
        </is>
      </c>
      <c r="V157" t="inlineStr">
        <is>
          <t>2000-11-12</t>
        </is>
      </c>
      <c r="W157" t="inlineStr">
        <is>
          <t>1991-10-24</t>
        </is>
      </c>
      <c r="X157" t="inlineStr">
        <is>
          <t>1991-10-24</t>
        </is>
      </c>
      <c r="Y157" t="n">
        <v>422</v>
      </c>
      <c r="Z157" t="n">
        <v>404</v>
      </c>
      <c r="AA157" t="n">
        <v>411</v>
      </c>
      <c r="AB157" t="n">
        <v>5</v>
      </c>
      <c r="AC157" t="n">
        <v>5</v>
      </c>
      <c r="AD157" t="n">
        <v>14</v>
      </c>
      <c r="AE157" t="n">
        <v>14</v>
      </c>
      <c r="AF157" t="n">
        <v>2</v>
      </c>
      <c r="AG157" t="n">
        <v>2</v>
      </c>
      <c r="AH157" t="n">
        <v>3</v>
      </c>
      <c r="AI157" t="n">
        <v>3</v>
      </c>
      <c r="AJ157" t="n">
        <v>8</v>
      </c>
      <c r="AK157" t="n">
        <v>8</v>
      </c>
      <c r="AL157" t="n">
        <v>3</v>
      </c>
      <c r="AM157" t="n">
        <v>3</v>
      </c>
      <c r="AN157" t="n">
        <v>0</v>
      </c>
      <c r="AO157" t="n">
        <v>0</v>
      </c>
      <c r="AP157" t="inlineStr">
        <is>
          <t>No</t>
        </is>
      </c>
      <c r="AQ157" t="inlineStr">
        <is>
          <t>Yes</t>
        </is>
      </c>
      <c r="AR157">
        <f>HYPERLINK("http://catalog.hathitrust.org/Record/000937747","HathiTrust Record")</f>
        <v/>
      </c>
      <c r="AS157">
        <f>HYPERLINK("https://creighton-primo.hosted.exlibrisgroup.com/primo-explore/search?tab=default_tab&amp;search_scope=EVERYTHING&amp;vid=01CRU&amp;lang=en_US&amp;offset=0&amp;query=any,contains,991001262319702656","Catalog Record")</f>
        <v/>
      </c>
      <c r="AT157">
        <f>HYPERLINK("http://www.worldcat.org/oclc/17774299","WorldCat Record")</f>
        <v/>
      </c>
      <c r="AU157" t="inlineStr">
        <is>
          <t>443091292:eng</t>
        </is>
      </c>
      <c r="AV157" t="inlineStr">
        <is>
          <t>17774299</t>
        </is>
      </c>
      <c r="AW157" t="inlineStr">
        <is>
          <t>991001262319702656</t>
        </is>
      </c>
      <c r="AX157" t="inlineStr">
        <is>
          <t>991001262319702656</t>
        </is>
      </c>
      <c r="AY157" t="inlineStr">
        <is>
          <t>2272525750002656</t>
        </is>
      </c>
      <c r="AZ157" t="inlineStr">
        <is>
          <t>BOOK</t>
        </is>
      </c>
      <c r="BB157" t="inlineStr">
        <is>
          <t>9780826158109</t>
        </is>
      </c>
      <c r="BC157" t="inlineStr">
        <is>
          <t>32285000727544</t>
        </is>
      </c>
      <c r="BD157" t="inlineStr">
        <is>
          <t>893784975</t>
        </is>
      </c>
    </row>
    <row r="158">
      <c r="A158" t="inlineStr">
        <is>
          <t>No</t>
        </is>
      </c>
      <c r="B158" t="inlineStr">
        <is>
          <t>RA448.B83 K56</t>
        </is>
      </c>
      <c r="C158" t="inlineStr">
        <is>
          <t>0                      RA 0448000B  83                 K  56</t>
        </is>
      </c>
      <c r="D158" t="inlineStr">
        <is>
          <t>Health and community : a rural American study / Norman Klein. --</t>
        </is>
      </c>
      <c r="F158" t="inlineStr">
        <is>
          <t>No</t>
        </is>
      </c>
      <c r="G158" t="inlineStr">
        <is>
          <t>1</t>
        </is>
      </c>
      <c r="H158" t="inlineStr">
        <is>
          <t>No</t>
        </is>
      </c>
      <c r="I158" t="inlineStr">
        <is>
          <t>No</t>
        </is>
      </c>
      <c r="J158" t="inlineStr">
        <is>
          <t>0</t>
        </is>
      </c>
      <c r="K158" t="inlineStr">
        <is>
          <t>Klein, Norman, 1942-</t>
        </is>
      </c>
      <c r="L158" t="inlineStr">
        <is>
          <t>Dubuque, Iowa : Kendall/Hunt Pub. Co., c1976.</t>
        </is>
      </c>
      <c r="M158" t="inlineStr">
        <is>
          <t>1976</t>
        </is>
      </c>
      <c r="O158" t="inlineStr">
        <is>
          <t>eng</t>
        </is>
      </c>
      <c r="P158" t="inlineStr">
        <is>
          <t>iau</t>
        </is>
      </c>
      <c r="R158" t="inlineStr">
        <is>
          <t xml:space="preserve">RA </t>
        </is>
      </c>
      <c r="S158" t="n">
        <v>4</v>
      </c>
      <c r="T158" t="n">
        <v>4</v>
      </c>
      <c r="U158" t="inlineStr">
        <is>
          <t>1993-11-23</t>
        </is>
      </c>
      <c r="V158" t="inlineStr">
        <is>
          <t>1993-11-23</t>
        </is>
      </c>
      <c r="W158" t="inlineStr">
        <is>
          <t>1993-03-11</t>
        </is>
      </c>
      <c r="X158" t="inlineStr">
        <is>
          <t>1993-03-11</t>
        </is>
      </c>
      <c r="Y158" t="n">
        <v>68</v>
      </c>
      <c r="Z158" t="n">
        <v>57</v>
      </c>
      <c r="AA158" t="n">
        <v>57</v>
      </c>
      <c r="AB158" t="n">
        <v>2</v>
      </c>
      <c r="AC158" t="n">
        <v>2</v>
      </c>
      <c r="AD158" t="n">
        <v>2</v>
      </c>
      <c r="AE158" t="n">
        <v>2</v>
      </c>
      <c r="AF158" t="n">
        <v>0</v>
      </c>
      <c r="AG158" t="n">
        <v>0</v>
      </c>
      <c r="AH158" t="n">
        <v>1</v>
      </c>
      <c r="AI158" t="n">
        <v>1</v>
      </c>
      <c r="AJ158" t="n">
        <v>1</v>
      </c>
      <c r="AK158" t="n">
        <v>1</v>
      </c>
      <c r="AL158" t="n">
        <v>1</v>
      </c>
      <c r="AM158" t="n">
        <v>1</v>
      </c>
      <c r="AN158" t="n">
        <v>0</v>
      </c>
      <c r="AO158" t="n">
        <v>0</v>
      </c>
      <c r="AP158" t="inlineStr">
        <is>
          <t>No</t>
        </is>
      </c>
      <c r="AQ158" t="inlineStr">
        <is>
          <t>No</t>
        </is>
      </c>
      <c r="AS158">
        <f>HYPERLINK("https://creighton-primo.hosted.exlibrisgroup.com/primo-explore/search?tab=default_tab&amp;search_scope=EVERYTHING&amp;vid=01CRU&amp;lang=en_US&amp;offset=0&amp;query=any,contains,991004091639702656","Catalog Record")</f>
        <v/>
      </c>
      <c r="AT158">
        <f>HYPERLINK("http://www.worldcat.org/oclc/2345878","WorldCat Record")</f>
        <v/>
      </c>
      <c r="AU158" t="inlineStr">
        <is>
          <t>5014447:eng</t>
        </is>
      </c>
      <c r="AV158" t="inlineStr">
        <is>
          <t>2345878</t>
        </is>
      </c>
      <c r="AW158" t="inlineStr">
        <is>
          <t>991004091639702656</t>
        </is>
      </c>
      <c r="AX158" t="inlineStr">
        <is>
          <t>991004091639702656</t>
        </is>
      </c>
      <c r="AY158" t="inlineStr">
        <is>
          <t>2262042050002656</t>
        </is>
      </c>
      <c r="AZ158" t="inlineStr">
        <is>
          <t>BOOK</t>
        </is>
      </c>
      <c r="BB158" t="inlineStr">
        <is>
          <t>9780840314017</t>
        </is>
      </c>
      <c r="BC158" t="inlineStr">
        <is>
          <t>32285001587103</t>
        </is>
      </c>
      <c r="BD158" t="inlineStr">
        <is>
          <t>893519234</t>
        </is>
      </c>
    </row>
    <row r="159">
      <c r="A159" t="inlineStr">
        <is>
          <t>No</t>
        </is>
      </c>
      <c r="B159" t="inlineStr">
        <is>
          <t>RA450.5 S46 1993</t>
        </is>
      </c>
      <c r="C159" t="inlineStr">
        <is>
          <t>0                      RA 0450500S  46          1993</t>
        </is>
      </c>
      <c r="D159" t="inlineStr">
        <is>
          <t>Medicina tradicional 500 años después : historia y consecuencias actuales : II Seminario Latinoamericano sobre la Teoría y la Práctica en la Aplicación de la Medicina Tradicional en Sistemas Formales de Salud / eds. Carles Roesrch...[et al].</t>
        </is>
      </c>
      <c r="F159" t="inlineStr">
        <is>
          <t>No</t>
        </is>
      </c>
      <c r="G159" t="inlineStr">
        <is>
          <t>1</t>
        </is>
      </c>
      <c r="H159" t="inlineStr">
        <is>
          <t>No</t>
        </is>
      </c>
      <c r="I159" t="inlineStr">
        <is>
          <t>No</t>
        </is>
      </c>
      <c r="J159" t="inlineStr">
        <is>
          <t>0</t>
        </is>
      </c>
      <c r="K159" t="inlineStr">
        <is>
          <t>Seminario Latinoamericano sobre la Teoría y la Práctica en la Aplicación de la Medicina Tradicional en Sistemas Formales de Salud (2nd : 1992 : Santo Domingo, Dominican Republic)</t>
        </is>
      </c>
      <c r="L159" t="inlineStr">
        <is>
          <t>Santo Domingo : Instituto Medicina Dominicana, c1993.</t>
        </is>
      </c>
      <c r="M159" t="inlineStr">
        <is>
          <t>1993</t>
        </is>
      </c>
      <c r="O159" t="inlineStr">
        <is>
          <t>spa</t>
        </is>
      </c>
      <c r="P159" t="inlineStr">
        <is>
          <t xml:space="preserve">dr </t>
        </is>
      </c>
      <c r="R159" t="inlineStr">
        <is>
          <t xml:space="preserve">RA </t>
        </is>
      </c>
      <c r="S159" t="n">
        <v>0</v>
      </c>
      <c r="T159" t="n">
        <v>0</v>
      </c>
      <c r="U159" t="inlineStr">
        <is>
          <t>2010-09-07</t>
        </is>
      </c>
      <c r="V159" t="inlineStr">
        <is>
          <t>2010-09-07</t>
        </is>
      </c>
      <c r="W159" t="inlineStr">
        <is>
          <t>1995-08-22</t>
        </is>
      </c>
      <c r="X159" t="inlineStr">
        <is>
          <t>1995-08-22</t>
        </is>
      </c>
      <c r="Y159" t="n">
        <v>22</v>
      </c>
      <c r="Z159" t="n">
        <v>20</v>
      </c>
      <c r="AA159" t="n">
        <v>24</v>
      </c>
      <c r="AB159" t="n">
        <v>1</v>
      </c>
      <c r="AC159" t="n">
        <v>1</v>
      </c>
      <c r="AD159" t="n">
        <v>1</v>
      </c>
      <c r="AE159" t="n">
        <v>1</v>
      </c>
      <c r="AF159" t="n">
        <v>0</v>
      </c>
      <c r="AG159" t="n">
        <v>0</v>
      </c>
      <c r="AH159" t="n">
        <v>1</v>
      </c>
      <c r="AI159" t="n">
        <v>1</v>
      </c>
      <c r="AJ159" t="n">
        <v>0</v>
      </c>
      <c r="AK159" t="n">
        <v>0</v>
      </c>
      <c r="AL159" t="n">
        <v>0</v>
      </c>
      <c r="AM159" t="n">
        <v>0</v>
      </c>
      <c r="AN159" t="n">
        <v>0</v>
      </c>
      <c r="AO159" t="n">
        <v>0</v>
      </c>
      <c r="AP159" t="inlineStr">
        <is>
          <t>No</t>
        </is>
      </c>
      <c r="AQ159" t="inlineStr">
        <is>
          <t>Yes</t>
        </is>
      </c>
      <c r="AR159">
        <f>HYPERLINK("http://catalog.hathitrust.org/Record/006930217","HathiTrust Record")</f>
        <v/>
      </c>
      <c r="AS159">
        <f>HYPERLINK("https://creighton-primo.hosted.exlibrisgroup.com/primo-explore/search?tab=default_tab&amp;search_scope=EVERYTHING&amp;vid=01CRU&amp;lang=en_US&amp;offset=0&amp;query=any,contains,991002358849702656","Catalog Record")</f>
        <v/>
      </c>
      <c r="AT159">
        <f>HYPERLINK("http://www.worldcat.org/oclc/30674061","WorldCat Record")</f>
        <v/>
      </c>
      <c r="AU159" t="inlineStr">
        <is>
          <t>1162684860:spa</t>
        </is>
      </c>
      <c r="AV159" t="inlineStr">
        <is>
          <t>30674061</t>
        </is>
      </c>
      <c r="AW159" t="inlineStr">
        <is>
          <t>991002358849702656</t>
        </is>
      </c>
      <c r="AX159" t="inlineStr">
        <is>
          <t>991002358849702656</t>
        </is>
      </c>
      <c r="AY159" t="inlineStr">
        <is>
          <t>2262681050002656</t>
        </is>
      </c>
      <c r="AZ159" t="inlineStr">
        <is>
          <t>BOOK</t>
        </is>
      </c>
      <c r="BC159" t="inlineStr">
        <is>
          <t>32285002079290</t>
        </is>
      </c>
      <c r="BD159" t="inlineStr">
        <is>
          <t>893792366</t>
        </is>
      </c>
    </row>
    <row r="160">
      <c r="A160" t="inlineStr">
        <is>
          <t>No</t>
        </is>
      </c>
      <c r="B160" t="inlineStr">
        <is>
          <t>RA454.D65 D47 1995</t>
        </is>
      </c>
      <c r="C160" t="inlineStr">
        <is>
          <t>0                      RA 0454000D  65                 D  47          1995</t>
        </is>
      </c>
      <c r="D160" t="inlineStr">
        <is>
          <t>Desarrollo de recursos humanos en salud : la experiencia Dominicana / compilado por Rosa María Borrell y Wilfredo Lozano.</t>
        </is>
      </c>
      <c r="F160" t="inlineStr">
        <is>
          <t>No</t>
        </is>
      </c>
      <c r="G160" t="inlineStr">
        <is>
          <t>1</t>
        </is>
      </c>
      <c r="H160" t="inlineStr">
        <is>
          <t>No</t>
        </is>
      </c>
      <c r="I160" t="inlineStr">
        <is>
          <t>No</t>
        </is>
      </c>
      <c r="J160" t="inlineStr">
        <is>
          <t>0</t>
        </is>
      </c>
      <c r="L160" t="inlineStr">
        <is>
          <t>Santo Domingo, República Dominicana : FLACSO, Facultad Latinoamericana de Ciencias Sociales, República Dominicana : Organización Panamericana de la Salud (OPS) : Organización Mundial de la Salud (OMS) : Programa de Adiestramiento en Salud de Centroamérica y Panamá (PASCAP), c1995.</t>
        </is>
      </c>
      <c r="M160" t="inlineStr">
        <is>
          <t>1995</t>
        </is>
      </c>
      <c r="O160" t="inlineStr">
        <is>
          <t>spa</t>
        </is>
      </c>
      <c r="P160" t="inlineStr">
        <is>
          <t xml:space="preserve">dr </t>
        </is>
      </c>
      <c r="R160" t="inlineStr">
        <is>
          <t xml:space="preserve">RA </t>
        </is>
      </c>
      <c r="S160" t="n">
        <v>1</v>
      </c>
      <c r="T160" t="n">
        <v>1</v>
      </c>
      <c r="U160" t="inlineStr">
        <is>
          <t>1997-03-11</t>
        </is>
      </c>
      <c r="V160" t="inlineStr">
        <is>
          <t>1997-03-11</t>
        </is>
      </c>
      <c r="W160" t="inlineStr">
        <is>
          <t>1996-11-20</t>
        </is>
      </c>
      <c r="X160" t="inlineStr">
        <is>
          <t>1996-11-20</t>
        </is>
      </c>
      <c r="Y160" t="n">
        <v>17</v>
      </c>
      <c r="Z160" t="n">
        <v>16</v>
      </c>
      <c r="AA160" t="n">
        <v>16</v>
      </c>
      <c r="AB160" t="n">
        <v>1</v>
      </c>
      <c r="AC160" t="n">
        <v>1</v>
      </c>
      <c r="AD160" t="n">
        <v>1</v>
      </c>
      <c r="AE160" t="n">
        <v>1</v>
      </c>
      <c r="AF160" t="n">
        <v>0</v>
      </c>
      <c r="AG160" t="n">
        <v>0</v>
      </c>
      <c r="AH160" t="n">
        <v>1</v>
      </c>
      <c r="AI160" t="n">
        <v>1</v>
      </c>
      <c r="AJ160" t="n">
        <v>0</v>
      </c>
      <c r="AK160" t="n">
        <v>0</v>
      </c>
      <c r="AL160" t="n">
        <v>0</v>
      </c>
      <c r="AM160" t="n">
        <v>0</v>
      </c>
      <c r="AN160" t="n">
        <v>0</v>
      </c>
      <c r="AO160" t="n">
        <v>0</v>
      </c>
      <c r="AP160" t="inlineStr">
        <is>
          <t>No</t>
        </is>
      </c>
      <c r="AQ160" t="inlineStr">
        <is>
          <t>No</t>
        </is>
      </c>
      <c r="AS160">
        <f>HYPERLINK("https://creighton-primo.hosted.exlibrisgroup.com/primo-explore/search?tab=default_tab&amp;search_scope=EVERYTHING&amp;vid=01CRU&amp;lang=en_US&amp;offset=0&amp;query=any,contains,991002712769702656","Catalog Record")</f>
        <v/>
      </c>
      <c r="AT160">
        <f>HYPERLINK("http://www.worldcat.org/oclc/35573046","WorldCat Record")</f>
        <v/>
      </c>
      <c r="AU160" t="inlineStr">
        <is>
          <t>53432389:spa</t>
        </is>
      </c>
      <c r="AV160" t="inlineStr">
        <is>
          <t>35573046</t>
        </is>
      </c>
      <c r="AW160" t="inlineStr">
        <is>
          <t>991002712769702656</t>
        </is>
      </c>
      <c r="AX160" t="inlineStr">
        <is>
          <t>991002712769702656</t>
        </is>
      </c>
      <c r="AY160" t="inlineStr">
        <is>
          <t>2259519200002656</t>
        </is>
      </c>
      <c r="AZ160" t="inlineStr">
        <is>
          <t>BOOK</t>
        </is>
      </c>
      <c r="BB160" t="inlineStr">
        <is>
          <t>9788460092513</t>
        </is>
      </c>
      <c r="BC160" t="inlineStr">
        <is>
          <t>32285002374501</t>
        </is>
      </c>
      <c r="BD160" t="inlineStr">
        <is>
          <t>893335631</t>
        </is>
      </c>
    </row>
    <row r="161">
      <c r="A161" t="inlineStr">
        <is>
          <t>No</t>
        </is>
      </c>
      <c r="B161" t="inlineStr">
        <is>
          <t>RA455 .K56 1984</t>
        </is>
      </c>
      <c r="C161" t="inlineStr">
        <is>
          <t>0                      RA 0455000K  56          1984</t>
        </is>
      </c>
      <c r="D161" t="inlineStr">
        <is>
          <t>The Caribbean slave : a biological history / Kenneth F. Kiple.</t>
        </is>
      </c>
      <c r="F161" t="inlineStr">
        <is>
          <t>No</t>
        </is>
      </c>
      <c r="G161" t="inlineStr">
        <is>
          <t>1</t>
        </is>
      </c>
      <c r="H161" t="inlineStr">
        <is>
          <t>No</t>
        </is>
      </c>
      <c r="I161" t="inlineStr">
        <is>
          <t>No</t>
        </is>
      </c>
      <c r="J161" t="inlineStr">
        <is>
          <t>0</t>
        </is>
      </c>
      <c r="K161" t="inlineStr">
        <is>
          <t>Kiple, Kenneth F., 1939-2016.</t>
        </is>
      </c>
      <c r="L161" t="inlineStr">
        <is>
          <t>Cambridge [Cambridgeshire] ; New York : Cambridge University Press, 1984.</t>
        </is>
      </c>
      <c r="M161" t="inlineStr">
        <is>
          <t>1984</t>
        </is>
      </c>
      <c r="O161" t="inlineStr">
        <is>
          <t>eng</t>
        </is>
      </c>
      <c r="P161" t="inlineStr">
        <is>
          <t>enk</t>
        </is>
      </c>
      <c r="Q161" t="inlineStr">
        <is>
          <t>Studies in environment and history</t>
        </is>
      </c>
      <c r="R161" t="inlineStr">
        <is>
          <t xml:space="preserve">RA </t>
        </is>
      </c>
      <c r="S161" t="n">
        <v>4</v>
      </c>
      <c r="T161" t="n">
        <v>4</v>
      </c>
      <c r="U161" t="inlineStr">
        <is>
          <t>1999-02-03</t>
        </is>
      </c>
      <c r="V161" t="inlineStr">
        <is>
          <t>1999-02-03</t>
        </is>
      </c>
      <c r="W161" t="inlineStr">
        <is>
          <t>1992-05-07</t>
        </is>
      </c>
      <c r="X161" t="inlineStr">
        <is>
          <t>1992-05-07</t>
        </is>
      </c>
      <c r="Y161" t="n">
        <v>456</v>
      </c>
      <c r="Z161" t="n">
        <v>360</v>
      </c>
      <c r="AA161" t="n">
        <v>394</v>
      </c>
      <c r="AB161" t="n">
        <v>3</v>
      </c>
      <c r="AC161" t="n">
        <v>3</v>
      </c>
      <c r="AD161" t="n">
        <v>11</v>
      </c>
      <c r="AE161" t="n">
        <v>12</v>
      </c>
      <c r="AF161" t="n">
        <v>1</v>
      </c>
      <c r="AG161" t="n">
        <v>1</v>
      </c>
      <c r="AH161" t="n">
        <v>4</v>
      </c>
      <c r="AI161" t="n">
        <v>4</v>
      </c>
      <c r="AJ161" t="n">
        <v>8</v>
      </c>
      <c r="AK161" t="n">
        <v>9</v>
      </c>
      <c r="AL161" t="n">
        <v>2</v>
      </c>
      <c r="AM161" t="n">
        <v>2</v>
      </c>
      <c r="AN161" t="n">
        <v>0</v>
      </c>
      <c r="AO161" t="n">
        <v>0</v>
      </c>
      <c r="AP161" t="inlineStr">
        <is>
          <t>No</t>
        </is>
      </c>
      <c r="AQ161" t="inlineStr">
        <is>
          <t>No</t>
        </is>
      </c>
      <c r="AS161">
        <f>HYPERLINK("https://creighton-primo.hosted.exlibrisgroup.com/primo-explore/search?tab=default_tab&amp;search_scope=EVERYTHING&amp;vid=01CRU&amp;lang=en_US&amp;offset=0&amp;query=any,contains,991000492189702656","Catalog Record")</f>
        <v/>
      </c>
      <c r="AT161">
        <f>HYPERLINK("http://www.worldcat.org/oclc/11113612","WorldCat Record")</f>
        <v/>
      </c>
      <c r="AU161" t="inlineStr">
        <is>
          <t>795347269:eng</t>
        </is>
      </c>
      <c r="AV161" t="inlineStr">
        <is>
          <t>11113612</t>
        </is>
      </c>
      <c r="AW161" t="inlineStr">
        <is>
          <t>991000492189702656</t>
        </is>
      </c>
      <c r="AX161" t="inlineStr">
        <is>
          <t>991000492189702656</t>
        </is>
      </c>
      <c r="AY161" t="inlineStr">
        <is>
          <t>2256344710002656</t>
        </is>
      </c>
      <c r="AZ161" t="inlineStr">
        <is>
          <t>BOOK</t>
        </is>
      </c>
      <c r="BB161" t="inlineStr">
        <is>
          <t>9780521268745</t>
        </is>
      </c>
      <c r="BC161" t="inlineStr">
        <is>
          <t>32285001105534</t>
        </is>
      </c>
      <c r="BD161" t="inlineStr">
        <is>
          <t>893771676</t>
        </is>
      </c>
    </row>
    <row r="162">
      <c r="A162" t="inlineStr">
        <is>
          <t>No</t>
        </is>
      </c>
      <c r="B162" t="inlineStr">
        <is>
          <t>RA456.D65 R67 1984</t>
        </is>
      </c>
      <c r="C162" t="inlineStr">
        <is>
          <t>0                      RA 0456000D  65                 R  67          1984</t>
        </is>
      </c>
      <c r="D162" t="inlineStr">
        <is>
          <t>Estructura del consumo, nutrición y pobreza en la República Dominicana, 1984 / Gumersindo del Rosario M.</t>
        </is>
      </c>
      <c r="F162" t="inlineStr">
        <is>
          <t>No</t>
        </is>
      </c>
      <c r="G162" t="inlineStr">
        <is>
          <t>1</t>
        </is>
      </c>
      <c r="H162" t="inlineStr">
        <is>
          <t>No</t>
        </is>
      </c>
      <c r="I162" t="inlineStr">
        <is>
          <t>No</t>
        </is>
      </c>
      <c r="J162" t="inlineStr">
        <is>
          <t>0</t>
        </is>
      </c>
      <c r="K162" t="inlineStr">
        <is>
          <t>Rosario Mota, Gumersindo del.</t>
        </is>
      </c>
      <c r="L162" t="inlineStr">
        <is>
          <t>[Dominican Republic : s.n., 1984]</t>
        </is>
      </c>
      <c r="M162" t="inlineStr">
        <is>
          <t>1984</t>
        </is>
      </c>
      <c r="O162" t="inlineStr">
        <is>
          <t>spa</t>
        </is>
      </c>
      <c r="P162" t="inlineStr">
        <is>
          <t xml:space="preserve">dr </t>
        </is>
      </c>
      <c r="R162" t="inlineStr">
        <is>
          <t xml:space="preserve">RA </t>
        </is>
      </c>
      <c r="S162" t="n">
        <v>1</v>
      </c>
      <c r="T162" t="n">
        <v>1</v>
      </c>
      <c r="U162" t="inlineStr">
        <is>
          <t>2000-11-06</t>
        </is>
      </c>
      <c r="V162" t="inlineStr">
        <is>
          <t>2000-11-06</t>
        </is>
      </c>
      <c r="W162" t="inlineStr">
        <is>
          <t>2000-10-31</t>
        </is>
      </c>
      <c r="X162" t="inlineStr">
        <is>
          <t>2000-10-31</t>
        </is>
      </c>
      <c r="Y162" t="n">
        <v>2</v>
      </c>
      <c r="Z162" t="n">
        <v>1</v>
      </c>
      <c r="AA162" t="n">
        <v>1</v>
      </c>
      <c r="AB162" t="n">
        <v>1</v>
      </c>
      <c r="AC162" t="n">
        <v>1</v>
      </c>
      <c r="AD162" t="n">
        <v>0</v>
      </c>
      <c r="AE162" t="n">
        <v>0</v>
      </c>
      <c r="AF162" t="n">
        <v>0</v>
      </c>
      <c r="AG162" t="n">
        <v>0</v>
      </c>
      <c r="AH162" t="n">
        <v>0</v>
      </c>
      <c r="AI162" t="n">
        <v>0</v>
      </c>
      <c r="AJ162" t="n">
        <v>0</v>
      </c>
      <c r="AK162" t="n">
        <v>0</v>
      </c>
      <c r="AL162" t="n">
        <v>0</v>
      </c>
      <c r="AM162" t="n">
        <v>0</v>
      </c>
      <c r="AN162" t="n">
        <v>0</v>
      </c>
      <c r="AO162" t="n">
        <v>0</v>
      </c>
      <c r="AP162" t="inlineStr">
        <is>
          <t>No</t>
        </is>
      </c>
      <c r="AQ162" t="inlineStr">
        <is>
          <t>No</t>
        </is>
      </c>
      <c r="AS162">
        <f>HYPERLINK("https://creighton-primo.hosted.exlibrisgroup.com/primo-explore/search?tab=default_tab&amp;search_scope=EVERYTHING&amp;vid=01CRU&amp;lang=en_US&amp;offset=0&amp;query=any,contains,991003336049702656","Catalog Record")</f>
        <v/>
      </c>
      <c r="AT162">
        <f>HYPERLINK("http://www.worldcat.org/oclc/45055452","WorldCat Record")</f>
        <v/>
      </c>
      <c r="AU162" t="inlineStr">
        <is>
          <t>34568978:spa</t>
        </is>
      </c>
      <c r="AV162" t="inlineStr">
        <is>
          <t>45055452</t>
        </is>
      </c>
      <c r="AW162" t="inlineStr">
        <is>
          <t>991003336049702656</t>
        </is>
      </c>
      <c r="AX162" t="inlineStr">
        <is>
          <t>991003336049702656</t>
        </is>
      </c>
      <c r="AY162" t="inlineStr">
        <is>
          <t>2269483320002656</t>
        </is>
      </c>
      <c r="AZ162" t="inlineStr">
        <is>
          <t>BOOK</t>
        </is>
      </c>
      <c r="BC162" t="inlineStr">
        <is>
          <t>32285004270558</t>
        </is>
      </c>
      <c r="BD162" t="inlineStr">
        <is>
          <t>893805684</t>
        </is>
      </c>
    </row>
    <row r="163">
      <c r="A163" t="inlineStr">
        <is>
          <t>No</t>
        </is>
      </c>
      <c r="B163" t="inlineStr">
        <is>
          <t>RA456.S25 D57</t>
        </is>
      </c>
      <c r="C163" t="inlineStr">
        <is>
          <t>0                      RA 0456000S  25                 D  57</t>
        </is>
      </c>
      <c r="D163" t="inlineStr">
        <is>
          <t>Disease and economic development; the impact of parasitic diseases in St. Lucia [by] Burton A. Weisbrod [and others. --</t>
        </is>
      </c>
      <c r="F163" t="inlineStr">
        <is>
          <t>No</t>
        </is>
      </c>
      <c r="G163" t="inlineStr">
        <is>
          <t>1</t>
        </is>
      </c>
      <c r="H163" t="inlineStr">
        <is>
          <t>No</t>
        </is>
      </c>
      <c r="I163" t="inlineStr">
        <is>
          <t>No</t>
        </is>
      </c>
      <c r="J163" t="inlineStr">
        <is>
          <t>0</t>
        </is>
      </c>
      <c r="L163" t="inlineStr">
        <is>
          <t>Madison] University of Wisconsin Press [1973]</t>
        </is>
      </c>
      <c r="M163" t="inlineStr">
        <is>
          <t>1973</t>
        </is>
      </c>
      <c r="O163" t="inlineStr">
        <is>
          <t>eng</t>
        </is>
      </c>
      <c r="P163" t="inlineStr">
        <is>
          <t>wiu</t>
        </is>
      </c>
      <c r="R163" t="inlineStr">
        <is>
          <t xml:space="preserve">RA </t>
        </is>
      </c>
      <c r="S163" t="n">
        <v>7</v>
      </c>
      <c r="T163" t="n">
        <v>7</v>
      </c>
      <c r="U163" t="inlineStr">
        <is>
          <t>2009-02-24</t>
        </is>
      </c>
      <c r="V163" t="inlineStr">
        <is>
          <t>2009-02-24</t>
        </is>
      </c>
      <c r="W163" t="inlineStr">
        <is>
          <t>1991-10-18</t>
        </is>
      </c>
      <c r="X163" t="inlineStr">
        <is>
          <t>1991-10-18</t>
        </is>
      </c>
      <c r="Y163" t="n">
        <v>356</v>
      </c>
      <c r="Z163" t="n">
        <v>288</v>
      </c>
      <c r="AA163" t="n">
        <v>293</v>
      </c>
      <c r="AB163" t="n">
        <v>2</v>
      </c>
      <c r="AC163" t="n">
        <v>2</v>
      </c>
      <c r="AD163" t="n">
        <v>8</v>
      </c>
      <c r="AE163" t="n">
        <v>8</v>
      </c>
      <c r="AF163" t="n">
        <v>3</v>
      </c>
      <c r="AG163" t="n">
        <v>3</v>
      </c>
      <c r="AH163" t="n">
        <v>3</v>
      </c>
      <c r="AI163" t="n">
        <v>3</v>
      </c>
      <c r="AJ163" t="n">
        <v>4</v>
      </c>
      <c r="AK163" t="n">
        <v>4</v>
      </c>
      <c r="AL163" t="n">
        <v>1</v>
      </c>
      <c r="AM163" t="n">
        <v>1</v>
      </c>
      <c r="AN163" t="n">
        <v>0</v>
      </c>
      <c r="AO163" t="n">
        <v>0</v>
      </c>
      <c r="AP163" t="inlineStr">
        <is>
          <t>No</t>
        </is>
      </c>
      <c r="AQ163" t="inlineStr">
        <is>
          <t>No</t>
        </is>
      </c>
      <c r="AS163">
        <f>HYPERLINK("https://creighton-primo.hosted.exlibrisgroup.com/primo-explore/search?tab=default_tab&amp;search_scope=EVERYTHING&amp;vid=01CRU&amp;lang=en_US&amp;offset=0&amp;query=any,contains,991003013109702656","Catalog Record")</f>
        <v/>
      </c>
      <c r="AT163">
        <f>HYPERLINK("http://www.worldcat.org/oclc/579203","WorldCat Record")</f>
        <v/>
      </c>
      <c r="AU163" t="inlineStr">
        <is>
          <t>1721301:eng</t>
        </is>
      </c>
      <c r="AV163" t="inlineStr">
        <is>
          <t>579203</t>
        </is>
      </c>
      <c r="AW163" t="inlineStr">
        <is>
          <t>991003013109702656</t>
        </is>
      </c>
      <c r="AX163" t="inlineStr">
        <is>
          <t>991003013109702656</t>
        </is>
      </c>
      <c r="AY163" t="inlineStr">
        <is>
          <t>2255816870002656</t>
        </is>
      </c>
      <c r="AZ163" t="inlineStr">
        <is>
          <t>BOOK</t>
        </is>
      </c>
      <c r="BB163" t="inlineStr">
        <is>
          <t>9780299063405</t>
        </is>
      </c>
      <c r="BC163" t="inlineStr">
        <is>
          <t>32285000776517</t>
        </is>
      </c>
      <c r="BD163" t="inlineStr">
        <is>
          <t>893904211</t>
        </is>
      </c>
    </row>
    <row r="164">
      <c r="A164" t="inlineStr">
        <is>
          <t>No</t>
        </is>
      </c>
      <c r="B164" t="inlineStr">
        <is>
          <t>RA488.L7 A84 1988</t>
        </is>
      </c>
      <c r="C164" t="inlineStr">
        <is>
          <t>0                      RA 0488000L  7                  A  84          1988</t>
        </is>
      </c>
      <c r="D164" t="inlineStr">
        <is>
          <t>The new public health : the Liverpool experience / John Ashton and Howard Seymour.</t>
        </is>
      </c>
      <c r="F164" t="inlineStr">
        <is>
          <t>No</t>
        </is>
      </c>
      <c r="G164" t="inlineStr">
        <is>
          <t>1</t>
        </is>
      </c>
      <c r="H164" t="inlineStr">
        <is>
          <t>No</t>
        </is>
      </c>
      <c r="I164" t="inlineStr">
        <is>
          <t>No</t>
        </is>
      </c>
      <c r="J164" t="inlineStr">
        <is>
          <t>0</t>
        </is>
      </c>
      <c r="K164" t="inlineStr">
        <is>
          <t>Ashton, John, 1947-</t>
        </is>
      </c>
      <c r="L164" t="inlineStr">
        <is>
          <t>Milton Keynes [England] ; Philadelphia : Open University Press, 1988 (1996 printing).</t>
        </is>
      </c>
      <c r="M164" t="inlineStr">
        <is>
          <t>1988</t>
        </is>
      </c>
      <c r="O164" t="inlineStr">
        <is>
          <t>eng</t>
        </is>
      </c>
      <c r="P164" t="inlineStr">
        <is>
          <t>enk</t>
        </is>
      </c>
      <c r="R164" t="inlineStr">
        <is>
          <t xml:space="preserve">RA </t>
        </is>
      </c>
      <c r="S164" t="n">
        <v>3</v>
      </c>
      <c r="T164" t="n">
        <v>3</v>
      </c>
      <c r="U164" t="inlineStr">
        <is>
          <t>2003-05-29</t>
        </is>
      </c>
      <c r="V164" t="inlineStr">
        <is>
          <t>2003-05-29</t>
        </is>
      </c>
      <c r="W164" t="inlineStr">
        <is>
          <t>1998-05-18</t>
        </is>
      </c>
      <c r="X164" t="inlineStr">
        <is>
          <t>1998-05-18</t>
        </is>
      </c>
      <c r="Y164" t="n">
        <v>219</v>
      </c>
      <c r="Z164" t="n">
        <v>55</v>
      </c>
      <c r="AA164" t="n">
        <v>55</v>
      </c>
      <c r="AB164" t="n">
        <v>1</v>
      </c>
      <c r="AC164" t="n">
        <v>1</v>
      </c>
      <c r="AD164" t="n">
        <v>0</v>
      </c>
      <c r="AE164" t="n">
        <v>0</v>
      </c>
      <c r="AF164" t="n">
        <v>0</v>
      </c>
      <c r="AG164" t="n">
        <v>0</v>
      </c>
      <c r="AH164" t="n">
        <v>0</v>
      </c>
      <c r="AI164" t="n">
        <v>0</v>
      </c>
      <c r="AJ164" t="n">
        <v>0</v>
      </c>
      <c r="AK164" t="n">
        <v>0</v>
      </c>
      <c r="AL164" t="n">
        <v>0</v>
      </c>
      <c r="AM164" t="n">
        <v>0</v>
      </c>
      <c r="AN164" t="n">
        <v>0</v>
      </c>
      <c r="AO164" t="n">
        <v>0</v>
      </c>
      <c r="AP164" t="inlineStr">
        <is>
          <t>No</t>
        </is>
      </c>
      <c r="AQ164" t="inlineStr">
        <is>
          <t>No</t>
        </is>
      </c>
      <c r="AS164">
        <f>HYPERLINK("https://creighton-primo.hosted.exlibrisgroup.com/primo-explore/search?tab=default_tab&amp;search_scope=EVERYTHING&amp;vid=01CRU&amp;lang=en_US&amp;offset=0&amp;query=any,contains,991001288629702656","Catalog Record")</f>
        <v/>
      </c>
      <c r="AT164">
        <f>HYPERLINK("http://www.worldcat.org/oclc/17981553","WorldCat Record")</f>
        <v/>
      </c>
      <c r="AU164" t="inlineStr">
        <is>
          <t>292303943:eng</t>
        </is>
      </c>
      <c r="AV164" t="inlineStr">
        <is>
          <t>17981553</t>
        </is>
      </c>
      <c r="AW164" t="inlineStr">
        <is>
          <t>991001288629702656</t>
        </is>
      </c>
      <c r="AX164" t="inlineStr">
        <is>
          <t>991001288629702656</t>
        </is>
      </c>
      <c r="AY164" t="inlineStr">
        <is>
          <t>2257278560002656</t>
        </is>
      </c>
      <c r="AZ164" t="inlineStr">
        <is>
          <t>BOOK</t>
        </is>
      </c>
      <c r="BB164" t="inlineStr">
        <is>
          <t>9780335155552</t>
        </is>
      </c>
      <c r="BC164" t="inlineStr">
        <is>
          <t>32285003409413</t>
        </is>
      </c>
      <c r="BD164" t="inlineStr">
        <is>
          <t>893715343</t>
        </is>
      </c>
    </row>
    <row r="165">
      <c r="A165" t="inlineStr">
        <is>
          <t>No</t>
        </is>
      </c>
      <c r="B165" t="inlineStr">
        <is>
          <t>RA499 .C57 1982</t>
        </is>
      </c>
      <c r="C165" t="inlineStr">
        <is>
          <t>0                      RA 0499000C  57          1982</t>
        </is>
      </c>
      <c r="D165" t="inlineStr">
        <is>
          <t>Death is a social disease : public health and political economy in early industrial France / William Coleman.</t>
        </is>
      </c>
      <c r="F165" t="inlineStr">
        <is>
          <t>No</t>
        </is>
      </c>
      <c r="G165" t="inlineStr">
        <is>
          <t>1</t>
        </is>
      </c>
      <c r="H165" t="inlineStr">
        <is>
          <t>No</t>
        </is>
      </c>
      <c r="I165" t="inlineStr">
        <is>
          <t>No</t>
        </is>
      </c>
      <c r="J165" t="inlineStr">
        <is>
          <t>0</t>
        </is>
      </c>
      <c r="K165" t="inlineStr">
        <is>
          <t>Coleman, William, 1934-</t>
        </is>
      </c>
      <c r="L165" t="inlineStr">
        <is>
          <t>Madison, Wis. : University of Wisconsin Press, 1982.</t>
        </is>
      </c>
      <c r="M165" t="inlineStr">
        <is>
          <t>1982</t>
        </is>
      </c>
      <c r="O165" t="inlineStr">
        <is>
          <t>eng</t>
        </is>
      </c>
      <c r="P165" t="inlineStr">
        <is>
          <t>wiu</t>
        </is>
      </c>
      <c r="R165" t="inlineStr">
        <is>
          <t xml:space="preserve">RA </t>
        </is>
      </c>
      <c r="S165" t="n">
        <v>4</v>
      </c>
      <c r="T165" t="n">
        <v>4</v>
      </c>
      <c r="U165" t="inlineStr">
        <is>
          <t>1995-03-08</t>
        </is>
      </c>
      <c r="V165" t="inlineStr">
        <is>
          <t>1995-03-08</t>
        </is>
      </c>
      <c r="W165" t="inlineStr">
        <is>
          <t>1990-03-20</t>
        </is>
      </c>
      <c r="X165" t="inlineStr">
        <is>
          <t>1990-03-20</t>
        </is>
      </c>
      <c r="Y165" t="n">
        <v>317</v>
      </c>
      <c r="Z165" t="n">
        <v>224</v>
      </c>
      <c r="AA165" t="n">
        <v>226</v>
      </c>
      <c r="AB165" t="n">
        <v>2</v>
      </c>
      <c r="AC165" t="n">
        <v>2</v>
      </c>
      <c r="AD165" t="n">
        <v>8</v>
      </c>
      <c r="AE165" t="n">
        <v>8</v>
      </c>
      <c r="AF165" t="n">
        <v>1</v>
      </c>
      <c r="AG165" t="n">
        <v>1</v>
      </c>
      <c r="AH165" t="n">
        <v>2</v>
      </c>
      <c r="AI165" t="n">
        <v>2</v>
      </c>
      <c r="AJ165" t="n">
        <v>6</v>
      </c>
      <c r="AK165" t="n">
        <v>6</v>
      </c>
      <c r="AL165" t="n">
        <v>1</v>
      </c>
      <c r="AM165" t="n">
        <v>1</v>
      </c>
      <c r="AN165" t="n">
        <v>0</v>
      </c>
      <c r="AO165" t="n">
        <v>0</v>
      </c>
      <c r="AP165" t="inlineStr">
        <is>
          <t>No</t>
        </is>
      </c>
      <c r="AQ165" t="inlineStr">
        <is>
          <t>Yes</t>
        </is>
      </c>
      <c r="AR165">
        <f>HYPERLINK("http://catalog.hathitrust.org/Record/000777773","HathiTrust Record")</f>
        <v/>
      </c>
      <c r="AS165">
        <f>HYPERLINK("https://creighton-primo.hosted.exlibrisgroup.com/primo-explore/search?tab=default_tab&amp;search_scope=EVERYTHING&amp;vid=01CRU&amp;lang=en_US&amp;offset=0&amp;query=any,contains,991005214619702656","Catalog Record")</f>
        <v/>
      </c>
      <c r="AT165">
        <f>HYPERLINK("http://www.worldcat.org/oclc/8176668","WorldCat Record")</f>
        <v/>
      </c>
      <c r="AU165" t="inlineStr">
        <is>
          <t>863758640:eng</t>
        </is>
      </c>
      <c r="AV165" t="inlineStr">
        <is>
          <t>8176668</t>
        </is>
      </c>
      <c r="AW165" t="inlineStr">
        <is>
          <t>991005214619702656</t>
        </is>
      </c>
      <c r="AX165" t="inlineStr">
        <is>
          <t>991005214619702656</t>
        </is>
      </c>
      <c r="AY165" t="inlineStr">
        <is>
          <t>2259563290002656</t>
        </is>
      </c>
      <c r="AZ165" t="inlineStr">
        <is>
          <t>BOOK</t>
        </is>
      </c>
      <c r="BB165" t="inlineStr">
        <is>
          <t>9780299089504</t>
        </is>
      </c>
      <c r="BC165" t="inlineStr">
        <is>
          <t>32285000088715</t>
        </is>
      </c>
      <c r="BD165" t="inlineStr">
        <is>
          <t>893344853</t>
        </is>
      </c>
    </row>
    <row r="166">
      <c r="A166" t="inlineStr">
        <is>
          <t>No</t>
        </is>
      </c>
      <c r="B166" t="inlineStr">
        <is>
          <t>RA529 .B67 1983</t>
        </is>
      </c>
      <c r="C166" t="inlineStr">
        <is>
          <t>0                      RA 0529000B  67          1983</t>
        </is>
      </c>
      <c r="D166" t="inlineStr">
        <is>
          <t>Studies in social dynamics of primary health care / Ashish Bose, P.B. Desai.</t>
        </is>
      </c>
      <c r="F166" t="inlineStr">
        <is>
          <t>No</t>
        </is>
      </c>
      <c r="G166" t="inlineStr">
        <is>
          <t>1</t>
        </is>
      </c>
      <c r="H166" t="inlineStr">
        <is>
          <t>No</t>
        </is>
      </c>
      <c r="I166" t="inlineStr">
        <is>
          <t>No</t>
        </is>
      </c>
      <c r="J166" t="inlineStr">
        <is>
          <t>0</t>
        </is>
      </c>
      <c r="K166" t="inlineStr">
        <is>
          <t>Bose, Ashish.</t>
        </is>
      </c>
      <c r="L166" t="inlineStr">
        <is>
          <t>Delhi : Hindustan Publishing Corporation (India), 1983.</t>
        </is>
      </c>
      <c r="M166" t="inlineStr">
        <is>
          <t>1983</t>
        </is>
      </c>
      <c r="O166" t="inlineStr">
        <is>
          <t>eng</t>
        </is>
      </c>
      <c r="P166" t="inlineStr">
        <is>
          <t xml:space="preserve">ii </t>
        </is>
      </c>
      <c r="Q166" t="inlineStr">
        <is>
          <t>Studies in economic development and planning ; 29</t>
        </is>
      </c>
      <c r="R166" t="inlineStr">
        <is>
          <t xml:space="preserve">RA </t>
        </is>
      </c>
      <c r="S166" t="n">
        <v>8</v>
      </c>
      <c r="T166" t="n">
        <v>8</v>
      </c>
      <c r="U166" t="inlineStr">
        <is>
          <t>1998-11-30</t>
        </is>
      </c>
      <c r="V166" t="inlineStr">
        <is>
          <t>1998-11-30</t>
        </is>
      </c>
      <c r="W166" t="inlineStr">
        <is>
          <t>1990-02-20</t>
        </is>
      </c>
      <c r="X166" t="inlineStr">
        <is>
          <t>1990-02-20</t>
        </is>
      </c>
      <c r="Y166" t="n">
        <v>76</v>
      </c>
      <c r="Z166" t="n">
        <v>55</v>
      </c>
      <c r="AA166" t="n">
        <v>56</v>
      </c>
      <c r="AB166" t="n">
        <v>1</v>
      </c>
      <c r="AC166" t="n">
        <v>1</v>
      </c>
      <c r="AD166" t="n">
        <v>2</v>
      </c>
      <c r="AE166" t="n">
        <v>2</v>
      </c>
      <c r="AF166" t="n">
        <v>0</v>
      </c>
      <c r="AG166" t="n">
        <v>0</v>
      </c>
      <c r="AH166" t="n">
        <v>1</v>
      </c>
      <c r="AI166" t="n">
        <v>1</v>
      </c>
      <c r="AJ166" t="n">
        <v>1</v>
      </c>
      <c r="AK166" t="n">
        <v>1</v>
      </c>
      <c r="AL166" t="n">
        <v>0</v>
      </c>
      <c r="AM166" t="n">
        <v>0</v>
      </c>
      <c r="AN166" t="n">
        <v>0</v>
      </c>
      <c r="AO166" t="n">
        <v>0</v>
      </c>
      <c r="AP166" t="inlineStr">
        <is>
          <t>No</t>
        </is>
      </c>
      <c r="AQ166" t="inlineStr">
        <is>
          <t>No</t>
        </is>
      </c>
      <c r="AS166">
        <f>HYPERLINK("https://creighton-primo.hosted.exlibrisgroup.com/primo-explore/search?tab=default_tab&amp;search_scope=EVERYTHING&amp;vid=01CRU&amp;lang=en_US&amp;offset=0&amp;query=any,contains,991000360739702656","Catalog Record")</f>
        <v/>
      </c>
      <c r="AT166">
        <f>HYPERLINK("http://www.worldcat.org/oclc/10364039","WorldCat Record")</f>
        <v/>
      </c>
      <c r="AU166" t="inlineStr">
        <is>
          <t>3008333:eng</t>
        </is>
      </c>
      <c r="AV166" t="inlineStr">
        <is>
          <t>10364039</t>
        </is>
      </c>
      <c r="AW166" t="inlineStr">
        <is>
          <t>991000360739702656</t>
        </is>
      </c>
      <c r="AX166" t="inlineStr">
        <is>
          <t>991000360739702656</t>
        </is>
      </c>
      <c r="AY166" t="inlineStr">
        <is>
          <t>2270090840002656</t>
        </is>
      </c>
      <c r="AZ166" t="inlineStr">
        <is>
          <t>BOOK</t>
        </is>
      </c>
      <c r="BC166" t="inlineStr">
        <is>
          <t>32285000057447</t>
        </is>
      </c>
      <c r="BD166" t="inlineStr">
        <is>
          <t>893601680</t>
        </is>
      </c>
    </row>
    <row r="167">
      <c r="A167" t="inlineStr">
        <is>
          <t>No</t>
        </is>
      </c>
      <c r="B167" t="inlineStr">
        <is>
          <t>RA552.K46 B43 1981</t>
        </is>
      </c>
      <c r="C167" t="inlineStr">
        <is>
          <t>0                      RA 0552000K  46                 B  43          1981</t>
        </is>
      </c>
      <c r="D167" t="inlineStr">
        <is>
          <t>Medicine, tradition, and development in Kenya and Tanzania 1920-1970 / by Ann Beck.</t>
        </is>
      </c>
      <c r="F167" t="inlineStr">
        <is>
          <t>No</t>
        </is>
      </c>
      <c r="G167" t="inlineStr">
        <is>
          <t>1</t>
        </is>
      </c>
      <c r="H167" t="inlineStr">
        <is>
          <t>No</t>
        </is>
      </c>
      <c r="I167" t="inlineStr">
        <is>
          <t>No</t>
        </is>
      </c>
      <c r="J167" t="inlineStr">
        <is>
          <t>0</t>
        </is>
      </c>
      <c r="K167" t="inlineStr">
        <is>
          <t>Beck, Ann.</t>
        </is>
      </c>
      <c r="L167" t="inlineStr">
        <is>
          <t>Waltham, Mass. : Crossroads Press, c1981.</t>
        </is>
      </c>
      <c r="M167" t="inlineStr">
        <is>
          <t>1981</t>
        </is>
      </c>
      <c r="O167" t="inlineStr">
        <is>
          <t>eng</t>
        </is>
      </c>
      <c r="P167" t="inlineStr">
        <is>
          <t>mau</t>
        </is>
      </c>
      <c r="R167" t="inlineStr">
        <is>
          <t xml:space="preserve">RA </t>
        </is>
      </c>
      <c r="S167" t="n">
        <v>7</v>
      </c>
      <c r="T167" t="n">
        <v>7</v>
      </c>
      <c r="U167" t="inlineStr">
        <is>
          <t>1999-02-01</t>
        </is>
      </c>
      <c r="V167" t="inlineStr">
        <is>
          <t>1999-02-01</t>
        </is>
      </c>
      <c r="W167" t="inlineStr">
        <is>
          <t>1993-03-11</t>
        </is>
      </c>
      <c r="X167" t="inlineStr">
        <is>
          <t>1993-03-11</t>
        </is>
      </c>
      <c r="Y167" t="n">
        <v>222</v>
      </c>
      <c r="Z167" t="n">
        <v>163</v>
      </c>
      <c r="AA167" t="n">
        <v>165</v>
      </c>
      <c r="AB167" t="n">
        <v>3</v>
      </c>
      <c r="AC167" t="n">
        <v>3</v>
      </c>
      <c r="AD167" t="n">
        <v>7</v>
      </c>
      <c r="AE167" t="n">
        <v>7</v>
      </c>
      <c r="AF167" t="n">
        <v>1</v>
      </c>
      <c r="AG167" t="n">
        <v>1</v>
      </c>
      <c r="AH167" t="n">
        <v>4</v>
      </c>
      <c r="AI167" t="n">
        <v>4</v>
      </c>
      <c r="AJ167" t="n">
        <v>3</v>
      </c>
      <c r="AK167" t="n">
        <v>3</v>
      </c>
      <c r="AL167" t="n">
        <v>2</v>
      </c>
      <c r="AM167" t="n">
        <v>2</v>
      </c>
      <c r="AN167" t="n">
        <v>0</v>
      </c>
      <c r="AO167" t="n">
        <v>0</v>
      </c>
      <c r="AP167" t="inlineStr">
        <is>
          <t>No</t>
        </is>
      </c>
      <c r="AQ167" t="inlineStr">
        <is>
          <t>Yes</t>
        </is>
      </c>
      <c r="AR167">
        <f>HYPERLINK("http://catalog.hathitrust.org/Record/000155684","HathiTrust Record")</f>
        <v/>
      </c>
      <c r="AS167">
        <f>HYPERLINK("https://creighton-primo.hosted.exlibrisgroup.com/primo-explore/search?tab=default_tab&amp;search_scope=EVERYTHING&amp;vid=01CRU&amp;lang=en_US&amp;offset=0&amp;query=any,contains,991005200399702656","Catalog Record")</f>
        <v/>
      </c>
      <c r="AT167">
        <f>HYPERLINK("http://www.worldcat.org/oclc/8069799","WorldCat Record")</f>
        <v/>
      </c>
      <c r="AU167" t="inlineStr">
        <is>
          <t>562204:eng</t>
        </is>
      </c>
      <c r="AV167" t="inlineStr">
        <is>
          <t>8069799</t>
        </is>
      </c>
      <c r="AW167" t="inlineStr">
        <is>
          <t>991005200399702656</t>
        </is>
      </c>
      <c r="AX167" t="inlineStr">
        <is>
          <t>991005200399702656</t>
        </is>
      </c>
      <c r="AY167" t="inlineStr">
        <is>
          <t>2258852200002656</t>
        </is>
      </c>
      <c r="AZ167" t="inlineStr">
        <is>
          <t>BOOK</t>
        </is>
      </c>
      <c r="BB167" t="inlineStr">
        <is>
          <t>9780918456441</t>
        </is>
      </c>
      <c r="BC167" t="inlineStr">
        <is>
          <t>32285001587186</t>
        </is>
      </c>
      <c r="BD167" t="inlineStr">
        <is>
          <t>893807985</t>
        </is>
      </c>
    </row>
    <row r="168">
      <c r="A168" t="inlineStr">
        <is>
          <t>No</t>
        </is>
      </c>
      <c r="B168" t="inlineStr">
        <is>
          <t>RA553 .B63 1982</t>
        </is>
      </c>
      <c r="C168" t="inlineStr">
        <is>
          <t>0                      RA 0553000B  63          1982</t>
        </is>
      </c>
      <c r="D168" t="inlineStr">
        <is>
          <t>Body, land, and spirit : health and healing in Aboriginal society / edited by Janice Reid.</t>
        </is>
      </c>
      <c r="F168" t="inlineStr">
        <is>
          <t>No</t>
        </is>
      </c>
      <c r="G168" t="inlineStr">
        <is>
          <t>1</t>
        </is>
      </c>
      <c r="H168" t="inlineStr">
        <is>
          <t>No</t>
        </is>
      </c>
      <c r="I168" t="inlineStr">
        <is>
          <t>No</t>
        </is>
      </c>
      <c r="J168" t="inlineStr">
        <is>
          <t>0</t>
        </is>
      </c>
      <c r="L168" t="inlineStr">
        <is>
          <t>St. Lucia ; New York : University of Queensland Press, c1982.</t>
        </is>
      </c>
      <c r="M168" t="inlineStr">
        <is>
          <t>1982</t>
        </is>
      </c>
      <c r="O168" t="inlineStr">
        <is>
          <t>eng</t>
        </is>
      </c>
      <c r="P168" t="inlineStr">
        <is>
          <t xml:space="preserve">at </t>
        </is>
      </c>
      <c r="Q168" t="inlineStr">
        <is>
          <t>Studies in society and culture series</t>
        </is>
      </c>
      <c r="R168" t="inlineStr">
        <is>
          <t xml:space="preserve">RA </t>
        </is>
      </c>
      <c r="S168" t="n">
        <v>8</v>
      </c>
      <c r="T168" t="n">
        <v>8</v>
      </c>
      <c r="U168" t="inlineStr">
        <is>
          <t>1999-09-13</t>
        </is>
      </c>
      <c r="V168" t="inlineStr">
        <is>
          <t>1999-09-13</t>
        </is>
      </c>
      <c r="W168" t="inlineStr">
        <is>
          <t>1990-02-08</t>
        </is>
      </c>
      <c r="X168" t="inlineStr">
        <is>
          <t>1990-02-08</t>
        </is>
      </c>
      <c r="Y168" t="n">
        <v>359</v>
      </c>
      <c r="Z168" t="n">
        <v>230</v>
      </c>
      <c r="AA168" t="n">
        <v>252</v>
      </c>
      <c r="AB168" t="n">
        <v>3</v>
      </c>
      <c r="AC168" t="n">
        <v>3</v>
      </c>
      <c r="AD168" t="n">
        <v>8</v>
      </c>
      <c r="AE168" t="n">
        <v>9</v>
      </c>
      <c r="AF168" t="n">
        <v>1</v>
      </c>
      <c r="AG168" t="n">
        <v>1</v>
      </c>
      <c r="AH168" t="n">
        <v>0</v>
      </c>
      <c r="AI168" t="n">
        <v>1</v>
      </c>
      <c r="AJ168" t="n">
        <v>5</v>
      </c>
      <c r="AK168" t="n">
        <v>6</v>
      </c>
      <c r="AL168" t="n">
        <v>2</v>
      </c>
      <c r="AM168" t="n">
        <v>2</v>
      </c>
      <c r="AN168" t="n">
        <v>0</v>
      </c>
      <c r="AO168" t="n">
        <v>0</v>
      </c>
      <c r="AP168" t="inlineStr">
        <is>
          <t>No</t>
        </is>
      </c>
      <c r="AQ168" t="inlineStr">
        <is>
          <t>Yes</t>
        </is>
      </c>
      <c r="AR168">
        <f>HYPERLINK("http://catalog.hathitrust.org/Record/000110018","HathiTrust Record")</f>
        <v/>
      </c>
      <c r="AS168">
        <f>HYPERLINK("https://creighton-primo.hosted.exlibrisgroup.com/primo-explore/search?tab=default_tab&amp;search_scope=EVERYTHING&amp;vid=01CRU&amp;lang=en_US&amp;offset=0&amp;query=any,contains,991005193769702656","Catalog Record")</f>
        <v/>
      </c>
      <c r="AT168">
        <f>HYPERLINK("http://www.worldcat.org/oclc/8032700","WorldCat Record")</f>
        <v/>
      </c>
      <c r="AU168" t="inlineStr">
        <is>
          <t>836921791:eng</t>
        </is>
      </c>
      <c r="AV168" t="inlineStr">
        <is>
          <t>8032700</t>
        </is>
      </c>
      <c r="AW168" t="inlineStr">
        <is>
          <t>991005193769702656</t>
        </is>
      </c>
      <c r="AX168" t="inlineStr">
        <is>
          <t>991005193769702656</t>
        </is>
      </c>
      <c r="AY168" t="inlineStr">
        <is>
          <t>2269138250002656</t>
        </is>
      </c>
      <c r="AZ168" t="inlineStr">
        <is>
          <t>BOOK</t>
        </is>
      </c>
      <c r="BB168" t="inlineStr">
        <is>
          <t>9780702216596</t>
        </is>
      </c>
      <c r="BC168" t="inlineStr">
        <is>
          <t>32285000034131</t>
        </is>
      </c>
      <c r="BD168" t="inlineStr">
        <is>
          <t>893514211</t>
        </is>
      </c>
    </row>
    <row r="169">
      <c r="A169" t="inlineStr">
        <is>
          <t>No</t>
        </is>
      </c>
      <c r="B169" t="inlineStr">
        <is>
          <t>RA564.8 .B76 1985</t>
        </is>
      </c>
      <c r="C169" t="inlineStr">
        <is>
          <t>0                      RA 0564800B  76          1985</t>
        </is>
      </c>
      <c r="D169" t="inlineStr">
        <is>
          <t>Mental and physical health practices of older people : a guide for health professionals / Elaine M. Brody with the assistance of Morton H. Kleban and William E. Oriol ; foreword by Barry D. Lebowitz.</t>
        </is>
      </c>
      <c r="F169" t="inlineStr">
        <is>
          <t>No</t>
        </is>
      </c>
      <c r="G169" t="inlineStr">
        <is>
          <t>1</t>
        </is>
      </c>
      <c r="H169" t="inlineStr">
        <is>
          <t>Yes</t>
        </is>
      </c>
      <c r="I169" t="inlineStr">
        <is>
          <t>No</t>
        </is>
      </c>
      <c r="J169" t="inlineStr">
        <is>
          <t>0</t>
        </is>
      </c>
      <c r="K169" t="inlineStr">
        <is>
          <t>Brody, Elaine M.</t>
        </is>
      </c>
      <c r="L169" t="inlineStr">
        <is>
          <t>New York : Springer Pub. Co., c1985.</t>
        </is>
      </c>
      <c r="M169" t="inlineStr">
        <is>
          <t>1985</t>
        </is>
      </c>
      <c r="O169" t="inlineStr">
        <is>
          <t>eng</t>
        </is>
      </c>
      <c r="P169" t="inlineStr">
        <is>
          <t>nyu</t>
        </is>
      </c>
      <c r="R169" t="inlineStr">
        <is>
          <t xml:space="preserve">RA </t>
        </is>
      </c>
      <c r="S169" t="n">
        <v>2</v>
      </c>
      <c r="T169" t="n">
        <v>2</v>
      </c>
      <c r="U169" t="inlineStr">
        <is>
          <t>2004-05-03</t>
        </is>
      </c>
      <c r="V169" t="inlineStr">
        <is>
          <t>2004-05-03</t>
        </is>
      </c>
      <c r="W169" t="inlineStr">
        <is>
          <t>1992-02-07</t>
        </is>
      </c>
      <c r="X169" t="inlineStr">
        <is>
          <t>1992-02-07</t>
        </is>
      </c>
      <c r="Y169" t="n">
        <v>454</v>
      </c>
      <c r="Z169" t="n">
        <v>401</v>
      </c>
      <c r="AA169" t="n">
        <v>408</v>
      </c>
      <c r="AB169" t="n">
        <v>3</v>
      </c>
      <c r="AC169" t="n">
        <v>3</v>
      </c>
      <c r="AD169" t="n">
        <v>13</v>
      </c>
      <c r="AE169" t="n">
        <v>13</v>
      </c>
      <c r="AF169" t="n">
        <v>3</v>
      </c>
      <c r="AG169" t="n">
        <v>3</v>
      </c>
      <c r="AH169" t="n">
        <v>4</v>
      </c>
      <c r="AI169" t="n">
        <v>4</v>
      </c>
      <c r="AJ169" t="n">
        <v>10</v>
      </c>
      <c r="AK169" t="n">
        <v>10</v>
      </c>
      <c r="AL169" t="n">
        <v>1</v>
      </c>
      <c r="AM169" t="n">
        <v>1</v>
      </c>
      <c r="AN169" t="n">
        <v>0</v>
      </c>
      <c r="AO169" t="n">
        <v>0</v>
      </c>
      <c r="AP169" t="inlineStr">
        <is>
          <t>No</t>
        </is>
      </c>
      <c r="AQ169" t="inlineStr">
        <is>
          <t>Yes</t>
        </is>
      </c>
      <c r="AR169">
        <f>HYPERLINK("http://catalog.hathitrust.org/Record/000564294","HathiTrust Record")</f>
        <v/>
      </c>
      <c r="AS169">
        <f>HYPERLINK("https://creighton-primo.hosted.exlibrisgroup.com/primo-explore/search?tab=default_tab&amp;search_scope=EVERYTHING&amp;vid=01CRU&amp;lang=en_US&amp;offset=0&amp;query=any,contains,991000508599702656","Catalog Record")</f>
        <v/>
      </c>
      <c r="AT169">
        <f>HYPERLINK("http://www.worldcat.org/oclc/11233831","WorldCat Record")</f>
        <v/>
      </c>
      <c r="AU169" t="inlineStr">
        <is>
          <t>428760321:eng</t>
        </is>
      </c>
      <c r="AV169" t="inlineStr">
        <is>
          <t>11233831</t>
        </is>
      </c>
      <c r="AW169" t="inlineStr">
        <is>
          <t>991000508599702656</t>
        </is>
      </c>
      <c r="AX169" t="inlineStr">
        <is>
          <t>991000508599702656</t>
        </is>
      </c>
      <c r="AY169" t="inlineStr">
        <is>
          <t>2258059170002656</t>
        </is>
      </c>
      <c r="AZ169" t="inlineStr">
        <is>
          <t>BOOK</t>
        </is>
      </c>
      <c r="BB169" t="inlineStr">
        <is>
          <t>9780826148704</t>
        </is>
      </c>
      <c r="BC169" t="inlineStr">
        <is>
          <t>32285000943067</t>
        </is>
      </c>
      <c r="BD169" t="inlineStr">
        <is>
          <t>893327341</t>
        </is>
      </c>
    </row>
    <row r="170">
      <c r="A170" t="inlineStr">
        <is>
          <t>No</t>
        </is>
      </c>
      <c r="B170" t="inlineStr">
        <is>
          <t>RA564.8 .L67 1987</t>
        </is>
      </c>
      <c r="C170" t="inlineStr">
        <is>
          <t>0                      RA 0564800L  67          1987</t>
        </is>
      </c>
      <c r="D170" t="inlineStr">
        <is>
          <t>Long term health care : providing a spectrum of services to the aged / Philip W. Brickner ... [et al.].</t>
        </is>
      </c>
      <c r="F170" t="inlineStr">
        <is>
          <t>No</t>
        </is>
      </c>
      <c r="G170" t="inlineStr">
        <is>
          <t>1</t>
        </is>
      </c>
      <c r="H170" t="inlineStr">
        <is>
          <t>No</t>
        </is>
      </c>
      <c r="I170" t="inlineStr">
        <is>
          <t>No</t>
        </is>
      </c>
      <c r="J170" t="inlineStr">
        <is>
          <t>0</t>
        </is>
      </c>
      <c r="L170" t="inlineStr">
        <is>
          <t>New York : Basic Books, c1987.</t>
        </is>
      </c>
      <c r="M170" t="inlineStr">
        <is>
          <t>1987</t>
        </is>
      </c>
      <c r="O170" t="inlineStr">
        <is>
          <t>eng</t>
        </is>
      </c>
      <c r="P170" t="inlineStr">
        <is>
          <t>nyu</t>
        </is>
      </c>
      <c r="R170" t="inlineStr">
        <is>
          <t xml:space="preserve">RA </t>
        </is>
      </c>
      <c r="S170" t="n">
        <v>4</v>
      </c>
      <c r="T170" t="n">
        <v>4</v>
      </c>
      <c r="U170" t="inlineStr">
        <is>
          <t>2004-04-18</t>
        </is>
      </c>
      <c r="V170" t="inlineStr">
        <is>
          <t>2004-04-18</t>
        </is>
      </c>
      <c r="W170" t="inlineStr">
        <is>
          <t>1992-04-26</t>
        </is>
      </c>
      <c r="X170" t="inlineStr">
        <is>
          <t>1992-04-26</t>
        </is>
      </c>
      <c r="Y170" t="n">
        <v>264</v>
      </c>
      <c r="Z170" t="n">
        <v>236</v>
      </c>
      <c r="AA170" t="n">
        <v>236</v>
      </c>
      <c r="AB170" t="n">
        <v>1</v>
      </c>
      <c r="AC170" t="n">
        <v>1</v>
      </c>
      <c r="AD170" t="n">
        <v>4</v>
      </c>
      <c r="AE170" t="n">
        <v>4</v>
      </c>
      <c r="AF170" t="n">
        <v>1</v>
      </c>
      <c r="AG170" t="n">
        <v>1</v>
      </c>
      <c r="AH170" t="n">
        <v>0</v>
      </c>
      <c r="AI170" t="n">
        <v>0</v>
      </c>
      <c r="AJ170" t="n">
        <v>3</v>
      </c>
      <c r="AK170" t="n">
        <v>3</v>
      </c>
      <c r="AL170" t="n">
        <v>0</v>
      </c>
      <c r="AM170" t="n">
        <v>0</v>
      </c>
      <c r="AN170" t="n">
        <v>0</v>
      </c>
      <c r="AO170" t="n">
        <v>0</v>
      </c>
      <c r="AP170" t="inlineStr">
        <is>
          <t>No</t>
        </is>
      </c>
      <c r="AQ170" t="inlineStr">
        <is>
          <t>No</t>
        </is>
      </c>
      <c r="AS170">
        <f>HYPERLINK("https://creighton-primo.hosted.exlibrisgroup.com/primo-explore/search?tab=default_tab&amp;search_scope=EVERYTHING&amp;vid=01CRU&amp;lang=en_US&amp;offset=0&amp;query=any,contains,991001137059702656","Catalog Record")</f>
        <v/>
      </c>
      <c r="AT170">
        <f>HYPERLINK("http://www.worldcat.org/oclc/16717109","WorldCat Record")</f>
        <v/>
      </c>
      <c r="AU170" t="inlineStr">
        <is>
          <t>13487181:eng</t>
        </is>
      </c>
      <c r="AV170" t="inlineStr">
        <is>
          <t>16717109</t>
        </is>
      </c>
      <c r="AW170" t="inlineStr">
        <is>
          <t>991001137059702656</t>
        </is>
      </c>
      <c r="AX170" t="inlineStr">
        <is>
          <t>991001137059702656</t>
        </is>
      </c>
      <c r="AY170" t="inlineStr">
        <is>
          <t>2256649240002656</t>
        </is>
      </c>
      <c r="AZ170" t="inlineStr">
        <is>
          <t>BOOK</t>
        </is>
      </c>
      <c r="BB170" t="inlineStr">
        <is>
          <t>9780465042203</t>
        </is>
      </c>
      <c r="BC170" t="inlineStr">
        <is>
          <t>32285001087179</t>
        </is>
      </c>
      <c r="BD170" t="inlineStr">
        <is>
          <t>893596226</t>
        </is>
      </c>
    </row>
    <row r="171">
      <c r="A171" t="inlineStr">
        <is>
          <t>No</t>
        </is>
      </c>
      <c r="B171" t="inlineStr">
        <is>
          <t>RA564.8 .P43</t>
        </is>
      </c>
      <c r="C171" t="inlineStr">
        <is>
          <t>0                      RA 0564800P  43</t>
        </is>
      </c>
      <c r="D171" t="inlineStr">
        <is>
          <t>Health care and the elderly / C. Carl Pegels.</t>
        </is>
      </c>
      <c r="F171" t="inlineStr">
        <is>
          <t>No</t>
        </is>
      </c>
      <c r="G171" t="inlineStr">
        <is>
          <t>1</t>
        </is>
      </c>
      <c r="H171" t="inlineStr">
        <is>
          <t>Yes</t>
        </is>
      </c>
      <c r="I171" t="inlineStr">
        <is>
          <t>No</t>
        </is>
      </c>
      <c r="J171" t="inlineStr">
        <is>
          <t>0</t>
        </is>
      </c>
      <c r="K171" t="inlineStr">
        <is>
          <t>Pegels, C. Carl.</t>
        </is>
      </c>
      <c r="L171" t="inlineStr">
        <is>
          <t>Rockville, Md. : Aspen Systems Corp., 1981.</t>
        </is>
      </c>
      <c r="M171" t="inlineStr">
        <is>
          <t>1980</t>
        </is>
      </c>
      <c r="O171" t="inlineStr">
        <is>
          <t>eng</t>
        </is>
      </c>
      <c r="P171" t="inlineStr">
        <is>
          <t>mdu</t>
        </is>
      </c>
      <c r="R171" t="inlineStr">
        <is>
          <t xml:space="preserve">RA </t>
        </is>
      </c>
      <c r="S171" t="n">
        <v>11</v>
      </c>
      <c r="T171" t="n">
        <v>11</v>
      </c>
      <c r="U171" t="inlineStr">
        <is>
          <t>2008-12-03</t>
        </is>
      </c>
      <c r="V171" t="inlineStr">
        <is>
          <t>2008-12-03</t>
        </is>
      </c>
      <c r="W171" t="inlineStr">
        <is>
          <t>1991-12-06</t>
        </is>
      </c>
      <c r="X171" t="inlineStr">
        <is>
          <t>1991-12-06</t>
        </is>
      </c>
      <c r="Y171" t="n">
        <v>427</v>
      </c>
      <c r="Z171" t="n">
        <v>401</v>
      </c>
      <c r="AA171" t="n">
        <v>406</v>
      </c>
      <c r="AB171" t="n">
        <v>4</v>
      </c>
      <c r="AC171" t="n">
        <v>4</v>
      </c>
      <c r="AD171" t="n">
        <v>23</v>
      </c>
      <c r="AE171" t="n">
        <v>23</v>
      </c>
      <c r="AF171" t="n">
        <v>11</v>
      </c>
      <c r="AG171" t="n">
        <v>11</v>
      </c>
      <c r="AH171" t="n">
        <v>6</v>
      </c>
      <c r="AI171" t="n">
        <v>6</v>
      </c>
      <c r="AJ171" t="n">
        <v>12</v>
      </c>
      <c r="AK171" t="n">
        <v>12</v>
      </c>
      <c r="AL171" t="n">
        <v>2</v>
      </c>
      <c r="AM171" t="n">
        <v>2</v>
      </c>
      <c r="AN171" t="n">
        <v>1</v>
      </c>
      <c r="AO171" t="n">
        <v>1</v>
      </c>
      <c r="AP171" t="inlineStr">
        <is>
          <t>No</t>
        </is>
      </c>
      <c r="AQ171" t="inlineStr">
        <is>
          <t>Yes</t>
        </is>
      </c>
      <c r="AR171">
        <f>HYPERLINK("http://catalog.hathitrust.org/Record/008580947","HathiTrust Record")</f>
        <v/>
      </c>
      <c r="AS171">
        <f>HYPERLINK("https://creighton-primo.hosted.exlibrisgroup.com/primo-explore/search?tab=default_tab&amp;search_scope=EVERYTHING&amp;vid=01CRU&amp;lang=en_US&amp;offset=0&amp;query=any,contains,991005042949702656","Catalog Record")</f>
        <v/>
      </c>
      <c r="AT171">
        <f>HYPERLINK("http://www.worldcat.org/oclc/6813054","WorldCat Record")</f>
        <v/>
      </c>
      <c r="AU171" t="inlineStr">
        <is>
          <t>551535:eng</t>
        </is>
      </c>
      <c r="AV171" t="inlineStr">
        <is>
          <t>6813054</t>
        </is>
      </c>
      <c r="AW171" t="inlineStr">
        <is>
          <t>991005042949702656</t>
        </is>
      </c>
      <c r="AX171" t="inlineStr">
        <is>
          <t>991005042949702656</t>
        </is>
      </c>
      <c r="AY171" t="inlineStr">
        <is>
          <t>2268284050002656</t>
        </is>
      </c>
      <c r="AZ171" t="inlineStr">
        <is>
          <t>BOOK</t>
        </is>
      </c>
      <c r="BB171" t="inlineStr">
        <is>
          <t>9780894433337</t>
        </is>
      </c>
      <c r="BC171" t="inlineStr">
        <is>
          <t>32285000837863</t>
        </is>
      </c>
      <c r="BD171" t="inlineStr">
        <is>
          <t>893536325</t>
        </is>
      </c>
    </row>
    <row r="172">
      <c r="A172" t="inlineStr">
        <is>
          <t>No</t>
        </is>
      </c>
      <c r="B172" t="inlineStr">
        <is>
          <t>RA564.8 .S53 1987</t>
        </is>
      </c>
      <c r="C172" t="inlineStr">
        <is>
          <t>0                      RA 0564800S  53          1987</t>
        </is>
      </c>
      <c r="D172" t="inlineStr">
        <is>
          <t>Should medical care be rationed by age? / edited by Timothy M. Smeeding, with Margaret P. Battin, Leslie P. Francis, Bruce M. Landesman.</t>
        </is>
      </c>
      <c r="F172" t="inlineStr">
        <is>
          <t>No</t>
        </is>
      </c>
      <c r="G172" t="inlineStr">
        <is>
          <t>1</t>
        </is>
      </c>
      <c r="H172" t="inlineStr">
        <is>
          <t>No</t>
        </is>
      </c>
      <c r="I172" t="inlineStr">
        <is>
          <t>No</t>
        </is>
      </c>
      <c r="J172" t="inlineStr">
        <is>
          <t>0</t>
        </is>
      </c>
      <c r="L172" t="inlineStr">
        <is>
          <t>Totowa, N.J. : Rowman &amp; Littlefield, c1987.</t>
        </is>
      </c>
      <c r="M172" t="inlineStr">
        <is>
          <t>1987</t>
        </is>
      </c>
      <c r="O172" t="inlineStr">
        <is>
          <t>eng</t>
        </is>
      </c>
      <c r="P172" t="inlineStr">
        <is>
          <t>nju</t>
        </is>
      </c>
      <c r="R172" t="inlineStr">
        <is>
          <t xml:space="preserve">RA </t>
        </is>
      </c>
      <c r="S172" t="n">
        <v>3</v>
      </c>
      <c r="T172" t="n">
        <v>3</v>
      </c>
      <c r="U172" t="inlineStr">
        <is>
          <t>2001-04-11</t>
        </is>
      </c>
      <c r="V172" t="inlineStr">
        <is>
          <t>2001-04-11</t>
        </is>
      </c>
      <c r="W172" t="inlineStr">
        <is>
          <t>1992-12-20</t>
        </is>
      </c>
      <c r="X172" t="inlineStr">
        <is>
          <t>1992-12-20</t>
        </is>
      </c>
      <c r="Y172" t="n">
        <v>368</v>
      </c>
      <c r="Z172" t="n">
        <v>340</v>
      </c>
      <c r="AA172" t="n">
        <v>346</v>
      </c>
      <c r="AB172" t="n">
        <v>1</v>
      </c>
      <c r="AC172" t="n">
        <v>1</v>
      </c>
      <c r="AD172" t="n">
        <v>18</v>
      </c>
      <c r="AE172" t="n">
        <v>18</v>
      </c>
      <c r="AF172" t="n">
        <v>6</v>
      </c>
      <c r="AG172" t="n">
        <v>6</v>
      </c>
      <c r="AH172" t="n">
        <v>5</v>
      </c>
      <c r="AI172" t="n">
        <v>5</v>
      </c>
      <c r="AJ172" t="n">
        <v>8</v>
      </c>
      <c r="AK172" t="n">
        <v>8</v>
      </c>
      <c r="AL172" t="n">
        <v>0</v>
      </c>
      <c r="AM172" t="n">
        <v>0</v>
      </c>
      <c r="AN172" t="n">
        <v>5</v>
      </c>
      <c r="AO172" t="n">
        <v>5</v>
      </c>
      <c r="AP172" t="inlineStr">
        <is>
          <t>No</t>
        </is>
      </c>
      <c r="AQ172" t="inlineStr">
        <is>
          <t>No</t>
        </is>
      </c>
      <c r="AS172">
        <f>HYPERLINK("https://creighton-primo.hosted.exlibrisgroup.com/primo-explore/search?tab=default_tab&amp;search_scope=EVERYTHING&amp;vid=01CRU&amp;lang=en_US&amp;offset=0&amp;query=any,contains,991000871929702656","Catalog Record")</f>
        <v/>
      </c>
      <c r="AT172">
        <f>HYPERLINK("http://www.worldcat.org/oclc/13793423","WorldCat Record")</f>
        <v/>
      </c>
      <c r="AU172" t="inlineStr">
        <is>
          <t>7880649:eng</t>
        </is>
      </c>
      <c r="AV172" t="inlineStr">
        <is>
          <t>13793423</t>
        </is>
      </c>
      <c r="AW172" t="inlineStr">
        <is>
          <t>991000871929702656</t>
        </is>
      </c>
      <c r="AX172" t="inlineStr">
        <is>
          <t>991000871929702656</t>
        </is>
      </c>
      <c r="AY172" t="inlineStr">
        <is>
          <t>2272234200002656</t>
        </is>
      </c>
      <c r="AZ172" t="inlineStr">
        <is>
          <t>BOOK</t>
        </is>
      </c>
      <c r="BB172" t="inlineStr">
        <is>
          <t>9780847675210</t>
        </is>
      </c>
      <c r="BC172" t="inlineStr">
        <is>
          <t>32285001470136</t>
        </is>
      </c>
      <c r="BD172" t="inlineStr">
        <is>
          <t>893872082</t>
        </is>
      </c>
    </row>
    <row r="173">
      <c r="A173" t="inlineStr">
        <is>
          <t>No</t>
        </is>
      </c>
      <c r="B173" t="inlineStr">
        <is>
          <t>RA564.8 .T43 1987</t>
        </is>
      </c>
      <c r="C173" t="inlineStr">
        <is>
          <t>0                      RA 0564800T  43          1987</t>
        </is>
      </c>
      <c r="D173" t="inlineStr">
        <is>
          <t>Health promotion programs : achieving high-level wellness in the later years / Michael L. Teague.</t>
        </is>
      </c>
      <c r="F173" t="inlineStr">
        <is>
          <t>No</t>
        </is>
      </c>
      <c r="G173" t="inlineStr">
        <is>
          <t>1</t>
        </is>
      </c>
      <c r="H173" t="inlineStr">
        <is>
          <t>No</t>
        </is>
      </c>
      <c r="I173" t="inlineStr">
        <is>
          <t>No</t>
        </is>
      </c>
      <c r="J173" t="inlineStr">
        <is>
          <t>0</t>
        </is>
      </c>
      <c r="K173" t="inlineStr">
        <is>
          <t>Teague, Michael L., 1946-</t>
        </is>
      </c>
      <c r="L173" t="inlineStr">
        <is>
          <t>Indianapolis : Benchmark Press, 1987.</t>
        </is>
      </c>
      <c r="M173" t="inlineStr">
        <is>
          <t>1987</t>
        </is>
      </c>
      <c r="O173" t="inlineStr">
        <is>
          <t>eng</t>
        </is>
      </c>
      <c r="P173" t="inlineStr">
        <is>
          <t>inu</t>
        </is>
      </c>
      <c r="R173" t="inlineStr">
        <is>
          <t xml:space="preserve">RA </t>
        </is>
      </c>
      <c r="S173" t="n">
        <v>3</v>
      </c>
      <c r="T173" t="n">
        <v>3</v>
      </c>
      <c r="U173" t="inlineStr">
        <is>
          <t>2004-04-18</t>
        </is>
      </c>
      <c r="V173" t="inlineStr">
        <is>
          <t>2004-04-18</t>
        </is>
      </c>
      <c r="W173" t="inlineStr">
        <is>
          <t>1991-11-13</t>
        </is>
      </c>
      <c r="X173" t="inlineStr">
        <is>
          <t>1991-11-13</t>
        </is>
      </c>
      <c r="Y173" t="n">
        <v>197</v>
      </c>
      <c r="Z173" t="n">
        <v>179</v>
      </c>
      <c r="AA173" t="n">
        <v>186</v>
      </c>
      <c r="AB173" t="n">
        <v>2</v>
      </c>
      <c r="AC173" t="n">
        <v>2</v>
      </c>
      <c r="AD173" t="n">
        <v>4</v>
      </c>
      <c r="AE173" t="n">
        <v>4</v>
      </c>
      <c r="AF173" t="n">
        <v>2</v>
      </c>
      <c r="AG173" t="n">
        <v>2</v>
      </c>
      <c r="AH173" t="n">
        <v>1</v>
      </c>
      <c r="AI173" t="n">
        <v>1</v>
      </c>
      <c r="AJ173" t="n">
        <v>1</v>
      </c>
      <c r="AK173" t="n">
        <v>1</v>
      </c>
      <c r="AL173" t="n">
        <v>1</v>
      </c>
      <c r="AM173" t="n">
        <v>1</v>
      </c>
      <c r="AN173" t="n">
        <v>0</v>
      </c>
      <c r="AO173" t="n">
        <v>0</v>
      </c>
      <c r="AP173" t="inlineStr">
        <is>
          <t>No</t>
        </is>
      </c>
      <c r="AQ173" t="inlineStr">
        <is>
          <t>Yes</t>
        </is>
      </c>
      <c r="AR173">
        <f>HYPERLINK("http://catalog.hathitrust.org/Record/004443353","HathiTrust Record")</f>
        <v/>
      </c>
      <c r="AS173">
        <f>HYPERLINK("https://creighton-primo.hosted.exlibrisgroup.com/primo-explore/search?tab=default_tab&amp;search_scope=EVERYTHING&amp;vid=01CRU&amp;lang=en_US&amp;offset=0&amp;query=any,contains,991001039099702656","Catalog Record")</f>
        <v/>
      </c>
      <c r="AT173">
        <f>HYPERLINK("http://www.worldcat.org/oclc/15560525","WorldCat Record")</f>
        <v/>
      </c>
      <c r="AU173" t="inlineStr">
        <is>
          <t>3855590455:eng</t>
        </is>
      </c>
      <c r="AV173" t="inlineStr">
        <is>
          <t>15560525</t>
        </is>
      </c>
      <c r="AW173" t="inlineStr">
        <is>
          <t>991001039099702656</t>
        </is>
      </c>
      <c r="AX173" t="inlineStr">
        <is>
          <t>991001039099702656</t>
        </is>
      </c>
      <c r="AY173" t="inlineStr">
        <is>
          <t>2257053210002656</t>
        </is>
      </c>
      <c r="AZ173" t="inlineStr">
        <is>
          <t>BOOK</t>
        </is>
      </c>
      <c r="BB173" t="inlineStr">
        <is>
          <t>9780936157085</t>
        </is>
      </c>
      <c r="BC173" t="inlineStr">
        <is>
          <t>32285000823616</t>
        </is>
      </c>
      <c r="BD173" t="inlineStr">
        <is>
          <t>893413903</t>
        </is>
      </c>
    </row>
    <row r="174">
      <c r="A174" t="inlineStr">
        <is>
          <t>No</t>
        </is>
      </c>
      <c r="B174" t="inlineStr">
        <is>
          <t>RA564.8 .W44</t>
        </is>
      </c>
      <c r="C174" t="inlineStr">
        <is>
          <t>0                      RA 0564800W  44</t>
        </is>
      </c>
      <c r="D174" t="inlineStr">
        <is>
          <t>Adult day care : community work with the elderly / Philip G. Weiler, Eloise Rathbone-McCuan, with contributions by Annette Castle &amp; Larry Pickard.</t>
        </is>
      </c>
      <c r="F174" t="inlineStr">
        <is>
          <t>No</t>
        </is>
      </c>
      <c r="G174" t="inlineStr">
        <is>
          <t>1</t>
        </is>
      </c>
      <c r="H174" t="inlineStr">
        <is>
          <t>Yes</t>
        </is>
      </c>
      <c r="I174" t="inlineStr">
        <is>
          <t>No</t>
        </is>
      </c>
      <c r="J174" t="inlineStr">
        <is>
          <t>0</t>
        </is>
      </c>
      <c r="K174" t="inlineStr">
        <is>
          <t>Weiler, Philip G.</t>
        </is>
      </c>
      <c r="L174" t="inlineStr">
        <is>
          <t>New York : Springer Pub. Co., c1978.</t>
        </is>
      </c>
      <c r="M174" t="inlineStr">
        <is>
          <t>1978</t>
        </is>
      </c>
      <c r="O174" t="inlineStr">
        <is>
          <t>eng</t>
        </is>
      </c>
      <c r="P174" t="inlineStr">
        <is>
          <t>nyu</t>
        </is>
      </c>
      <c r="Q174" t="inlineStr">
        <is>
          <t>Springer series on adulthood and aging ; v. 1</t>
        </is>
      </c>
      <c r="R174" t="inlineStr">
        <is>
          <t xml:space="preserve">RA </t>
        </is>
      </c>
      <c r="S174" t="n">
        <v>2</v>
      </c>
      <c r="T174" t="n">
        <v>10</v>
      </c>
      <c r="V174" t="inlineStr">
        <is>
          <t>1997-03-19</t>
        </is>
      </c>
      <c r="W174" t="inlineStr">
        <is>
          <t>1992-03-24</t>
        </is>
      </c>
      <c r="X174" t="inlineStr">
        <is>
          <t>1992-03-24</t>
        </is>
      </c>
      <c r="Y174" t="n">
        <v>483</v>
      </c>
      <c r="Z174" t="n">
        <v>424</v>
      </c>
      <c r="AA174" t="n">
        <v>428</v>
      </c>
      <c r="AB174" t="n">
        <v>5</v>
      </c>
      <c r="AC174" t="n">
        <v>5</v>
      </c>
      <c r="AD174" t="n">
        <v>14</v>
      </c>
      <c r="AE174" t="n">
        <v>14</v>
      </c>
      <c r="AF174" t="n">
        <v>3</v>
      </c>
      <c r="AG174" t="n">
        <v>3</v>
      </c>
      <c r="AH174" t="n">
        <v>3</v>
      </c>
      <c r="AI174" t="n">
        <v>3</v>
      </c>
      <c r="AJ174" t="n">
        <v>9</v>
      </c>
      <c r="AK174" t="n">
        <v>9</v>
      </c>
      <c r="AL174" t="n">
        <v>3</v>
      </c>
      <c r="AM174" t="n">
        <v>3</v>
      </c>
      <c r="AN174" t="n">
        <v>0</v>
      </c>
      <c r="AO174" t="n">
        <v>0</v>
      </c>
      <c r="AP174" t="inlineStr">
        <is>
          <t>No</t>
        </is>
      </c>
      <c r="AQ174" t="inlineStr">
        <is>
          <t>Yes</t>
        </is>
      </c>
      <c r="AR174">
        <f>HYPERLINK("http://catalog.hathitrust.org/Record/000751845","HathiTrust Record")</f>
        <v/>
      </c>
      <c r="AS174">
        <f>HYPERLINK("https://creighton-primo.hosted.exlibrisgroup.com/primo-explore/search?tab=default_tab&amp;search_scope=EVERYTHING&amp;vid=01CRU&amp;lang=en_US&amp;offset=0&amp;query=any,contains,991001782939702656","Catalog Record")</f>
        <v/>
      </c>
      <c r="AT174">
        <f>HYPERLINK("http://www.worldcat.org/oclc/3414259","WorldCat Record")</f>
        <v/>
      </c>
      <c r="AU174" t="inlineStr">
        <is>
          <t>424292066:eng</t>
        </is>
      </c>
      <c r="AV174" t="inlineStr">
        <is>
          <t>3414259</t>
        </is>
      </c>
      <c r="AW174" t="inlineStr">
        <is>
          <t>991001782939702656</t>
        </is>
      </c>
      <c r="AX174" t="inlineStr">
        <is>
          <t>991001782939702656</t>
        </is>
      </c>
      <c r="AY174" t="inlineStr">
        <is>
          <t>2259713320002656</t>
        </is>
      </c>
      <c r="AZ174" t="inlineStr">
        <is>
          <t>BOOK</t>
        </is>
      </c>
      <c r="BB174" t="inlineStr">
        <is>
          <t>9780826122704</t>
        </is>
      </c>
      <c r="BC174" t="inlineStr">
        <is>
          <t>32285001004182</t>
        </is>
      </c>
      <c r="BD174" t="inlineStr">
        <is>
          <t>893244411</t>
        </is>
      </c>
    </row>
    <row r="175">
      <c r="A175" t="inlineStr">
        <is>
          <t>No</t>
        </is>
      </c>
      <c r="B175" t="inlineStr">
        <is>
          <t>RA564.85 .W6543 1988</t>
        </is>
      </c>
      <c r="C175" t="inlineStr">
        <is>
          <t>0                      RA 0564850W  6543        1988</t>
        </is>
      </c>
      <c r="D175" t="inlineStr">
        <is>
          <t>Women and health : cross-cultural perspectives / [edited by] Patricia Whelehan and contributors.</t>
        </is>
      </c>
      <c r="F175" t="inlineStr">
        <is>
          <t>No</t>
        </is>
      </c>
      <c r="G175" t="inlineStr">
        <is>
          <t>1</t>
        </is>
      </c>
      <c r="H175" t="inlineStr">
        <is>
          <t>No</t>
        </is>
      </c>
      <c r="I175" t="inlineStr">
        <is>
          <t>No</t>
        </is>
      </c>
      <c r="J175" t="inlineStr">
        <is>
          <t>0</t>
        </is>
      </c>
      <c r="L175" t="inlineStr">
        <is>
          <t>Granby, Mass. : Bergin &amp; Garvey Publishers, 1988.</t>
        </is>
      </c>
      <c r="M175" t="inlineStr">
        <is>
          <t>1988</t>
        </is>
      </c>
      <c r="O175" t="inlineStr">
        <is>
          <t>eng</t>
        </is>
      </c>
      <c r="P175" t="inlineStr">
        <is>
          <t>mau</t>
        </is>
      </c>
      <c r="R175" t="inlineStr">
        <is>
          <t xml:space="preserve">RA </t>
        </is>
      </c>
      <c r="S175" t="n">
        <v>10</v>
      </c>
      <c r="T175" t="n">
        <v>10</v>
      </c>
      <c r="U175" t="inlineStr">
        <is>
          <t>1996-02-20</t>
        </is>
      </c>
      <c r="V175" t="inlineStr">
        <is>
          <t>1996-02-20</t>
        </is>
      </c>
      <c r="W175" t="inlineStr">
        <is>
          <t>1993-03-11</t>
        </is>
      </c>
      <c r="X175" t="inlineStr">
        <is>
          <t>1993-03-11</t>
        </is>
      </c>
      <c r="Y175" t="n">
        <v>462</v>
      </c>
      <c r="Z175" t="n">
        <v>384</v>
      </c>
      <c r="AA175" t="n">
        <v>391</v>
      </c>
      <c r="AB175" t="n">
        <v>2</v>
      </c>
      <c r="AC175" t="n">
        <v>2</v>
      </c>
      <c r="AD175" t="n">
        <v>14</v>
      </c>
      <c r="AE175" t="n">
        <v>14</v>
      </c>
      <c r="AF175" t="n">
        <v>4</v>
      </c>
      <c r="AG175" t="n">
        <v>4</v>
      </c>
      <c r="AH175" t="n">
        <v>3</v>
      </c>
      <c r="AI175" t="n">
        <v>3</v>
      </c>
      <c r="AJ175" t="n">
        <v>10</v>
      </c>
      <c r="AK175" t="n">
        <v>10</v>
      </c>
      <c r="AL175" t="n">
        <v>1</v>
      </c>
      <c r="AM175" t="n">
        <v>1</v>
      </c>
      <c r="AN175" t="n">
        <v>0</v>
      </c>
      <c r="AO175" t="n">
        <v>0</v>
      </c>
      <c r="AP175" t="inlineStr">
        <is>
          <t>No</t>
        </is>
      </c>
      <c r="AQ175" t="inlineStr">
        <is>
          <t>Yes</t>
        </is>
      </c>
      <c r="AR175">
        <f>HYPERLINK("http://catalog.hathitrust.org/Record/000921252","HathiTrust Record")</f>
        <v/>
      </c>
      <c r="AS175">
        <f>HYPERLINK("https://creighton-primo.hosted.exlibrisgroup.com/primo-explore/search?tab=default_tab&amp;search_scope=EVERYTHING&amp;vid=01CRU&amp;lang=en_US&amp;offset=0&amp;query=any,contains,991001226949702656","Catalog Record")</f>
        <v/>
      </c>
      <c r="AT175">
        <f>HYPERLINK("http://www.worldcat.org/oclc/17508716","WorldCat Record")</f>
        <v/>
      </c>
      <c r="AU175" t="inlineStr">
        <is>
          <t>889730884:eng</t>
        </is>
      </c>
      <c r="AV175" t="inlineStr">
        <is>
          <t>17508716</t>
        </is>
      </c>
      <c r="AW175" t="inlineStr">
        <is>
          <t>991001226949702656</t>
        </is>
      </c>
      <c r="AX175" t="inlineStr">
        <is>
          <t>991001226949702656</t>
        </is>
      </c>
      <c r="AY175" t="inlineStr">
        <is>
          <t>2272435560002656</t>
        </is>
      </c>
      <c r="AZ175" t="inlineStr">
        <is>
          <t>BOOK</t>
        </is>
      </c>
      <c r="BB175" t="inlineStr">
        <is>
          <t>9780897891387</t>
        </is>
      </c>
      <c r="BC175" t="inlineStr">
        <is>
          <t>32285001587236</t>
        </is>
      </c>
      <c r="BD175" t="inlineStr">
        <is>
          <t>893684170</t>
        </is>
      </c>
    </row>
    <row r="176">
      <c r="A176" t="inlineStr">
        <is>
          <t>No</t>
        </is>
      </c>
      <c r="B176" t="inlineStr">
        <is>
          <t>RA564.85 .W683 1994</t>
        </is>
      </c>
      <c r="C176" t="inlineStr">
        <is>
          <t>0                      RA 0564850W  683         1994</t>
        </is>
      </c>
      <c r="D176" t="inlineStr">
        <is>
          <t>Women's health, politics, and power : essays on sex/gender, medicine, and public health / editors, Elizabeth Fee and Nancy Krieger.</t>
        </is>
      </c>
      <c r="F176" t="inlineStr">
        <is>
          <t>No</t>
        </is>
      </c>
      <c r="G176" t="inlineStr">
        <is>
          <t>1</t>
        </is>
      </c>
      <c r="H176" t="inlineStr">
        <is>
          <t>Yes</t>
        </is>
      </c>
      <c r="I176" t="inlineStr">
        <is>
          <t>No</t>
        </is>
      </c>
      <c r="J176" t="inlineStr">
        <is>
          <t>0</t>
        </is>
      </c>
      <c r="L176" t="inlineStr">
        <is>
          <t>Amityville, N.Y. : Baywood Pub. Co., c1994.</t>
        </is>
      </c>
      <c r="M176" t="inlineStr">
        <is>
          <t>1994</t>
        </is>
      </c>
      <c r="O176" t="inlineStr">
        <is>
          <t>eng</t>
        </is>
      </c>
      <c r="P176" t="inlineStr">
        <is>
          <t>nyu</t>
        </is>
      </c>
      <c r="Q176" t="inlineStr">
        <is>
          <t>Policy, politics, health, and medicine series</t>
        </is>
      </c>
      <c r="R176" t="inlineStr">
        <is>
          <t xml:space="preserve">RA </t>
        </is>
      </c>
      <c r="S176" t="n">
        <v>1</v>
      </c>
      <c r="T176" t="n">
        <v>16</v>
      </c>
      <c r="V176" t="inlineStr">
        <is>
          <t>2000-02-12</t>
        </is>
      </c>
      <c r="W176" t="inlineStr">
        <is>
          <t>2000-01-12</t>
        </is>
      </c>
      <c r="X176" t="inlineStr">
        <is>
          <t>2000-01-12</t>
        </is>
      </c>
      <c r="Y176" t="n">
        <v>367</v>
      </c>
      <c r="Z176" t="n">
        <v>273</v>
      </c>
      <c r="AA176" t="n">
        <v>292</v>
      </c>
      <c r="AB176" t="n">
        <v>3</v>
      </c>
      <c r="AC176" t="n">
        <v>3</v>
      </c>
      <c r="AD176" t="n">
        <v>9</v>
      </c>
      <c r="AE176" t="n">
        <v>9</v>
      </c>
      <c r="AF176" t="n">
        <v>2</v>
      </c>
      <c r="AG176" t="n">
        <v>2</v>
      </c>
      <c r="AH176" t="n">
        <v>2</v>
      </c>
      <c r="AI176" t="n">
        <v>2</v>
      </c>
      <c r="AJ176" t="n">
        <v>5</v>
      </c>
      <c r="AK176" t="n">
        <v>5</v>
      </c>
      <c r="AL176" t="n">
        <v>1</v>
      </c>
      <c r="AM176" t="n">
        <v>1</v>
      </c>
      <c r="AN176" t="n">
        <v>1</v>
      </c>
      <c r="AO176" t="n">
        <v>1</v>
      </c>
      <c r="AP176" t="inlineStr">
        <is>
          <t>No</t>
        </is>
      </c>
      <c r="AQ176" t="inlineStr">
        <is>
          <t>Yes</t>
        </is>
      </c>
      <c r="AR176">
        <f>HYPERLINK("http://catalog.hathitrust.org/Record/002858418","HathiTrust Record")</f>
        <v/>
      </c>
      <c r="AS176">
        <f>HYPERLINK("https://creighton-primo.hosted.exlibrisgroup.com/primo-explore/search?tab=default_tab&amp;search_scope=EVERYTHING&amp;vid=01CRU&amp;lang=en_US&amp;offset=0&amp;query=any,contains,991001744919702656","Catalog Record")</f>
        <v/>
      </c>
      <c r="AT176">
        <f>HYPERLINK("http://www.worldcat.org/oclc/29702339","WorldCat Record")</f>
        <v/>
      </c>
      <c r="AU176" t="inlineStr">
        <is>
          <t>811617142:eng</t>
        </is>
      </c>
      <c r="AV176" t="inlineStr">
        <is>
          <t>29702339</t>
        </is>
      </c>
      <c r="AW176" t="inlineStr">
        <is>
          <t>991001744919702656</t>
        </is>
      </c>
      <c r="AX176" t="inlineStr">
        <is>
          <t>991001744919702656</t>
        </is>
      </c>
      <c r="AY176" t="inlineStr">
        <is>
          <t>2261353630002656</t>
        </is>
      </c>
      <c r="AZ176" t="inlineStr">
        <is>
          <t>BOOK</t>
        </is>
      </c>
      <c r="BB176" t="inlineStr">
        <is>
          <t>9780895031204</t>
        </is>
      </c>
      <c r="BC176" t="inlineStr">
        <is>
          <t>32285003640942</t>
        </is>
      </c>
      <c r="BD176" t="inlineStr">
        <is>
          <t>893439382</t>
        </is>
      </c>
    </row>
    <row r="177">
      <c r="A177" t="inlineStr">
        <is>
          <t>No</t>
        </is>
      </c>
      <c r="B177" t="inlineStr">
        <is>
          <t>RA565 .H38 1976b</t>
        </is>
      </c>
      <c r="C177" t="inlineStr">
        <is>
          <t>0                      RA 0565000H  38          1976b</t>
        </is>
      </c>
      <c r="D177" t="inlineStr">
        <is>
          <t>Health and the environment / general editors, John Lenihan and William W. Fletcher.</t>
        </is>
      </c>
      <c r="F177" t="inlineStr">
        <is>
          <t>No</t>
        </is>
      </c>
      <c r="G177" t="inlineStr">
        <is>
          <t>1</t>
        </is>
      </c>
      <c r="H177" t="inlineStr">
        <is>
          <t>No</t>
        </is>
      </c>
      <c r="I177" t="inlineStr">
        <is>
          <t>No</t>
        </is>
      </c>
      <c r="J177" t="inlineStr">
        <is>
          <t>0</t>
        </is>
      </c>
      <c r="L177" t="inlineStr">
        <is>
          <t>New York : Academic Press, 1976.</t>
        </is>
      </c>
      <c r="M177" t="inlineStr">
        <is>
          <t>1976</t>
        </is>
      </c>
      <c r="O177" t="inlineStr">
        <is>
          <t>eng</t>
        </is>
      </c>
      <c r="P177" t="inlineStr">
        <is>
          <t>nyu</t>
        </is>
      </c>
      <c r="Q177" t="inlineStr">
        <is>
          <t>Environment and man ; v. 3</t>
        </is>
      </c>
      <c r="R177" t="inlineStr">
        <is>
          <t xml:space="preserve">RA </t>
        </is>
      </c>
      <c r="S177" t="n">
        <v>3</v>
      </c>
      <c r="T177" t="n">
        <v>3</v>
      </c>
      <c r="U177" t="inlineStr">
        <is>
          <t>2010-02-25</t>
        </is>
      </c>
      <c r="V177" t="inlineStr">
        <is>
          <t>2010-02-25</t>
        </is>
      </c>
      <c r="W177" t="inlineStr">
        <is>
          <t>1992-11-20</t>
        </is>
      </c>
      <c r="X177" t="inlineStr">
        <is>
          <t>1992-11-20</t>
        </is>
      </c>
      <c r="Y177" t="n">
        <v>272</v>
      </c>
      <c r="Z177" t="n">
        <v>250</v>
      </c>
      <c r="AA177" t="n">
        <v>281</v>
      </c>
      <c r="AB177" t="n">
        <v>3</v>
      </c>
      <c r="AC177" t="n">
        <v>4</v>
      </c>
      <c r="AD177" t="n">
        <v>7</v>
      </c>
      <c r="AE177" t="n">
        <v>10</v>
      </c>
      <c r="AF177" t="n">
        <v>3</v>
      </c>
      <c r="AG177" t="n">
        <v>4</v>
      </c>
      <c r="AH177" t="n">
        <v>2</v>
      </c>
      <c r="AI177" t="n">
        <v>3</v>
      </c>
      <c r="AJ177" t="n">
        <v>5</v>
      </c>
      <c r="AK177" t="n">
        <v>6</v>
      </c>
      <c r="AL177" t="n">
        <v>2</v>
      </c>
      <c r="AM177" t="n">
        <v>3</v>
      </c>
      <c r="AN177" t="n">
        <v>0</v>
      </c>
      <c r="AO177" t="n">
        <v>0</v>
      </c>
      <c r="AP177" t="inlineStr">
        <is>
          <t>No</t>
        </is>
      </c>
      <c r="AQ177" t="inlineStr">
        <is>
          <t>No</t>
        </is>
      </c>
      <c r="AS177">
        <f>HYPERLINK("https://creighton-primo.hosted.exlibrisgroup.com/primo-explore/search?tab=default_tab&amp;search_scope=EVERYTHING&amp;vid=01CRU&amp;lang=en_US&amp;offset=0&amp;query=any,contains,991004139799702656","Catalog Record")</f>
        <v/>
      </c>
      <c r="AT177">
        <f>HYPERLINK("http://www.worldcat.org/oclc/2493883","WorldCat Record")</f>
        <v/>
      </c>
      <c r="AU177" t="inlineStr">
        <is>
          <t>918672282:eng</t>
        </is>
      </c>
      <c r="AV177" t="inlineStr">
        <is>
          <t>2493883</t>
        </is>
      </c>
      <c r="AW177" t="inlineStr">
        <is>
          <t>991004139799702656</t>
        </is>
      </c>
      <c r="AX177" t="inlineStr">
        <is>
          <t>991004139799702656</t>
        </is>
      </c>
      <c r="AY177" t="inlineStr">
        <is>
          <t>2256525310002656</t>
        </is>
      </c>
      <c r="AZ177" t="inlineStr">
        <is>
          <t>BOOK</t>
        </is>
      </c>
      <c r="BB177" t="inlineStr">
        <is>
          <t>9780124435032</t>
        </is>
      </c>
      <c r="BC177" t="inlineStr">
        <is>
          <t>32285001407062</t>
        </is>
      </c>
      <c r="BD177" t="inlineStr">
        <is>
          <t>893500162</t>
        </is>
      </c>
    </row>
    <row r="178">
      <c r="A178" t="inlineStr">
        <is>
          <t>No</t>
        </is>
      </c>
      <c r="B178" t="inlineStr">
        <is>
          <t>RA565 .K67 1980</t>
        </is>
      </c>
      <c r="C178" t="inlineStr">
        <is>
          <t>0                      RA 0565000K  67          1980</t>
        </is>
      </c>
      <c r="D178" t="inlineStr">
        <is>
          <t>Handbook of environmental health and safety : principles and practices / Herman Koren.</t>
        </is>
      </c>
      <c r="F178" t="inlineStr">
        <is>
          <t>No</t>
        </is>
      </c>
      <c r="G178" t="inlineStr">
        <is>
          <t>1</t>
        </is>
      </c>
      <c r="H178" t="inlineStr">
        <is>
          <t>No</t>
        </is>
      </c>
      <c r="I178" t="inlineStr">
        <is>
          <t>No</t>
        </is>
      </c>
      <c r="J178" t="inlineStr">
        <is>
          <t>0</t>
        </is>
      </c>
      <c r="K178" t="inlineStr">
        <is>
          <t>Koren, Herman.</t>
        </is>
      </c>
      <c r="L178" t="inlineStr">
        <is>
          <t>New York : Pergamon Press, c1980.</t>
        </is>
      </c>
      <c r="M178" t="inlineStr">
        <is>
          <t>1980</t>
        </is>
      </c>
      <c r="O178" t="inlineStr">
        <is>
          <t>eng</t>
        </is>
      </c>
      <c r="P178" t="inlineStr">
        <is>
          <t>nyu</t>
        </is>
      </c>
      <c r="R178" t="inlineStr">
        <is>
          <t xml:space="preserve">RA </t>
        </is>
      </c>
      <c r="S178" t="n">
        <v>6</v>
      </c>
      <c r="T178" t="n">
        <v>6</v>
      </c>
      <c r="U178" t="inlineStr">
        <is>
          <t>1994-03-27</t>
        </is>
      </c>
      <c r="V178" t="inlineStr">
        <is>
          <t>1994-03-27</t>
        </is>
      </c>
      <c r="W178" t="inlineStr">
        <is>
          <t>1993-03-11</t>
        </is>
      </c>
      <c r="X178" t="inlineStr">
        <is>
          <t>1993-03-11</t>
        </is>
      </c>
      <c r="Y178" t="n">
        <v>232</v>
      </c>
      <c r="Z178" t="n">
        <v>177</v>
      </c>
      <c r="AA178" t="n">
        <v>503</v>
      </c>
      <c r="AB178" t="n">
        <v>2</v>
      </c>
      <c r="AC178" t="n">
        <v>5</v>
      </c>
      <c r="AD178" t="n">
        <v>4</v>
      </c>
      <c r="AE178" t="n">
        <v>14</v>
      </c>
      <c r="AF178" t="n">
        <v>0</v>
      </c>
      <c r="AG178" t="n">
        <v>2</v>
      </c>
      <c r="AH178" t="n">
        <v>1</v>
      </c>
      <c r="AI178" t="n">
        <v>3</v>
      </c>
      <c r="AJ178" t="n">
        <v>1</v>
      </c>
      <c r="AK178" t="n">
        <v>6</v>
      </c>
      <c r="AL178" t="n">
        <v>0</v>
      </c>
      <c r="AM178" t="n">
        <v>3</v>
      </c>
      <c r="AN178" t="n">
        <v>2</v>
      </c>
      <c r="AO178" t="n">
        <v>2</v>
      </c>
      <c r="AP178" t="inlineStr">
        <is>
          <t>No</t>
        </is>
      </c>
      <c r="AQ178" t="inlineStr">
        <is>
          <t>Yes</t>
        </is>
      </c>
      <c r="AR178">
        <f>HYPERLINK("http://catalog.hathitrust.org/Record/006174004","HathiTrust Record")</f>
        <v/>
      </c>
      <c r="AS178">
        <f>HYPERLINK("https://creighton-primo.hosted.exlibrisgroup.com/primo-explore/search?tab=default_tab&amp;search_scope=EVERYTHING&amp;vid=01CRU&amp;lang=en_US&amp;offset=0&amp;query=any,contains,991004977509702656","Catalog Record")</f>
        <v/>
      </c>
      <c r="AT178">
        <f>HYPERLINK("http://www.worldcat.org/oclc/6408277","WorldCat Record")</f>
        <v/>
      </c>
      <c r="AU178" t="inlineStr">
        <is>
          <t>4161484497:eng</t>
        </is>
      </c>
      <c r="AV178" t="inlineStr">
        <is>
          <t>6408277</t>
        </is>
      </c>
      <c r="AW178" t="inlineStr">
        <is>
          <t>991004977509702656</t>
        </is>
      </c>
      <c r="AX178" t="inlineStr">
        <is>
          <t>991004977509702656</t>
        </is>
      </c>
      <c r="AY178" t="inlineStr">
        <is>
          <t>2268022340002656</t>
        </is>
      </c>
      <c r="AZ178" t="inlineStr">
        <is>
          <t>BOOK</t>
        </is>
      </c>
      <c r="BB178" t="inlineStr">
        <is>
          <t>9780080239002</t>
        </is>
      </c>
      <c r="BC178" t="inlineStr">
        <is>
          <t>32285001587251</t>
        </is>
      </c>
      <c r="BD178" t="inlineStr">
        <is>
          <t>893870313</t>
        </is>
      </c>
    </row>
    <row r="179">
      <c r="A179" t="inlineStr">
        <is>
          <t>No</t>
        </is>
      </c>
      <c r="B179" t="inlineStr">
        <is>
          <t>RA565 .S3</t>
        </is>
      </c>
      <c r="C179" t="inlineStr">
        <is>
          <t>0                      RA 0565000S  3</t>
        </is>
      </c>
      <c r="D179" t="inlineStr">
        <is>
          <t>Environmental sanitation.</t>
        </is>
      </c>
      <c r="F179" t="inlineStr">
        <is>
          <t>No</t>
        </is>
      </c>
      <c r="G179" t="inlineStr">
        <is>
          <t>1</t>
        </is>
      </c>
      <c r="H179" t="inlineStr">
        <is>
          <t>No</t>
        </is>
      </c>
      <c r="I179" t="inlineStr">
        <is>
          <t>No</t>
        </is>
      </c>
      <c r="J179" t="inlineStr">
        <is>
          <t>0</t>
        </is>
      </c>
      <c r="K179" t="inlineStr">
        <is>
          <t>Salvato, Joseph A.</t>
        </is>
      </c>
      <c r="L179" t="inlineStr">
        <is>
          <t>New York : Wiley, [1958]</t>
        </is>
      </c>
      <c r="M179" t="inlineStr">
        <is>
          <t>1958</t>
        </is>
      </c>
      <c r="O179" t="inlineStr">
        <is>
          <t>eng</t>
        </is>
      </c>
      <c r="P179" t="inlineStr">
        <is>
          <t>nyu</t>
        </is>
      </c>
      <c r="R179" t="inlineStr">
        <is>
          <t xml:space="preserve">RA </t>
        </is>
      </c>
      <c r="S179" t="n">
        <v>2</v>
      </c>
      <c r="T179" t="n">
        <v>2</v>
      </c>
      <c r="U179" t="inlineStr">
        <is>
          <t>2005-10-24</t>
        </is>
      </c>
      <c r="V179" t="inlineStr">
        <is>
          <t>2005-10-24</t>
        </is>
      </c>
      <c r="W179" t="inlineStr">
        <is>
          <t>1990-02-27</t>
        </is>
      </c>
      <c r="X179" t="inlineStr">
        <is>
          <t>1990-02-27</t>
        </is>
      </c>
      <c r="Y179" t="n">
        <v>219</v>
      </c>
      <c r="Z179" t="n">
        <v>150</v>
      </c>
      <c r="AA179" t="n">
        <v>152</v>
      </c>
      <c r="AB179" t="n">
        <v>2</v>
      </c>
      <c r="AC179" t="n">
        <v>2</v>
      </c>
      <c r="AD179" t="n">
        <v>3</v>
      </c>
      <c r="AE179" t="n">
        <v>3</v>
      </c>
      <c r="AF179" t="n">
        <v>0</v>
      </c>
      <c r="AG179" t="n">
        <v>0</v>
      </c>
      <c r="AH179" t="n">
        <v>1</v>
      </c>
      <c r="AI179" t="n">
        <v>1</v>
      </c>
      <c r="AJ179" t="n">
        <v>2</v>
      </c>
      <c r="AK179" t="n">
        <v>2</v>
      </c>
      <c r="AL179" t="n">
        <v>1</v>
      </c>
      <c r="AM179" t="n">
        <v>1</v>
      </c>
      <c r="AN179" t="n">
        <v>0</v>
      </c>
      <c r="AO179" t="n">
        <v>0</v>
      </c>
      <c r="AP179" t="inlineStr">
        <is>
          <t>No</t>
        </is>
      </c>
      <c r="AQ179" t="inlineStr">
        <is>
          <t>Yes</t>
        </is>
      </c>
      <c r="AR179">
        <f>HYPERLINK("http://catalog.hathitrust.org/Record/001559241","HathiTrust Record")</f>
        <v/>
      </c>
      <c r="AS179">
        <f>HYPERLINK("https://creighton-primo.hosted.exlibrisgroup.com/primo-explore/search?tab=default_tab&amp;search_scope=EVERYTHING&amp;vid=01CRU&amp;lang=en_US&amp;offset=0&amp;query=any,contains,991003669329702656","Catalog Record")</f>
        <v/>
      </c>
      <c r="AT179">
        <f>HYPERLINK("http://www.worldcat.org/oclc/1286041","WorldCat Record")</f>
        <v/>
      </c>
      <c r="AU179" t="inlineStr">
        <is>
          <t>2260825114:eng</t>
        </is>
      </c>
      <c r="AV179" t="inlineStr">
        <is>
          <t>1286041</t>
        </is>
      </c>
      <c r="AW179" t="inlineStr">
        <is>
          <t>991003669329702656</t>
        </is>
      </c>
      <c r="AX179" t="inlineStr">
        <is>
          <t>991003669329702656</t>
        </is>
      </c>
      <c r="AY179" t="inlineStr">
        <is>
          <t>2268200010002656</t>
        </is>
      </c>
      <c r="AZ179" t="inlineStr">
        <is>
          <t>BOOK</t>
        </is>
      </c>
      <c r="BC179" t="inlineStr">
        <is>
          <t>32285000061720</t>
        </is>
      </c>
      <c r="BD179" t="inlineStr">
        <is>
          <t>893348980</t>
        </is>
      </c>
    </row>
    <row r="180">
      <c r="A180" t="inlineStr">
        <is>
          <t>No</t>
        </is>
      </c>
      <c r="B180" t="inlineStr">
        <is>
          <t>RA566 .B57</t>
        </is>
      </c>
      <c r="C180" t="inlineStr">
        <is>
          <t>0                      RA 0566000B  57</t>
        </is>
      </c>
      <c r="D180" t="inlineStr">
        <is>
          <t>Biochemical effects of environmental pollutants / edited by S. D. Lee, with the assistance of Bruce Peirano.</t>
        </is>
      </c>
      <c r="F180" t="inlineStr">
        <is>
          <t>No</t>
        </is>
      </c>
      <c r="G180" t="inlineStr">
        <is>
          <t>1</t>
        </is>
      </c>
      <c r="H180" t="inlineStr">
        <is>
          <t>No</t>
        </is>
      </c>
      <c r="I180" t="inlineStr">
        <is>
          <t>No</t>
        </is>
      </c>
      <c r="J180" t="inlineStr">
        <is>
          <t>0</t>
        </is>
      </c>
      <c r="L180" t="inlineStr">
        <is>
          <t>Ann Arbor, Mich. : Ann Arbor Science Publishers, c1977.</t>
        </is>
      </c>
      <c r="M180" t="inlineStr">
        <is>
          <t>1977</t>
        </is>
      </c>
      <c r="O180" t="inlineStr">
        <is>
          <t>eng</t>
        </is>
      </c>
      <c r="P180" t="inlineStr">
        <is>
          <t>miu</t>
        </is>
      </c>
      <c r="R180" t="inlineStr">
        <is>
          <t xml:space="preserve">RA </t>
        </is>
      </c>
      <c r="S180" t="n">
        <v>8</v>
      </c>
      <c r="T180" t="n">
        <v>8</v>
      </c>
      <c r="U180" t="inlineStr">
        <is>
          <t>1996-04-11</t>
        </is>
      </c>
      <c r="V180" t="inlineStr">
        <is>
          <t>1996-04-11</t>
        </is>
      </c>
      <c r="W180" t="inlineStr">
        <is>
          <t>1993-03-11</t>
        </is>
      </c>
      <c r="X180" t="inlineStr">
        <is>
          <t>1993-03-11</t>
        </is>
      </c>
      <c r="Y180" t="n">
        <v>346</v>
      </c>
      <c r="Z180" t="n">
        <v>257</v>
      </c>
      <c r="AA180" t="n">
        <v>273</v>
      </c>
      <c r="AB180" t="n">
        <v>2</v>
      </c>
      <c r="AC180" t="n">
        <v>2</v>
      </c>
      <c r="AD180" t="n">
        <v>5</v>
      </c>
      <c r="AE180" t="n">
        <v>7</v>
      </c>
      <c r="AF180" t="n">
        <v>2</v>
      </c>
      <c r="AG180" t="n">
        <v>3</v>
      </c>
      <c r="AH180" t="n">
        <v>2</v>
      </c>
      <c r="AI180" t="n">
        <v>3</v>
      </c>
      <c r="AJ180" t="n">
        <v>2</v>
      </c>
      <c r="AK180" t="n">
        <v>2</v>
      </c>
      <c r="AL180" t="n">
        <v>1</v>
      </c>
      <c r="AM180" t="n">
        <v>1</v>
      </c>
      <c r="AN180" t="n">
        <v>0</v>
      </c>
      <c r="AO180" t="n">
        <v>0</v>
      </c>
      <c r="AP180" t="inlineStr">
        <is>
          <t>No</t>
        </is>
      </c>
      <c r="AQ180" t="inlineStr">
        <is>
          <t>Yes</t>
        </is>
      </c>
      <c r="AR180">
        <f>HYPERLINK("http://catalog.hathitrust.org/Record/000296342","HathiTrust Record")</f>
        <v/>
      </c>
      <c r="AS180">
        <f>HYPERLINK("https://creighton-primo.hosted.exlibrisgroup.com/primo-explore/search?tab=default_tab&amp;search_scope=EVERYTHING&amp;vid=01CRU&amp;lang=en_US&amp;offset=0&amp;query=any,contains,991004387659702656","Catalog Record")</f>
        <v/>
      </c>
      <c r="AT180">
        <f>HYPERLINK("http://www.worldcat.org/oclc/3247341","WorldCat Record")</f>
        <v/>
      </c>
      <c r="AU180" t="inlineStr">
        <is>
          <t>9624255:eng</t>
        </is>
      </c>
      <c r="AV180" t="inlineStr">
        <is>
          <t>3247341</t>
        </is>
      </c>
      <c r="AW180" t="inlineStr">
        <is>
          <t>991004387659702656</t>
        </is>
      </c>
      <c r="AX180" t="inlineStr">
        <is>
          <t>991004387659702656</t>
        </is>
      </c>
      <c r="AY180" t="inlineStr">
        <is>
          <t>2270888100002656</t>
        </is>
      </c>
      <c r="AZ180" t="inlineStr">
        <is>
          <t>BOOK</t>
        </is>
      </c>
      <c r="BB180" t="inlineStr">
        <is>
          <t>9780250401437</t>
        </is>
      </c>
      <c r="BC180" t="inlineStr">
        <is>
          <t>32285001587285</t>
        </is>
      </c>
      <c r="BD180" t="inlineStr">
        <is>
          <t>893888643</t>
        </is>
      </c>
    </row>
    <row r="181">
      <c r="A181" t="inlineStr">
        <is>
          <t>No</t>
        </is>
      </c>
      <c r="B181" t="inlineStr">
        <is>
          <t>RA566 .C55</t>
        </is>
      </c>
      <c r="C181" t="inlineStr">
        <is>
          <t>0                      RA 0566000C  55</t>
        </is>
      </c>
      <c r="D181" t="inlineStr">
        <is>
          <t>The Chemical environment / general editors, John Lenihan and William W. Fletcher.</t>
        </is>
      </c>
      <c r="F181" t="inlineStr">
        <is>
          <t>No</t>
        </is>
      </c>
      <c r="G181" t="inlineStr">
        <is>
          <t>1</t>
        </is>
      </c>
      <c r="H181" t="inlineStr">
        <is>
          <t>No</t>
        </is>
      </c>
      <c r="I181" t="inlineStr">
        <is>
          <t>No</t>
        </is>
      </c>
      <c r="J181" t="inlineStr">
        <is>
          <t>0</t>
        </is>
      </c>
      <c r="L181" t="inlineStr">
        <is>
          <t>New York : Academic Press, 1977.</t>
        </is>
      </c>
      <c r="M181" t="inlineStr">
        <is>
          <t>1977</t>
        </is>
      </c>
      <c r="O181" t="inlineStr">
        <is>
          <t>eng</t>
        </is>
      </c>
      <c r="P181" t="inlineStr">
        <is>
          <t>nyu</t>
        </is>
      </c>
      <c r="Q181" t="inlineStr">
        <is>
          <t>Environment and man ; v. 6</t>
        </is>
      </c>
      <c r="R181" t="inlineStr">
        <is>
          <t xml:space="preserve">RA </t>
        </is>
      </c>
      <c r="S181" t="n">
        <v>14</v>
      </c>
      <c r="T181" t="n">
        <v>14</v>
      </c>
      <c r="U181" t="inlineStr">
        <is>
          <t>2002-09-13</t>
        </is>
      </c>
      <c r="V181" t="inlineStr">
        <is>
          <t>2002-09-13</t>
        </is>
      </c>
      <c r="W181" t="inlineStr">
        <is>
          <t>1991-12-06</t>
        </is>
      </c>
      <c r="X181" t="inlineStr">
        <is>
          <t>1991-12-06</t>
        </is>
      </c>
      <c r="Y181" t="n">
        <v>258</v>
      </c>
      <c r="Z181" t="n">
        <v>222</v>
      </c>
      <c r="AA181" t="n">
        <v>239</v>
      </c>
      <c r="AB181" t="n">
        <v>1</v>
      </c>
      <c r="AC181" t="n">
        <v>1</v>
      </c>
      <c r="AD181" t="n">
        <v>3</v>
      </c>
      <c r="AE181" t="n">
        <v>3</v>
      </c>
      <c r="AF181" t="n">
        <v>0</v>
      </c>
      <c r="AG181" t="n">
        <v>0</v>
      </c>
      <c r="AH181" t="n">
        <v>3</v>
      </c>
      <c r="AI181" t="n">
        <v>3</v>
      </c>
      <c r="AJ181" t="n">
        <v>3</v>
      </c>
      <c r="AK181" t="n">
        <v>3</v>
      </c>
      <c r="AL181" t="n">
        <v>0</v>
      </c>
      <c r="AM181" t="n">
        <v>0</v>
      </c>
      <c r="AN181" t="n">
        <v>0</v>
      </c>
      <c r="AO181" t="n">
        <v>0</v>
      </c>
      <c r="AP181" t="inlineStr">
        <is>
          <t>No</t>
        </is>
      </c>
      <c r="AQ181" t="inlineStr">
        <is>
          <t>Yes</t>
        </is>
      </c>
      <c r="AR181">
        <f>HYPERLINK("http://catalog.hathitrust.org/Record/000217026","HathiTrust Record")</f>
        <v/>
      </c>
      <c r="AS181">
        <f>HYPERLINK("https://creighton-primo.hosted.exlibrisgroup.com/primo-explore/search?tab=default_tab&amp;search_scope=EVERYTHING&amp;vid=01CRU&amp;lang=en_US&amp;offset=0&amp;query=any,contains,991004613829702656","Catalog Record")</f>
        <v/>
      </c>
      <c r="AT181">
        <f>HYPERLINK("http://www.worldcat.org/oclc/4234862","WorldCat Record")</f>
        <v/>
      </c>
      <c r="AU181" t="inlineStr">
        <is>
          <t>14585789:eng</t>
        </is>
      </c>
      <c r="AV181" t="inlineStr">
        <is>
          <t>4234862</t>
        </is>
      </c>
      <c r="AW181" t="inlineStr">
        <is>
          <t>991004613829702656</t>
        </is>
      </c>
      <c r="AX181" t="inlineStr">
        <is>
          <t>991004613829702656</t>
        </is>
      </c>
      <c r="AY181" t="inlineStr">
        <is>
          <t>2261292270002656</t>
        </is>
      </c>
      <c r="AZ181" t="inlineStr">
        <is>
          <t>BOOK</t>
        </is>
      </c>
      <c r="BB181" t="inlineStr">
        <is>
          <t>9780124435063</t>
        </is>
      </c>
      <c r="BC181" t="inlineStr">
        <is>
          <t>32285000837889</t>
        </is>
      </c>
      <c r="BD181" t="inlineStr">
        <is>
          <t>893869913</t>
        </is>
      </c>
    </row>
    <row r="182">
      <c r="A182" t="inlineStr">
        <is>
          <t>No</t>
        </is>
      </c>
      <c r="B182" t="inlineStr">
        <is>
          <t>RA566.26 .T685 1994</t>
        </is>
      </c>
      <c r="C182" t="inlineStr">
        <is>
          <t>0                      RA 0566260T  685         1994</t>
        </is>
      </c>
      <c r="D182" t="inlineStr">
        <is>
          <t>Toxicology of chemical mixtures : case studies, mechanisms, and novel approaches / edited by Raymond S. H. Yang.</t>
        </is>
      </c>
      <c r="F182" t="inlineStr">
        <is>
          <t>No</t>
        </is>
      </c>
      <c r="G182" t="inlineStr">
        <is>
          <t>1</t>
        </is>
      </c>
      <c r="H182" t="inlineStr">
        <is>
          <t>No</t>
        </is>
      </c>
      <c r="I182" t="inlineStr">
        <is>
          <t>No</t>
        </is>
      </c>
      <c r="J182" t="inlineStr">
        <is>
          <t>0</t>
        </is>
      </c>
      <c r="L182" t="inlineStr">
        <is>
          <t>San Diego : Academic Press, c1994.</t>
        </is>
      </c>
      <c r="M182" t="inlineStr">
        <is>
          <t>1994</t>
        </is>
      </c>
      <c r="O182" t="inlineStr">
        <is>
          <t>eng</t>
        </is>
      </c>
      <c r="P182" t="inlineStr">
        <is>
          <t>cau</t>
        </is>
      </c>
      <c r="R182" t="inlineStr">
        <is>
          <t xml:space="preserve">RA </t>
        </is>
      </c>
      <c r="S182" t="n">
        <v>4</v>
      </c>
      <c r="T182" t="n">
        <v>4</v>
      </c>
      <c r="U182" t="inlineStr">
        <is>
          <t>2003-11-06</t>
        </is>
      </c>
      <c r="V182" t="inlineStr">
        <is>
          <t>2003-11-06</t>
        </is>
      </c>
      <c r="W182" t="inlineStr">
        <is>
          <t>1994-08-15</t>
        </is>
      </c>
      <c r="X182" t="inlineStr">
        <is>
          <t>1994-08-15</t>
        </is>
      </c>
      <c r="Y182" t="n">
        <v>145</v>
      </c>
      <c r="Z182" t="n">
        <v>95</v>
      </c>
      <c r="AA182" t="n">
        <v>134</v>
      </c>
      <c r="AB182" t="n">
        <v>1</v>
      </c>
      <c r="AC182" t="n">
        <v>1</v>
      </c>
      <c r="AD182" t="n">
        <v>2</v>
      </c>
      <c r="AE182" t="n">
        <v>4</v>
      </c>
      <c r="AF182" t="n">
        <v>0</v>
      </c>
      <c r="AG182" t="n">
        <v>1</v>
      </c>
      <c r="AH182" t="n">
        <v>1</v>
      </c>
      <c r="AI182" t="n">
        <v>2</v>
      </c>
      <c r="AJ182" t="n">
        <v>1</v>
      </c>
      <c r="AK182" t="n">
        <v>1</v>
      </c>
      <c r="AL182" t="n">
        <v>0</v>
      </c>
      <c r="AM182" t="n">
        <v>0</v>
      </c>
      <c r="AN182" t="n">
        <v>0</v>
      </c>
      <c r="AO182" t="n">
        <v>0</v>
      </c>
      <c r="AP182" t="inlineStr">
        <is>
          <t>No</t>
        </is>
      </c>
      <c r="AQ182" t="inlineStr">
        <is>
          <t>No</t>
        </is>
      </c>
      <c r="AS182">
        <f>HYPERLINK("https://creighton-primo.hosted.exlibrisgroup.com/primo-explore/search?tab=default_tab&amp;search_scope=EVERYTHING&amp;vid=01CRU&amp;lang=en_US&amp;offset=0&amp;query=any,contains,991002264739702656","Catalog Record")</f>
        <v/>
      </c>
      <c r="AT182">
        <f>HYPERLINK("http://www.worldcat.org/oclc/29361384","WorldCat Record")</f>
        <v/>
      </c>
      <c r="AU182" t="inlineStr">
        <is>
          <t>796904054:eng</t>
        </is>
      </c>
      <c r="AV182" t="inlineStr">
        <is>
          <t>29361384</t>
        </is>
      </c>
      <c r="AW182" t="inlineStr">
        <is>
          <t>991002264739702656</t>
        </is>
      </c>
      <c r="AX182" t="inlineStr">
        <is>
          <t>991002264739702656</t>
        </is>
      </c>
      <c r="AY182" t="inlineStr">
        <is>
          <t>2256580350002656</t>
        </is>
      </c>
      <c r="AZ182" t="inlineStr">
        <is>
          <t>BOOK</t>
        </is>
      </c>
      <c r="BB182" t="inlineStr">
        <is>
          <t>9780127683508</t>
        </is>
      </c>
      <c r="BC182" t="inlineStr">
        <is>
          <t>32285001943017</t>
        </is>
      </c>
      <c r="BD182" t="inlineStr">
        <is>
          <t>893238847</t>
        </is>
      </c>
    </row>
    <row r="183">
      <c r="A183" t="inlineStr">
        <is>
          <t>No</t>
        </is>
      </c>
      <c r="B183" t="inlineStr">
        <is>
          <t>RA566.3 .E58</t>
        </is>
      </c>
      <c r="C183" t="inlineStr">
        <is>
          <t>0                      RA 0566300E  58</t>
        </is>
      </c>
      <c r="D183" t="inlineStr">
        <is>
          <t>Environment and health.</t>
        </is>
      </c>
      <c r="F183" t="inlineStr">
        <is>
          <t>No</t>
        </is>
      </c>
      <c r="G183" t="inlineStr">
        <is>
          <t>1</t>
        </is>
      </c>
      <c r="H183" t="inlineStr">
        <is>
          <t>No</t>
        </is>
      </c>
      <c r="I183" t="inlineStr">
        <is>
          <t>No</t>
        </is>
      </c>
      <c r="J183" t="inlineStr">
        <is>
          <t>0</t>
        </is>
      </c>
      <c r="L183" t="inlineStr">
        <is>
          <t>Washington, D.C. : Congressional Quarterly Inc., c1981.</t>
        </is>
      </c>
      <c r="M183" t="inlineStr">
        <is>
          <t>1981</t>
        </is>
      </c>
      <c r="O183" t="inlineStr">
        <is>
          <t>eng</t>
        </is>
      </c>
      <c r="P183" t="inlineStr">
        <is>
          <t>dcu</t>
        </is>
      </c>
      <c r="R183" t="inlineStr">
        <is>
          <t xml:space="preserve">RA </t>
        </is>
      </c>
      <c r="S183" t="n">
        <v>11</v>
      </c>
      <c r="T183" t="n">
        <v>11</v>
      </c>
      <c r="U183" t="inlineStr">
        <is>
          <t>2005-10-03</t>
        </is>
      </c>
      <c r="V183" t="inlineStr">
        <is>
          <t>2005-10-03</t>
        </is>
      </c>
      <c r="W183" t="inlineStr">
        <is>
          <t>1992-06-23</t>
        </is>
      </c>
      <c r="X183" t="inlineStr">
        <is>
          <t>1992-06-23</t>
        </is>
      </c>
      <c r="Y183" t="n">
        <v>689</v>
      </c>
      <c r="Z183" t="n">
        <v>657</v>
      </c>
      <c r="AA183" t="n">
        <v>660</v>
      </c>
      <c r="AB183" t="n">
        <v>5</v>
      </c>
      <c r="AC183" t="n">
        <v>5</v>
      </c>
      <c r="AD183" t="n">
        <v>25</v>
      </c>
      <c r="AE183" t="n">
        <v>25</v>
      </c>
      <c r="AF183" t="n">
        <v>8</v>
      </c>
      <c r="AG183" t="n">
        <v>8</v>
      </c>
      <c r="AH183" t="n">
        <v>3</v>
      </c>
      <c r="AI183" t="n">
        <v>3</v>
      </c>
      <c r="AJ183" t="n">
        <v>9</v>
      </c>
      <c r="AK183" t="n">
        <v>9</v>
      </c>
      <c r="AL183" t="n">
        <v>4</v>
      </c>
      <c r="AM183" t="n">
        <v>4</v>
      </c>
      <c r="AN183" t="n">
        <v>5</v>
      </c>
      <c r="AO183" t="n">
        <v>5</v>
      </c>
      <c r="AP183" t="inlineStr">
        <is>
          <t>No</t>
        </is>
      </c>
      <c r="AQ183" t="inlineStr">
        <is>
          <t>Yes</t>
        </is>
      </c>
      <c r="AR183">
        <f>HYPERLINK("http://catalog.hathitrust.org/Record/000307117","HathiTrust Record")</f>
        <v/>
      </c>
      <c r="AS183">
        <f>HYPERLINK("https://creighton-primo.hosted.exlibrisgroup.com/primo-explore/search?tab=default_tab&amp;search_scope=EVERYTHING&amp;vid=01CRU&amp;lang=en_US&amp;offset=0&amp;query=any,contains,991005164369702656","Catalog Record")</f>
        <v/>
      </c>
      <c r="AT183">
        <f>HYPERLINK("http://www.worldcat.org/oclc/7813872","WorldCat Record")</f>
        <v/>
      </c>
      <c r="AU183" t="inlineStr">
        <is>
          <t>54460616:eng</t>
        </is>
      </c>
      <c r="AV183" t="inlineStr">
        <is>
          <t>7813872</t>
        </is>
      </c>
      <c r="AW183" t="inlineStr">
        <is>
          <t>991005164369702656</t>
        </is>
      </c>
      <c r="AX183" t="inlineStr">
        <is>
          <t>991005164369702656</t>
        </is>
      </c>
      <c r="AY183" t="inlineStr">
        <is>
          <t>2255860680002656</t>
        </is>
      </c>
      <c r="AZ183" t="inlineStr">
        <is>
          <t>BOOK</t>
        </is>
      </c>
      <c r="BB183" t="inlineStr">
        <is>
          <t>9780871872241</t>
        </is>
      </c>
      <c r="BC183" t="inlineStr">
        <is>
          <t>32285001133791</t>
        </is>
      </c>
      <c r="BD183" t="inlineStr">
        <is>
          <t>893353735</t>
        </is>
      </c>
    </row>
    <row r="184">
      <c r="A184" t="inlineStr">
        <is>
          <t>No</t>
        </is>
      </c>
      <c r="B184" t="inlineStr">
        <is>
          <t>RA566.3 .Q36 1982</t>
        </is>
      </c>
      <c r="C184" t="inlineStr">
        <is>
          <t>0                      RA 0566300Q  36          1982</t>
        </is>
      </c>
      <c r="D184" t="inlineStr">
        <is>
          <t>Quantitative risk assessment in regulation / Lester B. Lave, editor.</t>
        </is>
      </c>
      <c r="F184" t="inlineStr">
        <is>
          <t>No</t>
        </is>
      </c>
      <c r="G184" t="inlineStr">
        <is>
          <t>1</t>
        </is>
      </c>
      <c r="H184" t="inlineStr">
        <is>
          <t>No</t>
        </is>
      </c>
      <c r="I184" t="inlineStr">
        <is>
          <t>No</t>
        </is>
      </c>
      <c r="J184" t="inlineStr">
        <is>
          <t>0</t>
        </is>
      </c>
      <c r="L184" t="inlineStr">
        <is>
          <t>Washington, D.C. : Brookings Institution, c1982.</t>
        </is>
      </c>
      <c r="M184" t="inlineStr">
        <is>
          <t>1982</t>
        </is>
      </c>
      <c r="O184" t="inlineStr">
        <is>
          <t>eng</t>
        </is>
      </c>
      <c r="P184" t="inlineStr">
        <is>
          <t>dcu</t>
        </is>
      </c>
      <c r="Q184" t="inlineStr">
        <is>
          <t>Studies in the regulation of economic activity</t>
        </is>
      </c>
      <c r="R184" t="inlineStr">
        <is>
          <t xml:space="preserve">RA </t>
        </is>
      </c>
      <c r="S184" t="n">
        <v>6</v>
      </c>
      <c r="T184" t="n">
        <v>6</v>
      </c>
      <c r="U184" t="inlineStr">
        <is>
          <t>2000-08-23</t>
        </is>
      </c>
      <c r="V184" t="inlineStr">
        <is>
          <t>2000-08-23</t>
        </is>
      </c>
      <c r="W184" t="inlineStr">
        <is>
          <t>1992-09-04</t>
        </is>
      </c>
      <c r="X184" t="inlineStr">
        <is>
          <t>1992-09-04</t>
        </is>
      </c>
      <c r="Y184" t="n">
        <v>580</v>
      </c>
      <c r="Z184" t="n">
        <v>512</v>
      </c>
      <c r="AA184" t="n">
        <v>520</v>
      </c>
      <c r="AB184" t="n">
        <v>5</v>
      </c>
      <c r="AC184" t="n">
        <v>5</v>
      </c>
      <c r="AD184" t="n">
        <v>22</v>
      </c>
      <c r="AE184" t="n">
        <v>22</v>
      </c>
      <c r="AF184" t="n">
        <v>5</v>
      </c>
      <c r="AG184" t="n">
        <v>5</v>
      </c>
      <c r="AH184" t="n">
        <v>6</v>
      </c>
      <c r="AI184" t="n">
        <v>6</v>
      </c>
      <c r="AJ184" t="n">
        <v>12</v>
      </c>
      <c r="AK184" t="n">
        <v>12</v>
      </c>
      <c r="AL184" t="n">
        <v>3</v>
      </c>
      <c r="AM184" t="n">
        <v>3</v>
      </c>
      <c r="AN184" t="n">
        <v>3</v>
      </c>
      <c r="AO184" t="n">
        <v>3</v>
      </c>
      <c r="AP184" t="inlineStr">
        <is>
          <t>No</t>
        </is>
      </c>
      <c r="AQ184" t="inlineStr">
        <is>
          <t>Yes</t>
        </is>
      </c>
      <c r="AR184">
        <f>HYPERLINK("http://catalog.hathitrust.org/Record/000766827","HathiTrust Record")</f>
        <v/>
      </c>
      <c r="AS184">
        <f>HYPERLINK("https://creighton-primo.hosted.exlibrisgroup.com/primo-explore/search?tab=default_tab&amp;search_scope=EVERYTHING&amp;vid=01CRU&amp;lang=en_US&amp;offset=0&amp;query=any,contains,991005399109702656","Catalog Record")</f>
        <v/>
      </c>
      <c r="AT184">
        <f>HYPERLINK("http://www.worldcat.org/oclc/8976063","WorldCat Record")</f>
        <v/>
      </c>
      <c r="AU184" t="inlineStr">
        <is>
          <t>42742430:eng</t>
        </is>
      </c>
      <c r="AV184" t="inlineStr">
        <is>
          <t>8976063</t>
        </is>
      </c>
      <c r="AW184" t="inlineStr">
        <is>
          <t>991005399109702656</t>
        </is>
      </c>
      <c r="AX184" t="inlineStr">
        <is>
          <t>991005399109702656</t>
        </is>
      </c>
      <c r="AY184" t="inlineStr">
        <is>
          <t>2256469170002656</t>
        </is>
      </c>
      <c r="AZ184" t="inlineStr">
        <is>
          <t>BOOK</t>
        </is>
      </c>
      <c r="BB184" t="inlineStr">
        <is>
          <t>9780815751632</t>
        </is>
      </c>
      <c r="BC184" t="inlineStr">
        <is>
          <t>32285001220978</t>
        </is>
      </c>
      <c r="BD184" t="inlineStr">
        <is>
          <t>893802244</t>
        </is>
      </c>
    </row>
    <row r="185">
      <c r="A185" t="inlineStr">
        <is>
          <t>No</t>
        </is>
      </c>
      <c r="B185" t="inlineStr">
        <is>
          <t>RA569 .B43</t>
        </is>
      </c>
      <c r="C185" t="inlineStr">
        <is>
          <t>0                      RA 0569000B  43</t>
        </is>
      </c>
      <c r="D185" t="inlineStr">
        <is>
          <t>The health hazards of NOT going nuclear / by Petr Beckmann.</t>
        </is>
      </c>
      <c r="F185" t="inlineStr">
        <is>
          <t>No</t>
        </is>
      </c>
      <c r="G185" t="inlineStr">
        <is>
          <t>1</t>
        </is>
      </c>
      <c r="H185" t="inlineStr">
        <is>
          <t>No</t>
        </is>
      </c>
      <c r="I185" t="inlineStr">
        <is>
          <t>No</t>
        </is>
      </c>
      <c r="J185" t="inlineStr">
        <is>
          <t>0</t>
        </is>
      </c>
      <c r="K185" t="inlineStr">
        <is>
          <t>Beckmann, Petr.</t>
        </is>
      </c>
      <c r="L185" t="inlineStr">
        <is>
          <t>Boulder, Colo. : Golem Press, 1976.</t>
        </is>
      </c>
      <c r="M185" t="inlineStr">
        <is>
          <t>1976</t>
        </is>
      </c>
      <c r="O185" t="inlineStr">
        <is>
          <t>eng</t>
        </is>
      </c>
      <c r="P185" t="inlineStr">
        <is>
          <t>cou</t>
        </is>
      </c>
      <c r="R185" t="inlineStr">
        <is>
          <t xml:space="preserve">RA </t>
        </is>
      </c>
      <c r="S185" t="n">
        <v>8</v>
      </c>
      <c r="T185" t="n">
        <v>8</v>
      </c>
      <c r="U185" t="inlineStr">
        <is>
          <t>2010-01-13</t>
        </is>
      </c>
      <c r="V185" t="inlineStr">
        <is>
          <t>2010-01-13</t>
        </is>
      </c>
      <c r="W185" t="inlineStr">
        <is>
          <t>1992-01-30</t>
        </is>
      </c>
      <c r="X185" t="inlineStr">
        <is>
          <t>1992-01-30</t>
        </is>
      </c>
      <c r="Y185" t="n">
        <v>541</v>
      </c>
      <c r="Z185" t="n">
        <v>455</v>
      </c>
      <c r="AA185" t="n">
        <v>504</v>
      </c>
      <c r="AB185" t="n">
        <v>5</v>
      </c>
      <c r="AC185" t="n">
        <v>6</v>
      </c>
      <c r="AD185" t="n">
        <v>11</v>
      </c>
      <c r="AE185" t="n">
        <v>15</v>
      </c>
      <c r="AF185" t="n">
        <v>2</v>
      </c>
      <c r="AG185" t="n">
        <v>4</v>
      </c>
      <c r="AH185" t="n">
        <v>3</v>
      </c>
      <c r="AI185" t="n">
        <v>4</v>
      </c>
      <c r="AJ185" t="n">
        <v>5</v>
      </c>
      <c r="AK185" t="n">
        <v>8</v>
      </c>
      <c r="AL185" t="n">
        <v>3</v>
      </c>
      <c r="AM185" t="n">
        <v>4</v>
      </c>
      <c r="AN185" t="n">
        <v>0</v>
      </c>
      <c r="AO185" t="n">
        <v>0</v>
      </c>
      <c r="AP185" t="inlineStr">
        <is>
          <t>No</t>
        </is>
      </c>
      <c r="AQ185" t="inlineStr">
        <is>
          <t>Yes</t>
        </is>
      </c>
      <c r="AR185">
        <f>HYPERLINK("http://catalog.hathitrust.org/Record/000729044","HathiTrust Record")</f>
        <v/>
      </c>
      <c r="AS185">
        <f>HYPERLINK("https://creighton-primo.hosted.exlibrisgroup.com/primo-explore/search?tab=default_tab&amp;search_scope=EVERYTHING&amp;vid=01CRU&amp;lang=en_US&amp;offset=0&amp;query=any,contains,991004075479702656","Catalog Record")</f>
        <v/>
      </c>
      <c r="AT185">
        <f>HYPERLINK("http://www.worldcat.org/oclc/2317970","WorldCat Record")</f>
        <v/>
      </c>
      <c r="AU185" t="inlineStr">
        <is>
          <t>481071:eng</t>
        </is>
      </c>
      <c r="AV185" t="inlineStr">
        <is>
          <t>2317970</t>
        </is>
      </c>
      <c r="AW185" t="inlineStr">
        <is>
          <t>991004075479702656</t>
        </is>
      </c>
      <c r="AX185" t="inlineStr">
        <is>
          <t>991004075479702656</t>
        </is>
      </c>
      <c r="AY185" t="inlineStr">
        <is>
          <t>2264211100002656</t>
        </is>
      </c>
      <c r="AZ185" t="inlineStr">
        <is>
          <t>BOOK</t>
        </is>
      </c>
      <c r="BB185" t="inlineStr">
        <is>
          <t>9780911762167</t>
        </is>
      </c>
      <c r="BC185" t="inlineStr">
        <is>
          <t>32285000931955</t>
        </is>
      </c>
      <c r="BD185" t="inlineStr">
        <is>
          <t>893343435</t>
        </is>
      </c>
    </row>
    <row r="186">
      <c r="A186" t="inlineStr">
        <is>
          <t>No</t>
        </is>
      </c>
      <c r="B186" t="inlineStr">
        <is>
          <t>RA569 .C38 1989</t>
        </is>
      </c>
      <c r="C186" t="inlineStr">
        <is>
          <t>0                      RA 0569000C  38          1989</t>
        </is>
      </c>
      <c r="D186" t="inlineStr">
        <is>
          <t>Multiple exposures : chronicles of radiation age / Catherine Caufield.</t>
        </is>
      </c>
      <c r="F186" t="inlineStr">
        <is>
          <t>No</t>
        </is>
      </c>
      <c r="G186" t="inlineStr">
        <is>
          <t>1</t>
        </is>
      </c>
      <c r="H186" t="inlineStr">
        <is>
          <t>No</t>
        </is>
      </c>
      <c r="I186" t="inlineStr">
        <is>
          <t>No</t>
        </is>
      </c>
      <c r="J186" t="inlineStr">
        <is>
          <t>0</t>
        </is>
      </c>
      <c r="K186" t="inlineStr">
        <is>
          <t>Caufield, Catherine.</t>
        </is>
      </c>
      <c r="L186" t="inlineStr">
        <is>
          <t>New York : Harper &amp; Row, c1989.</t>
        </is>
      </c>
      <c r="M186" t="inlineStr">
        <is>
          <t>1989</t>
        </is>
      </c>
      <c r="N186" t="inlineStr">
        <is>
          <t>1st U.S. ed.</t>
        </is>
      </c>
      <c r="O186" t="inlineStr">
        <is>
          <t>eng</t>
        </is>
      </c>
      <c r="P186" t="inlineStr">
        <is>
          <t>nyu</t>
        </is>
      </c>
      <c r="R186" t="inlineStr">
        <is>
          <t xml:space="preserve">RA </t>
        </is>
      </c>
      <c r="S186" t="n">
        <v>5</v>
      </c>
      <c r="T186" t="n">
        <v>5</v>
      </c>
      <c r="U186" t="inlineStr">
        <is>
          <t>2002-09-20</t>
        </is>
      </c>
      <c r="V186" t="inlineStr">
        <is>
          <t>2002-09-20</t>
        </is>
      </c>
      <c r="W186" t="inlineStr">
        <is>
          <t>1993-03-11</t>
        </is>
      </c>
      <c r="X186" t="inlineStr">
        <is>
          <t>1993-03-11</t>
        </is>
      </c>
      <c r="Y186" t="n">
        <v>611</v>
      </c>
      <c r="Z186" t="n">
        <v>584</v>
      </c>
      <c r="AA186" t="n">
        <v>721</v>
      </c>
      <c r="AB186" t="n">
        <v>4</v>
      </c>
      <c r="AC186" t="n">
        <v>5</v>
      </c>
      <c r="AD186" t="n">
        <v>12</v>
      </c>
      <c r="AE186" t="n">
        <v>17</v>
      </c>
      <c r="AF186" t="n">
        <v>4</v>
      </c>
      <c r="AG186" t="n">
        <v>5</v>
      </c>
      <c r="AH186" t="n">
        <v>3</v>
      </c>
      <c r="AI186" t="n">
        <v>5</v>
      </c>
      <c r="AJ186" t="n">
        <v>8</v>
      </c>
      <c r="AK186" t="n">
        <v>11</v>
      </c>
      <c r="AL186" t="n">
        <v>1</v>
      </c>
      <c r="AM186" t="n">
        <v>2</v>
      </c>
      <c r="AN186" t="n">
        <v>0</v>
      </c>
      <c r="AO186" t="n">
        <v>0</v>
      </c>
      <c r="AP186" t="inlineStr">
        <is>
          <t>No</t>
        </is>
      </c>
      <c r="AQ186" t="inlineStr">
        <is>
          <t>Yes</t>
        </is>
      </c>
      <c r="AR186">
        <f>HYPERLINK("http://catalog.hathitrust.org/Record/001826332","HathiTrust Record")</f>
        <v/>
      </c>
      <c r="AS186">
        <f>HYPERLINK("https://creighton-primo.hosted.exlibrisgroup.com/primo-explore/search?tab=default_tab&amp;search_scope=EVERYTHING&amp;vid=01CRU&amp;lang=en_US&amp;offset=0&amp;query=any,contains,991001454719702656","Catalog Record")</f>
        <v/>
      </c>
      <c r="AT186">
        <f>HYPERLINK("http://www.worldcat.org/oclc/19353829","WorldCat Record")</f>
        <v/>
      </c>
      <c r="AU186" t="inlineStr">
        <is>
          <t>18781575:eng</t>
        </is>
      </c>
      <c r="AV186" t="inlineStr">
        <is>
          <t>19353829</t>
        </is>
      </c>
      <c r="AW186" t="inlineStr">
        <is>
          <t>991001454719702656</t>
        </is>
      </c>
      <c r="AX186" t="inlineStr">
        <is>
          <t>991001454719702656</t>
        </is>
      </c>
      <c r="AY186" t="inlineStr">
        <is>
          <t>2269025420002656</t>
        </is>
      </c>
      <c r="AZ186" t="inlineStr">
        <is>
          <t>BOOK</t>
        </is>
      </c>
      <c r="BB186" t="inlineStr">
        <is>
          <t>9780060159009</t>
        </is>
      </c>
      <c r="BC186" t="inlineStr">
        <is>
          <t>32285001587301</t>
        </is>
      </c>
      <c r="BD186" t="inlineStr">
        <is>
          <t>893516206</t>
        </is>
      </c>
    </row>
    <row r="187">
      <c r="A187" t="inlineStr">
        <is>
          <t>No</t>
        </is>
      </c>
      <c r="B187" t="inlineStr">
        <is>
          <t>RA569 .M37 1986</t>
        </is>
      </c>
      <c r="C187" t="inlineStr">
        <is>
          <t>0                      RA 0569000M  37          1986</t>
        </is>
      </c>
      <c r="D187" t="inlineStr">
        <is>
          <t>An introduction to radiation protection / Alan Martin and Samuel A. Harbison.</t>
        </is>
      </c>
      <c r="F187" t="inlineStr">
        <is>
          <t>No</t>
        </is>
      </c>
      <c r="G187" t="inlineStr">
        <is>
          <t>1</t>
        </is>
      </c>
      <c r="H187" t="inlineStr">
        <is>
          <t>No</t>
        </is>
      </c>
      <c r="I187" t="inlineStr">
        <is>
          <t>No</t>
        </is>
      </c>
      <c r="J187" t="inlineStr">
        <is>
          <t>0</t>
        </is>
      </c>
      <c r="K187" t="inlineStr">
        <is>
          <t>Martin, Alan D. (Alan Douglas)</t>
        </is>
      </c>
      <c r="L187" t="inlineStr">
        <is>
          <t>London ; New York : Chapman and Hall, 1986.</t>
        </is>
      </c>
      <c r="M187" t="inlineStr">
        <is>
          <t>1986</t>
        </is>
      </c>
      <c r="N187" t="inlineStr">
        <is>
          <t>3rd ed.</t>
        </is>
      </c>
      <c r="O187" t="inlineStr">
        <is>
          <t>eng</t>
        </is>
      </c>
      <c r="P187" t="inlineStr">
        <is>
          <t>enk</t>
        </is>
      </c>
      <c r="R187" t="inlineStr">
        <is>
          <t xml:space="preserve">RA </t>
        </is>
      </c>
      <c r="S187" t="n">
        <v>12</v>
      </c>
      <c r="T187" t="n">
        <v>12</v>
      </c>
      <c r="U187" t="inlineStr">
        <is>
          <t>2007-09-28</t>
        </is>
      </c>
      <c r="V187" t="inlineStr">
        <is>
          <t>2007-09-28</t>
        </is>
      </c>
      <c r="W187" t="inlineStr">
        <is>
          <t>1993-03-11</t>
        </is>
      </c>
      <c r="X187" t="inlineStr">
        <is>
          <t>1993-03-11</t>
        </is>
      </c>
      <c r="Y187" t="n">
        <v>267</v>
      </c>
      <c r="Z187" t="n">
        <v>138</v>
      </c>
      <c r="AA187" t="n">
        <v>454</v>
      </c>
      <c r="AB187" t="n">
        <v>2</v>
      </c>
      <c r="AC187" t="n">
        <v>3</v>
      </c>
      <c r="AD187" t="n">
        <v>4</v>
      </c>
      <c r="AE187" t="n">
        <v>16</v>
      </c>
      <c r="AF187" t="n">
        <v>0</v>
      </c>
      <c r="AG187" t="n">
        <v>4</v>
      </c>
      <c r="AH187" t="n">
        <v>2</v>
      </c>
      <c r="AI187" t="n">
        <v>5</v>
      </c>
      <c r="AJ187" t="n">
        <v>2</v>
      </c>
      <c r="AK187" t="n">
        <v>9</v>
      </c>
      <c r="AL187" t="n">
        <v>1</v>
      </c>
      <c r="AM187" t="n">
        <v>2</v>
      </c>
      <c r="AN187" t="n">
        <v>0</v>
      </c>
      <c r="AO187" t="n">
        <v>0</v>
      </c>
      <c r="AP187" t="inlineStr">
        <is>
          <t>No</t>
        </is>
      </c>
      <c r="AQ187" t="inlineStr">
        <is>
          <t>No</t>
        </is>
      </c>
      <c r="AS187">
        <f>HYPERLINK("https://creighton-primo.hosted.exlibrisgroup.com/primo-explore/search?tab=default_tab&amp;search_scope=EVERYTHING&amp;vid=01CRU&amp;lang=en_US&amp;offset=0&amp;query=any,contains,991000784999702656","Catalog Record")</f>
        <v/>
      </c>
      <c r="AT187">
        <f>HYPERLINK("http://www.worldcat.org/oclc/13123518","WorldCat Record")</f>
        <v/>
      </c>
      <c r="AU187" t="inlineStr">
        <is>
          <t>1702120:eng</t>
        </is>
      </c>
      <c r="AV187" t="inlineStr">
        <is>
          <t>13123518</t>
        </is>
      </c>
      <c r="AW187" t="inlineStr">
        <is>
          <t>991000784999702656</t>
        </is>
      </c>
      <c r="AX187" t="inlineStr">
        <is>
          <t>991000784999702656</t>
        </is>
      </c>
      <c r="AY187" t="inlineStr">
        <is>
          <t>2256697960002656</t>
        </is>
      </c>
      <c r="AZ187" t="inlineStr">
        <is>
          <t>BOOK</t>
        </is>
      </c>
      <c r="BB187" t="inlineStr">
        <is>
          <t>9780412278006</t>
        </is>
      </c>
      <c r="BC187" t="inlineStr">
        <is>
          <t>32285001587343</t>
        </is>
      </c>
      <c r="BD187" t="inlineStr">
        <is>
          <t>893444457</t>
        </is>
      </c>
    </row>
    <row r="188">
      <c r="A188" t="inlineStr">
        <is>
          <t>No</t>
        </is>
      </c>
      <c r="B188" t="inlineStr">
        <is>
          <t>RA569 .R4 1967a</t>
        </is>
      </c>
      <c r="C188" t="inlineStr">
        <is>
          <t>0                      RA 0569000R  4           1967a</t>
        </is>
      </c>
      <c r="D188" t="inlineStr">
        <is>
          <t>Health physics; principles of radiation protection [by] D. J. Rees.</t>
        </is>
      </c>
      <c r="F188" t="inlineStr">
        <is>
          <t>No</t>
        </is>
      </c>
      <c r="G188" t="inlineStr">
        <is>
          <t>1</t>
        </is>
      </c>
      <c r="H188" t="inlineStr">
        <is>
          <t>No</t>
        </is>
      </c>
      <c r="I188" t="inlineStr">
        <is>
          <t>No</t>
        </is>
      </c>
      <c r="J188" t="inlineStr">
        <is>
          <t>0</t>
        </is>
      </c>
      <c r="K188" t="inlineStr">
        <is>
          <t>Rees, D. J. (David John)</t>
        </is>
      </c>
      <c r="L188" t="inlineStr">
        <is>
          <t>Cambrige, Mass., M.I.T. Press [1967]</t>
        </is>
      </c>
      <c r="M188" t="inlineStr">
        <is>
          <t>1967</t>
        </is>
      </c>
      <c r="O188" t="inlineStr">
        <is>
          <t>eng</t>
        </is>
      </c>
      <c r="P188" t="inlineStr">
        <is>
          <t>mau</t>
        </is>
      </c>
      <c r="R188" t="inlineStr">
        <is>
          <t xml:space="preserve">RA </t>
        </is>
      </c>
      <c r="S188" t="n">
        <v>9</v>
      </c>
      <c r="T188" t="n">
        <v>9</v>
      </c>
      <c r="U188" t="inlineStr">
        <is>
          <t>2007-09-28</t>
        </is>
      </c>
      <c r="V188" t="inlineStr">
        <is>
          <t>2007-09-28</t>
        </is>
      </c>
      <c r="W188" t="inlineStr">
        <is>
          <t>1997-08-08</t>
        </is>
      </c>
      <c r="X188" t="inlineStr">
        <is>
          <t>1997-08-08</t>
        </is>
      </c>
      <c r="Y188" t="n">
        <v>268</v>
      </c>
      <c r="Z188" t="n">
        <v>240</v>
      </c>
      <c r="AA188" t="n">
        <v>266</v>
      </c>
      <c r="AB188" t="n">
        <v>2</v>
      </c>
      <c r="AC188" t="n">
        <v>2</v>
      </c>
      <c r="AD188" t="n">
        <v>6</v>
      </c>
      <c r="AE188" t="n">
        <v>6</v>
      </c>
      <c r="AF188" t="n">
        <v>0</v>
      </c>
      <c r="AG188" t="n">
        <v>0</v>
      </c>
      <c r="AH188" t="n">
        <v>1</v>
      </c>
      <c r="AI188" t="n">
        <v>1</v>
      </c>
      <c r="AJ188" t="n">
        <v>4</v>
      </c>
      <c r="AK188" t="n">
        <v>4</v>
      </c>
      <c r="AL188" t="n">
        <v>1</v>
      </c>
      <c r="AM188" t="n">
        <v>1</v>
      </c>
      <c r="AN188" t="n">
        <v>0</v>
      </c>
      <c r="AO188" t="n">
        <v>0</v>
      </c>
      <c r="AP188" t="inlineStr">
        <is>
          <t>No</t>
        </is>
      </c>
      <c r="AQ188" t="inlineStr">
        <is>
          <t>Yes</t>
        </is>
      </c>
      <c r="AR188">
        <f>HYPERLINK("http://catalog.hathitrust.org/Record/001559275","HathiTrust Record")</f>
        <v/>
      </c>
      <c r="AS188">
        <f>HYPERLINK("https://creighton-primo.hosted.exlibrisgroup.com/primo-explore/search?tab=default_tab&amp;search_scope=EVERYTHING&amp;vid=01CRU&amp;lang=en_US&amp;offset=0&amp;query=any,contains,991004202279702656","Catalog Record")</f>
        <v/>
      </c>
      <c r="AT188">
        <f>HYPERLINK("http://www.worldcat.org/oclc/1463312","WorldCat Record")</f>
        <v/>
      </c>
      <c r="AU188" t="inlineStr">
        <is>
          <t>1900822:eng</t>
        </is>
      </c>
      <c r="AV188" t="inlineStr">
        <is>
          <t>1463312</t>
        </is>
      </c>
      <c r="AW188" t="inlineStr">
        <is>
          <t>991004202279702656</t>
        </is>
      </c>
      <c r="AX188" t="inlineStr">
        <is>
          <t>991004202279702656</t>
        </is>
      </c>
      <c r="AY188" t="inlineStr">
        <is>
          <t>2256275240002656</t>
        </is>
      </c>
      <c r="AZ188" t="inlineStr">
        <is>
          <t>BOOK</t>
        </is>
      </c>
      <c r="BC188" t="inlineStr">
        <is>
          <t>32285003083564</t>
        </is>
      </c>
      <c r="BD188" t="inlineStr">
        <is>
          <t>893229052</t>
        </is>
      </c>
    </row>
    <row r="189">
      <c r="A189" t="inlineStr">
        <is>
          <t>No</t>
        </is>
      </c>
      <c r="B189" t="inlineStr">
        <is>
          <t>RA569.3 .S74 1984</t>
        </is>
      </c>
      <c r="C189" t="inlineStr">
        <is>
          <t>0                      RA 0569300S  74          1984</t>
        </is>
      </c>
      <c r="D189" t="inlineStr">
        <is>
          <t>The microwave debate / Nicholas H. Steneck.</t>
        </is>
      </c>
      <c r="F189" t="inlineStr">
        <is>
          <t>No</t>
        </is>
      </c>
      <c r="G189" t="inlineStr">
        <is>
          <t>1</t>
        </is>
      </c>
      <c r="H189" t="inlineStr">
        <is>
          <t>No</t>
        </is>
      </c>
      <c r="I189" t="inlineStr">
        <is>
          <t>No</t>
        </is>
      </c>
      <c r="J189" t="inlineStr">
        <is>
          <t>0</t>
        </is>
      </c>
      <c r="K189" t="inlineStr">
        <is>
          <t>Steneck, Nicholas H. (Nicholas Hans), 1940-</t>
        </is>
      </c>
      <c r="L189" t="inlineStr">
        <is>
          <t>Cambridge, Mass. : MIT Press, c1984.</t>
        </is>
      </c>
      <c r="M189" t="inlineStr">
        <is>
          <t>1984</t>
        </is>
      </c>
      <c r="O189" t="inlineStr">
        <is>
          <t>eng</t>
        </is>
      </c>
      <c r="P189" t="inlineStr">
        <is>
          <t>mau</t>
        </is>
      </c>
      <c r="R189" t="inlineStr">
        <is>
          <t xml:space="preserve">RA </t>
        </is>
      </c>
      <c r="S189" t="n">
        <v>3</v>
      </c>
      <c r="T189" t="n">
        <v>3</v>
      </c>
      <c r="U189" t="inlineStr">
        <is>
          <t>1998-07-21</t>
        </is>
      </c>
      <c r="V189" t="inlineStr">
        <is>
          <t>1998-07-21</t>
        </is>
      </c>
      <c r="W189" t="inlineStr">
        <is>
          <t>1993-03-11</t>
        </is>
      </c>
      <c r="X189" t="inlineStr">
        <is>
          <t>1993-03-11</t>
        </is>
      </c>
      <c r="Y189" t="n">
        <v>613</v>
      </c>
      <c r="Z189" t="n">
        <v>545</v>
      </c>
      <c r="AA189" t="n">
        <v>554</v>
      </c>
      <c r="AB189" t="n">
        <v>3</v>
      </c>
      <c r="AC189" t="n">
        <v>3</v>
      </c>
      <c r="AD189" t="n">
        <v>14</v>
      </c>
      <c r="AE189" t="n">
        <v>14</v>
      </c>
      <c r="AF189" t="n">
        <v>4</v>
      </c>
      <c r="AG189" t="n">
        <v>4</v>
      </c>
      <c r="AH189" t="n">
        <v>4</v>
      </c>
      <c r="AI189" t="n">
        <v>4</v>
      </c>
      <c r="AJ189" t="n">
        <v>9</v>
      </c>
      <c r="AK189" t="n">
        <v>9</v>
      </c>
      <c r="AL189" t="n">
        <v>1</v>
      </c>
      <c r="AM189" t="n">
        <v>1</v>
      </c>
      <c r="AN189" t="n">
        <v>1</v>
      </c>
      <c r="AO189" t="n">
        <v>1</v>
      </c>
      <c r="AP189" t="inlineStr">
        <is>
          <t>No</t>
        </is>
      </c>
      <c r="AQ189" t="inlineStr">
        <is>
          <t>Yes</t>
        </is>
      </c>
      <c r="AR189">
        <f>HYPERLINK("http://catalog.hathitrust.org/Record/000561198","HathiTrust Record")</f>
        <v/>
      </c>
      <c r="AS189">
        <f>HYPERLINK("https://creighton-primo.hosted.exlibrisgroup.com/primo-explore/search?tab=default_tab&amp;search_scope=EVERYTHING&amp;vid=01CRU&amp;lang=en_US&amp;offset=0&amp;query=any,contains,991000417379702656","Catalog Record")</f>
        <v/>
      </c>
      <c r="AT189">
        <f>HYPERLINK("http://www.worldcat.org/oclc/10725487","WorldCat Record")</f>
        <v/>
      </c>
      <c r="AU189" t="inlineStr">
        <is>
          <t>3434071:eng</t>
        </is>
      </c>
      <c r="AV189" t="inlineStr">
        <is>
          <t>10725487</t>
        </is>
      </c>
      <c r="AW189" t="inlineStr">
        <is>
          <t>991000417379702656</t>
        </is>
      </c>
      <c r="AX189" t="inlineStr">
        <is>
          <t>991000417379702656</t>
        </is>
      </c>
      <c r="AY189" t="inlineStr">
        <is>
          <t>2263656370002656</t>
        </is>
      </c>
      <c r="AZ189" t="inlineStr">
        <is>
          <t>BOOK</t>
        </is>
      </c>
      <c r="BB189" t="inlineStr">
        <is>
          <t>9780262192309</t>
        </is>
      </c>
      <c r="BC189" t="inlineStr">
        <is>
          <t>32285001587350</t>
        </is>
      </c>
      <c r="BD189" t="inlineStr">
        <is>
          <t>893589418</t>
        </is>
      </c>
    </row>
    <row r="190">
      <c r="A190" t="inlineStr">
        <is>
          <t>No</t>
        </is>
      </c>
      <c r="B190" t="inlineStr">
        <is>
          <t>RA576 .L28</t>
        </is>
      </c>
      <c r="C190" t="inlineStr">
        <is>
          <t>0                      RA 0576000L  28</t>
        </is>
      </c>
      <c r="D190" t="inlineStr">
        <is>
          <t>Air pollution and human health / Lester B. Lave, Eugene P. Seskin, with the assistance of Michael J. Chappie.</t>
        </is>
      </c>
      <c r="F190" t="inlineStr">
        <is>
          <t>No</t>
        </is>
      </c>
      <c r="G190" t="inlineStr">
        <is>
          <t>1</t>
        </is>
      </c>
      <c r="H190" t="inlineStr">
        <is>
          <t>No</t>
        </is>
      </c>
      <c r="I190" t="inlineStr">
        <is>
          <t>No</t>
        </is>
      </c>
      <c r="J190" t="inlineStr">
        <is>
          <t>0</t>
        </is>
      </c>
      <c r="K190" t="inlineStr">
        <is>
          <t>Lave, Lester B.</t>
        </is>
      </c>
      <c r="L190" t="inlineStr">
        <is>
          <t>Baltimore : Published for Resources for the Future by the Johns Hopkins University Press, c1977.</t>
        </is>
      </c>
      <c r="M190" t="inlineStr">
        <is>
          <t>1977</t>
        </is>
      </c>
      <c r="O190" t="inlineStr">
        <is>
          <t>eng</t>
        </is>
      </c>
      <c r="P190" t="inlineStr">
        <is>
          <t>mdu</t>
        </is>
      </c>
      <c r="R190" t="inlineStr">
        <is>
          <t xml:space="preserve">RA </t>
        </is>
      </c>
      <c r="S190" t="n">
        <v>5</v>
      </c>
      <c r="T190" t="n">
        <v>5</v>
      </c>
      <c r="U190" t="inlineStr">
        <is>
          <t>2009-03-29</t>
        </is>
      </c>
      <c r="V190" t="inlineStr">
        <is>
          <t>2009-03-29</t>
        </is>
      </c>
      <c r="W190" t="inlineStr">
        <is>
          <t>1997-08-08</t>
        </is>
      </c>
      <c r="X190" t="inlineStr">
        <is>
          <t>1997-08-08</t>
        </is>
      </c>
      <c r="Y190" t="n">
        <v>553</v>
      </c>
      <c r="Z190" t="n">
        <v>448</v>
      </c>
      <c r="AA190" t="n">
        <v>482</v>
      </c>
      <c r="AB190" t="n">
        <v>4</v>
      </c>
      <c r="AC190" t="n">
        <v>4</v>
      </c>
      <c r="AD190" t="n">
        <v>11</v>
      </c>
      <c r="AE190" t="n">
        <v>11</v>
      </c>
      <c r="AF190" t="n">
        <v>3</v>
      </c>
      <c r="AG190" t="n">
        <v>3</v>
      </c>
      <c r="AH190" t="n">
        <v>4</v>
      </c>
      <c r="AI190" t="n">
        <v>4</v>
      </c>
      <c r="AJ190" t="n">
        <v>3</v>
      </c>
      <c r="AK190" t="n">
        <v>3</v>
      </c>
      <c r="AL190" t="n">
        <v>3</v>
      </c>
      <c r="AM190" t="n">
        <v>3</v>
      </c>
      <c r="AN190" t="n">
        <v>1</v>
      </c>
      <c r="AO190" t="n">
        <v>1</v>
      </c>
      <c r="AP190" t="inlineStr">
        <is>
          <t>No</t>
        </is>
      </c>
      <c r="AQ190" t="inlineStr">
        <is>
          <t>Yes</t>
        </is>
      </c>
      <c r="AR190">
        <f>HYPERLINK("http://catalog.hathitrust.org/Record/000090631","HathiTrust Record")</f>
        <v/>
      </c>
      <c r="AS190">
        <f>HYPERLINK("https://creighton-primo.hosted.exlibrisgroup.com/primo-explore/search?tab=default_tab&amp;search_scope=EVERYTHING&amp;vid=01CRU&amp;lang=en_US&amp;offset=0&amp;query=any,contains,991004467849702656","Catalog Record")</f>
        <v/>
      </c>
      <c r="AT190">
        <f>HYPERLINK("http://www.worldcat.org/oclc/3580869","WorldCat Record")</f>
        <v/>
      </c>
      <c r="AU190" t="inlineStr">
        <is>
          <t>11135728:eng</t>
        </is>
      </c>
      <c r="AV190" t="inlineStr">
        <is>
          <t>3580869</t>
        </is>
      </c>
      <c r="AW190" t="inlineStr">
        <is>
          <t>991004467849702656</t>
        </is>
      </c>
      <c r="AX190" t="inlineStr">
        <is>
          <t>991004467849702656</t>
        </is>
      </c>
      <c r="AY190" t="inlineStr">
        <is>
          <t>2263139340002656</t>
        </is>
      </c>
      <c r="AZ190" t="inlineStr">
        <is>
          <t>BOOK</t>
        </is>
      </c>
      <c r="BB190" t="inlineStr">
        <is>
          <t>9780801816536</t>
        </is>
      </c>
      <c r="BC190" t="inlineStr">
        <is>
          <t>32285003083606</t>
        </is>
      </c>
      <c r="BD190" t="inlineStr">
        <is>
          <t>893599868</t>
        </is>
      </c>
    </row>
    <row r="191">
      <c r="A191" t="inlineStr">
        <is>
          <t>No</t>
        </is>
      </c>
      <c r="B191" t="inlineStr">
        <is>
          <t>RA576 .L5</t>
        </is>
      </c>
      <c r="C191" t="inlineStr">
        <is>
          <t>0                      RA 0576000L  5</t>
        </is>
      </c>
      <c r="D191" t="inlineStr">
        <is>
          <t>With every breath you take; the poisons of air pollution, how they are injuring our health, and what we must do about them, by Howard R. Lewis. Pref. by Reginald H. Smart. Foreword by Morris B. Jacobs.</t>
        </is>
      </c>
      <c r="F191" t="inlineStr">
        <is>
          <t>No</t>
        </is>
      </c>
      <c r="G191" t="inlineStr">
        <is>
          <t>1</t>
        </is>
      </c>
      <c r="H191" t="inlineStr">
        <is>
          <t>No</t>
        </is>
      </c>
      <c r="I191" t="inlineStr">
        <is>
          <t>No</t>
        </is>
      </c>
      <c r="J191" t="inlineStr">
        <is>
          <t>0</t>
        </is>
      </c>
      <c r="K191" t="inlineStr">
        <is>
          <t>Lewis, Howard R.</t>
        </is>
      </c>
      <c r="L191" t="inlineStr">
        <is>
          <t>New York, Crown Publishers [1965]</t>
        </is>
      </c>
      <c r="M191" t="inlineStr">
        <is>
          <t>1965</t>
        </is>
      </c>
      <c r="O191" t="inlineStr">
        <is>
          <t>eng</t>
        </is>
      </c>
      <c r="P191" t="inlineStr">
        <is>
          <t>nyu</t>
        </is>
      </c>
      <c r="R191" t="inlineStr">
        <is>
          <t xml:space="preserve">RA </t>
        </is>
      </c>
      <c r="S191" t="n">
        <v>1</v>
      </c>
      <c r="T191" t="n">
        <v>1</v>
      </c>
      <c r="U191" t="inlineStr">
        <is>
          <t>2005-10-03</t>
        </is>
      </c>
      <c r="V191" t="inlineStr">
        <is>
          <t>2005-10-03</t>
        </is>
      </c>
      <c r="W191" t="inlineStr">
        <is>
          <t>1997-08-08</t>
        </is>
      </c>
      <c r="X191" t="inlineStr">
        <is>
          <t>1997-08-08</t>
        </is>
      </c>
      <c r="Y191" t="n">
        <v>660</v>
      </c>
      <c r="Z191" t="n">
        <v>618</v>
      </c>
      <c r="AA191" t="n">
        <v>629</v>
      </c>
      <c r="AB191" t="n">
        <v>7</v>
      </c>
      <c r="AC191" t="n">
        <v>7</v>
      </c>
      <c r="AD191" t="n">
        <v>17</v>
      </c>
      <c r="AE191" t="n">
        <v>18</v>
      </c>
      <c r="AF191" t="n">
        <v>5</v>
      </c>
      <c r="AG191" t="n">
        <v>5</v>
      </c>
      <c r="AH191" t="n">
        <v>2</v>
      </c>
      <c r="AI191" t="n">
        <v>3</v>
      </c>
      <c r="AJ191" t="n">
        <v>7</v>
      </c>
      <c r="AK191" t="n">
        <v>8</v>
      </c>
      <c r="AL191" t="n">
        <v>5</v>
      </c>
      <c r="AM191" t="n">
        <v>5</v>
      </c>
      <c r="AN191" t="n">
        <v>1</v>
      </c>
      <c r="AO191" t="n">
        <v>1</v>
      </c>
      <c r="AP191" t="inlineStr">
        <is>
          <t>No</t>
        </is>
      </c>
      <c r="AQ191" t="inlineStr">
        <is>
          <t>Yes</t>
        </is>
      </c>
      <c r="AR191">
        <f>HYPERLINK("http://catalog.hathitrust.org/Record/001559300","HathiTrust Record")</f>
        <v/>
      </c>
      <c r="AS191">
        <f>HYPERLINK("https://creighton-primo.hosted.exlibrisgroup.com/primo-explore/search?tab=default_tab&amp;search_scope=EVERYTHING&amp;vid=01CRU&amp;lang=en_US&amp;offset=0&amp;query=any,contains,991002698269702656","Catalog Record")</f>
        <v/>
      </c>
      <c r="AT191">
        <f>HYPERLINK("http://www.worldcat.org/oclc/404497","WorldCat Record")</f>
        <v/>
      </c>
      <c r="AU191" t="inlineStr">
        <is>
          <t>235307291:eng</t>
        </is>
      </c>
      <c r="AV191" t="inlineStr">
        <is>
          <t>404497</t>
        </is>
      </c>
      <c r="AW191" t="inlineStr">
        <is>
          <t>991002698269702656</t>
        </is>
      </c>
      <c r="AX191" t="inlineStr">
        <is>
          <t>991002698269702656</t>
        </is>
      </c>
      <c r="AY191" t="inlineStr">
        <is>
          <t>2259966220002656</t>
        </is>
      </c>
      <c r="AZ191" t="inlineStr">
        <is>
          <t>BOOK</t>
        </is>
      </c>
      <c r="BC191" t="inlineStr">
        <is>
          <t>32285003083614</t>
        </is>
      </c>
      <c r="BD191" t="inlineStr">
        <is>
          <t>893809625</t>
        </is>
      </c>
    </row>
    <row r="192">
      <c r="A192" t="inlineStr">
        <is>
          <t>No</t>
        </is>
      </c>
      <c r="B192" t="inlineStr">
        <is>
          <t>RA576 .M4 1964</t>
        </is>
      </c>
      <c r="C192" t="inlineStr">
        <is>
          <t>0                      RA 0576000M  4           1964</t>
        </is>
      </c>
      <c r="D192" t="inlineStr">
        <is>
          <t>Atmospheric pollution; its origins and prevention, by A.R. Meetham.</t>
        </is>
      </c>
      <c r="F192" t="inlineStr">
        <is>
          <t>No</t>
        </is>
      </c>
      <c r="G192" t="inlineStr">
        <is>
          <t>1</t>
        </is>
      </c>
      <c r="H192" t="inlineStr">
        <is>
          <t>No</t>
        </is>
      </c>
      <c r="I192" t="inlineStr">
        <is>
          <t>No</t>
        </is>
      </c>
      <c r="J192" t="inlineStr">
        <is>
          <t>0</t>
        </is>
      </c>
      <c r="K192" t="inlineStr">
        <is>
          <t>Meetham, A. R.</t>
        </is>
      </c>
      <c r="L192" t="inlineStr">
        <is>
          <t>Oxford, New York, Pergamon Press, 1964.</t>
        </is>
      </c>
      <c r="M192" t="inlineStr">
        <is>
          <t>1964</t>
        </is>
      </c>
      <c r="N192" t="inlineStr">
        <is>
          <t>3d rev. ed. [by] D.W. Bottom [and] S. Cayton.</t>
        </is>
      </c>
      <c r="O192" t="inlineStr">
        <is>
          <t>eng</t>
        </is>
      </c>
      <c r="P192" t="inlineStr">
        <is>
          <t>enk</t>
        </is>
      </c>
      <c r="R192" t="inlineStr">
        <is>
          <t xml:space="preserve">RA </t>
        </is>
      </c>
      <c r="S192" t="n">
        <v>1</v>
      </c>
      <c r="T192" t="n">
        <v>1</v>
      </c>
      <c r="U192" t="inlineStr">
        <is>
          <t>2001-10-17</t>
        </is>
      </c>
      <c r="V192" t="inlineStr">
        <is>
          <t>2001-10-17</t>
        </is>
      </c>
      <c r="W192" t="inlineStr">
        <is>
          <t>1997-08-08</t>
        </is>
      </c>
      <c r="X192" t="inlineStr">
        <is>
          <t>1997-08-08</t>
        </is>
      </c>
      <c r="Y192" t="n">
        <v>256</v>
      </c>
      <c r="Z192" t="n">
        <v>176</v>
      </c>
      <c r="AA192" t="n">
        <v>412</v>
      </c>
      <c r="AB192" t="n">
        <v>2</v>
      </c>
      <c r="AC192" t="n">
        <v>3</v>
      </c>
      <c r="AD192" t="n">
        <v>4</v>
      </c>
      <c r="AE192" t="n">
        <v>10</v>
      </c>
      <c r="AF192" t="n">
        <v>0</v>
      </c>
      <c r="AG192" t="n">
        <v>3</v>
      </c>
      <c r="AH192" t="n">
        <v>3</v>
      </c>
      <c r="AI192" t="n">
        <v>6</v>
      </c>
      <c r="AJ192" t="n">
        <v>3</v>
      </c>
      <c r="AK192" t="n">
        <v>3</v>
      </c>
      <c r="AL192" t="n">
        <v>0</v>
      </c>
      <c r="AM192" t="n">
        <v>1</v>
      </c>
      <c r="AN192" t="n">
        <v>0</v>
      </c>
      <c r="AO192" t="n">
        <v>0</v>
      </c>
      <c r="AP192" t="inlineStr">
        <is>
          <t>No</t>
        </is>
      </c>
      <c r="AQ192" t="inlineStr">
        <is>
          <t>No</t>
        </is>
      </c>
      <c r="AS192">
        <f>HYPERLINK("https://creighton-primo.hosted.exlibrisgroup.com/primo-explore/search?tab=default_tab&amp;search_scope=EVERYTHING&amp;vid=01CRU&amp;lang=en_US&amp;offset=0&amp;query=any,contains,991003461609702656","Catalog Record")</f>
        <v/>
      </c>
      <c r="AT192">
        <f>HYPERLINK("http://www.worldcat.org/oclc/1003412","WorldCat Record")</f>
        <v/>
      </c>
      <c r="AU192" t="inlineStr">
        <is>
          <t>8394721:eng</t>
        </is>
      </c>
      <c r="AV192" t="inlineStr">
        <is>
          <t>1003412</t>
        </is>
      </c>
      <c r="AW192" t="inlineStr">
        <is>
          <t>991003461609702656</t>
        </is>
      </c>
      <c r="AX192" t="inlineStr">
        <is>
          <t>991003461609702656</t>
        </is>
      </c>
      <c r="AY192" t="inlineStr">
        <is>
          <t>2255940860002656</t>
        </is>
      </c>
      <c r="AZ192" t="inlineStr">
        <is>
          <t>BOOK</t>
        </is>
      </c>
      <c r="BC192" t="inlineStr">
        <is>
          <t>32285003083622</t>
        </is>
      </c>
      <c r="BD192" t="inlineStr">
        <is>
          <t>893868426</t>
        </is>
      </c>
    </row>
    <row r="193">
      <c r="A193" t="inlineStr">
        <is>
          <t>No</t>
        </is>
      </c>
      <c r="B193" t="inlineStr">
        <is>
          <t>RA576 .N29 1978</t>
        </is>
      </c>
      <c r="C193" t="inlineStr">
        <is>
          <t>0                      RA 0576000N  29          1978</t>
        </is>
      </c>
      <c r="D193" t="inlineStr">
        <is>
          <t>Air pollution primer / Rena Corman.</t>
        </is>
      </c>
      <c r="F193" t="inlineStr">
        <is>
          <t>No</t>
        </is>
      </c>
      <c r="G193" t="inlineStr">
        <is>
          <t>1</t>
        </is>
      </c>
      <c r="H193" t="inlineStr">
        <is>
          <t>No</t>
        </is>
      </c>
      <c r="I193" t="inlineStr">
        <is>
          <t>No</t>
        </is>
      </c>
      <c r="J193" t="inlineStr">
        <is>
          <t>0</t>
        </is>
      </c>
      <c r="K193" t="inlineStr">
        <is>
          <t>Corman, Rena.</t>
        </is>
      </c>
      <c r="L193" t="inlineStr">
        <is>
          <t>[s.l.] : American Lung Association, c1978.</t>
        </is>
      </c>
      <c r="M193" t="inlineStr">
        <is>
          <t>1978</t>
        </is>
      </c>
      <c r="O193" t="inlineStr">
        <is>
          <t>eng</t>
        </is>
      </c>
      <c r="P193" t="inlineStr">
        <is>
          <t xml:space="preserve">xx </t>
        </is>
      </c>
      <c r="R193" t="inlineStr">
        <is>
          <t xml:space="preserve">RA </t>
        </is>
      </c>
      <c r="S193" t="n">
        <v>4</v>
      </c>
      <c r="T193" t="n">
        <v>4</v>
      </c>
      <c r="U193" t="inlineStr">
        <is>
          <t>2009-03-29</t>
        </is>
      </c>
      <c r="V193" t="inlineStr">
        <is>
          <t>2009-03-29</t>
        </is>
      </c>
      <c r="W193" t="inlineStr">
        <is>
          <t>1998-11-04</t>
        </is>
      </c>
      <c r="X193" t="inlineStr">
        <is>
          <t>1998-11-04</t>
        </is>
      </c>
      <c r="Y193" t="n">
        <v>44</v>
      </c>
      <c r="Z193" t="n">
        <v>43</v>
      </c>
      <c r="AA193" t="n">
        <v>44</v>
      </c>
      <c r="AB193" t="n">
        <v>2</v>
      </c>
      <c r="AC193" t="n">
        <v>2</v>
      </c>
      <c r="AD193" t="n">
        <v>1</v>
      </c>
      <c r="AE193" t="n">
        <v>1</v>
      </c>
      <c r="AF193" t="n">
        <v>0</v>
      </c>
      <c r="AG193" t="n">
        <v>0</v>
      </c>
      <c r="AH193" t="n">
        <v>0</v>
      </c>
      <c r="AI193" t="n">
        <v>0</v>
      </c>
      <c r="AJ193" t="n">
        <v>0</v>
      </c>
      <c r="AK193" t="n">
        <v>0</v>
      </c>
      <c r="AL193" t="n">
        <v>1</v>
      </c>
      <c r="AM193" t="n">
        <v>1</v>
      </c>
      <c r="AN193" t="n">
        <v>0</v>
      </c>
      <c r="AO193" t="n">
        <v>0</v>
      </c>
      <c r="AP193" t="inlineStr">
        <is>
          <t>No</t>
        </is>
      </c>
      <c r="AQ193" t="inlineStr">
        <is>
          <t>No</t>
        </is>
      </c>
      <c r="AS193">
        <f>HYPERLINK("https://creighton-primo.hosted.exlibrisgroup.com/primo-explore/search?tab=default_tab&amp;search_scope=EVERYTHING&amp;vid=01CRU&amp;lang=en_US&amp;offset=0&amp;query=any,contains,991004756269702656","Catalog Record")</f>
        <v/>
      </c>
      <c r="AT193">
        <f>HYPERLINK("http://www.worldcat.org/oclc/4966906","WorldCat Record")</f>
        <v/>
      </c>
      <c r="AU193" t="inlineStr">
        <is>
          <t>1910062067:eng</t>
        </is>
      </c>
      <c r="AV193" t="inlineStr">
        <is>
          <t>4966906</t>
        </is>
      </c>
      <c r="AW193" t="inlineStr">
        <is>
          <t>991004756269702656</t>
        </is>
      </c>
      <c r="AX193" t="inlineStr">
        <is>
          <t>991004756269702656</t>
        </is>
      </c>
      <c r="AY193" t="inlineStr">
        <is>
          <t>2257844110002656</t>
        </is>
      </c>
      <c r="AZ193" t="inlineStr">
        <is>
          <t>BOOK</t>
        </is>
      </c>
      <c r="BC193" t="inlineStr">
        <is>
          <t>32285003485496</t>
        </is>
      </c>
      <c r="BD193" t="inlineStr">
        <is>
          <t>893901718</t>
        </is>
      </c>
    </row>
    <row r="194">
      <c r="A194" t="inlineStr">
        <is>
          <t>No</t>
        </is>
      </c>
      <c r="B194" t="inlineStr">
        <is>
          <t>RA591 .S83 1990</t>
        </is>
      </c>
      <c r="C194" t="inlineStr">
        <is>
          <t>0                      RA 0591000S  83          1990</t>
        </is>
      </c>
      <c r="D194" t="inlineStr">
        <is>
          <t>Drinking water hazards : how to know if there are toxic chemicals in your water and what to do if there are / by John Cary Stewart.</t>
        </is>
      </c>
      <c r="F194" t="inlineStr">
        <is>
          <t>No</t>
        </is>
      </c>
      <c r="G194" t="inlineStr">
        <is>
          <t>1</t>
        </is>
      </c>
      <c r="H194" t="inlineStr">
        <is>
          <t>No</t>
        </is>
      </c>
      <c r="I194" t="inlineStr">
        <is>
          <t>No</t>
        </is>
      </c>
      <c r="J194" t="inlineStr">
        <is>
          <t>0</t>
        </is>
      </c>
      <c r="K194" t="inlineStr">
        <is>
          <t>Stewart, John Cary, 1958-</t>
        </is>
      </c>
      <c r="L194" t="inlineStr">
        <is>
          <t>Hiram, Ohio : Envirographics, c1990.</t>
        </is>
      </c>
      <c r="M194" t="inlineStr">
        <is>
          <t>1990</t>
        </is>
      </c>
      <c r="O194" t="inlineStr">
        <is>
          <t>eng</t>
        </is>
      </c>
      <c r="P194" t="inlineStr">
        <is>
          <t>ohu</t>
        </is>
      </c>
      <c r="R194" t="inlineStr">
        <is>
          <t xml:space="preserve">RA </t>
        </is>
      </c>
      <c r="S194" t="n">
        <v>13</v>
      </c>
      <c r="T194" t="n">
        <v>13</v>
      </c>
      <c r="U194" t="inlineStr">
        <is>
          <t>2001-06-28</t>
        </is>
      </c>
      <c r="V194" t="inlineStr">
        <is>
          <t>2001-06-28</t>
        </is>
      </c>
      <c r="W194" t="inlineStr">
        <is>
          <t>1999-09-07</t>
        </is>
      </c>
      <c r="X194" t="inlineStr">
        <is>
          <t>1999-09-07</t>
        </is>
      </c>
      <c r="Y194" t="n">
        <v>696</v>
      </c>
      <c r="Z194" t="n">
        <v>653</v>
      </c>
      <c r="AA194" t="n">
        <v>663</v>
      </c>
      <c r="AB194" t="n">
        <v>4</v>
      </c>
      <c r="AC194" t="n">
        <v>4</v>
      </c>
      <c r="AD194" t="n">
        <v>10</v>
      </c>
      <c r="AE194" t="n">
        <v>10</v>
      </c>
      <c r="AF194" t="n">
        <v>4</v>
      </c>
      <c r="AG194" t="n">
        <v>4</v>
      </c>
      <c r="AH194" t="n">
        <v>1</v>
      </c>
      <c r="AI194" t="n">
        <v>1</v>
      </c>
      <c r="AJ194" t="n">
        <v>4</v>
      </c>
      <c r="AK194" t="n">
        <v>4</v>
      </c>
      <c r="AL194" t="n">
        <v>3</v>
      </c>
      <c r="AM194" t="n">
        <v>3</v>
      </c>
      <c r="AN194" t="n">
        <v>0</v>
      </c>
      <c r="AO194" t="n">
        <v>0</v>
      </c>
      <c r="AP194" t="inlineStr">
        <is>
          <t>No</t>
        </is>
      </c>
      <c r="AQ194" t="inlineStr">
        <is>
          <t>Yes</t>
        </is>
      </c>
      <c r="AR194">
        <f>HYPERLINK("http://catalog.hathitrust.org/Record/004498989","HathiTrust Record")</f>
        <v/>
      </c>
      <c r="AS194">
        <f>HYPERLINK("https://creighton-primo.hosted.exlibrisgroup.com/primo-explore/search?tab=default_tab&amp;search_scope=EVERYTHING&amp;vid=01CRU&amp;lang=en_US&amp;offset=0&amp;query=any,contains,991001122079702656","Catalog Record")</f>
        <v/>
      </c>
      <c r="AT194">
        <f>HYPERLINK("http://www.worldcat.org/oclc/16581958","WorldCat Record")</f>
        <v/>
      </c>
      <c r="AU194" t="inlineStr">
        <is>
          <t>1011043984:eng</t>
        </is>
      </c>
      <c r="AV194" t="inlineStr">
        <is>
          <t>16581958</t>
        </is>
      </c>
      <c r="AW194" t="inlineStr">
        <is>
          <t>991001122079702656</t>
        </is>
      </c>
      <c r="AX194" t="inlineStr">
        <is>
          <t>991001122079702656</t>
        </is>
      </c>
      <c r="AY194" t="inlineStr">
        <is>
          <t>2258438000002656</t>
        </is>
      </c>
      <c r="AZ194" t="inlineStr">
        <is>
          <t>BOOK</t>
        </is>
      </c>
      <c r="BB194" t="inlineStr">
        <is>
          <t>9780943163154</t>
        </is>
      </c>
      <c r="BC194" t="inlineStr">
        <is>
          <t>32285003264693</t>
        </is>
      </c>
      <c r="BD194" t="inlineStr">
        <is>
          <t>893715196</t>
        </is>
      </c>
    </row>
    <row r="195">
      <c r="A195" t="inlineStr">
        <is>
          <t>No</t>
        </is>
      </c>
      <c r="B195" t="inlineStr">
        <is>
          <t>RA592.A1 H43 1989</t>
        </is>
      </c>
      <c r="C195" t="inlineStr">
        <is>
          <t>0                      RA 0592000A  1                  H  43          1989</t>
        </is>
      </c>
      <c r="D195" t="inlineStr">
        <is>
          <t>Health effects of drinking water treatment technologies / Drinking Water Health Effects Task Force.</t>
        </is>
      </c>
      <c r="F195" t="inlineStr">
        <is>
          <t>No</t>
        </is>
      </c>
      <c r="G195" t="inlineStr">
        <is>
          <t>1</t>
        </is>
      </c>
      <c r="H195" t="inlineStr">
        <is>
          <t>No</t>
        </is>
      </c>
      <c r="I195" t="inlineStr">
        <is>
          <t>No</t>
        </is>
      </c>
      <c r="J195" t="inlineStr">
        <is>
          <t>0</t>
        </is>
      </c>
      <c r="L195" t="inlineStr">
        <is>
          <t>Chelsea, MI : Lewis Publishers, [1989]</t>
        </is>
      </c>
      <c r="M195" t="inlineStr">
        <is>
          <t>1989</t>
        </is>
      </c>
      <c r="O195" t="inlineStr">
        <is>
          <t>eng</t>
        </is>
      </c>
      <c r="P195" t="inlineStr">
        <is>
          <t>miu</t>
        </is>
      </c>
      <c r="R195" t="inlineStr">
        <is>
          <t xml:space="preserve">RA </t>
        </is>
      </c>
      <c r="S195" t="n">
        <v>13</v>
      </c>
      <c r="T195" t="n">
        <v>13</v>
      </c>
      <c r="U195" t="inlineStr">
        <is>
          <t>2001-06-28</t>
        </is>
      </c>
      <c r="V195" t="inlineStr">
        <is>
          <t>2001-06-28</t>
        </is>
      </c>
      <c r="W195" t="inlineStr">
        <is>
          <t>1991-02-23</t>
        </is>
      </c>
      <c r="X195" t="inlineStr">
        <is>
          <t>1991-02-23</t>
        </is>
      </c>
      <c r="Y195" t="n">
        <v>228</v>
      </c>
      <c r="Z195" t="n">
        <v>172</v>
      </c>
      <c r="AA195" t="n">
        <v>182</v>
      </c>
      <c r="AB195" t="n">
        <v>2</v>
      </c>
      <c r="AC195" t="n">
        <v>2</v>
      </c>
      <c r="AD195" t="n">
        <v>6</v>
      </c>
      <c r="AE195" t="n">
        <v>6</v>
      </c>
      <c r="AF195" t="n">
        <v>1</v>
      </c>
      <c r="AG195" t="n">
        <v>1</v>
      </c>
      <c r="AH195" t="n">
        <v>3</v>
      </c>
      <c r="AI195" t="n">
        <v>3</v>
      </c>
      <c r="AJ195" t="n">
        <v>2</v>
      </c>
      <c r="AK195" t="n">
        <v>2</v>
      </c>
      <c r="AL195" t="n">
        <v>1</v>
      </c>
      <c r="AM195" t="n">
        <v>1</v>
      </c>
      <c r="AN195" t="n">
        <v>0</v>
      </c>
      <c r="AO195" t="n">
        <v>0</v>
      </c>
      <c r="AP195" t="inlineStr">
        <is>
          <t>No</t>
        </is>
      </c>
      <c r="AQ195" t="inlineStr">
        <is>
          <t>No</t>
        </is>
      </c>
      <c r="AS195">
        <f>HYPERLINK("https://creighton-primo.hosted.exlibrisgroup.com/primo-explore/search?tab=default_tab&amp;search_scope=EVERYTHING&amp;vid=01CRU&amp;lang=en_US&amp;offset=0&amp;query=any,contains,991001469639702656","Catalog Record")</f>
        <v/>
      </c>
      <c r="AT195">
        <f>HYPERLINK("http://www.worldcat.org/oclc/19519996","WorldCat Record")</f>
        <v/>
      </c>
      <c r="AU195" t="inlineStr">
        <is>
          <t>392600362:eng</t>
        </is>
      </c>
      <c r="AV195" t="inlineStr">
        <is>
          <t>19519996</t>
        </is>
      </c>
      <c r="AW195" t="inlineStr">
        <is>
          <t>991001469639702656</t>
        </is>
      </c>
      <c r="AX195" t="inlineStr">
        <is>
          <t>991001469639702656</t>
        </is>
      </c>
      <c r="AY195" t="inlineStr">
        <is>
          <t>2263526270002656</t>
        </is>
      </c>
      <c r="AZ195" t="inlineStr">
        <is>
          <t>BOOK</t>
        </is>
      </c>
      <c r="BB195" t="inlineStr">
        <is>
          <t>9780873712231</t>
        </is>
      </c>
      <c r="BC195" t="inlineStr">
        <is>
          <t>32285000491729</t>
        </is>
      </c>
      <c r="BD195" t="inlineStr">
        <is>
          <t>893408156</t>
        </is>
      </c>
    </row>
    <row r="196">
      <c r="A196" t="inlineStr">
        <is>
          <t>No</t>
        </is>
      </c>
      <c r="B196" t="inlineStr">
        <is>
          <t>RA592.A1 L48 1996</t>
        </is>
      </c>
      <c r="C196" t="inlineStr">
        <is>
          <t>0                      RA 0592000A  1                  L  48          1996</t>
        </is>
      </c>
      <c r="D196" t="inlineStr">
        <is>
          <t>The Sierra Club guide to safe drinking water / by Scott Alan Lewis ; afterword by Carl Pope.</t>
        </is>
      </c>
      <c r="F196" t="inlineStr">
        <is>
          <t>No</t>
        </is>
      </c>
      <c r="G196" t="inlineStr">
        <is>
          <t>1</t>
        </is>
      </c>
      <c r="H196" t="inlineStr">
        <is>
          <t>No</t>
        </is>
      </c>
      <c r="I196" t="inlineStr">
        <is>
          <t>No</t>
        </is>
      </c>
      <c r="J196" t="inlineStr">
        <is>
          <t>0</t>
        </is>
      </c>
      <c r="K196" t="inlineStr">
        <is>
          <t>Lewis, Scott, 1959-</t>
        </is>
      </c>
      <c r="L196" t="inlineStr">
        <is>
          <t>San Francisco : Sierra Club Books, c1996.</t>
        </is>
      </c>
      <c r="M196" t="inlineStr">
        <is>
          <t>1996</t>
        </is>
      </c>
      <c r="O196" t="inlineStr">
        <is>
          <t>eng</t>
        </is>
      </c>
      <c r="P196" t="inlineStr">
        <is>
          <t>cau</t>
        </is>
      </c>
      <c r="R196" t="inlineStr">
        <is>
          <t xml:space="preserve">RA </t>
        </is>
      </c>
      <c r="S196" t="n">
        <v>4</v>
      </c>
      <c r="T196" t="n">
        <v>4</v>
      </c>
      <c r="U196" t="inlineStr">
        <is>
          <t>2006-11-03</t>
        </is>
      </c>
      <c r="V196" t="inlineStr">
        <is>
          <t>2006-11-03</t>
        </is>
      </c>
      <c r="W196" t="inlineStr">
        <is>
          <t>1996-06-19</t>
        </is>
      </c>
      <c r="X196" t="inlineStr">
        <is>
          <t>1996-06-19</t>
        </is>
      </c>
      <c r="Y196" t="n">
        <v>327</v>
      </c>
      <c r="Z196" t="n">
        <v>317</v>
      </c>
      <c r="AA196" t="n">
        <v>322</v>
      </c>
      <c r="AB196" t="n">
        <v>1</v>
      </c>
      <c r="AC196" t="n">
        <v>1</v>
      </c>
      <c r="AD196" t="n">
        <v>3</v>
      </c>
      <c r="AE196" t="n">
        <v>3</v>
      </c>
      <c r="AF196" t="n">
        <v>1</v>
      </c>
      <c r="AG196" t="n">
        <v>1</v>
      </c>
      <c r="AH196" t="n">
        <v>0</v>
      </c>
      <c r="AI196" t="n">
        <v>0</v>
      </c>
      <c r="AJ196" t="n">
        <v>3</v>
      </c>
      <c r="AK196" t="n">
        <v>3</v>
      </c>
      <c r="AL196" t="n">
        <v>0</v>
      </c>
      <c r="AM196" t="n">
        <v>0</v>
      </c>
      <c r="AN196" t="n">
        <v>0</v>
      </c>
      <c r="AO196" t="n">
        <v>0</v>
      </c>
      <c r="AP196" t="inlineStr">
        <is>
          <t>No</t>
        </is>
      </c>
      <c r="AQ196" t="inlineStr">
        <is>
          <t>No</t>
        </is>
      </c>
      <c r="AS196">
        <f>HYPERLINK("https://creighton-primo.hosted.exlibrisgroup.com/primo-explore/search?tab=default_tab&amp;search_scope=EVERYTHING&amp;vid=01CRU&amp;lang=en_US&amp;offset=0&amp;query=any,contains,991002553039702656","Catalog Record")</f>
        <v/>
      </c>
      <c r="AT196">
        <f>HYPERLINK("http://www.worldcat.org/oclc/33166427","WorldCat Record")</f>
        <v/>
      </c>
      <c r="AU196" t="inlineStr">
        <is>
          <t>37613325:eng</t>
        </is>
      </c>
      <c r="AV196" t="inlineStr">
        <is>
          <t>33166427</t>
        </is>
      </c>
      <c r="AW196" t="inlineStr">
        <is>
          <t>991002553039702656</t>
        </is>
      </c>
      <c r="AX196" t="inlineStr">
        <is>
          <t>991002553039702656</t>
        </is>
      </c>
      <c r="AY196" t="inlineStr">
        <is>
          <t>2256114340002656</t>
        </is>
      </c>
      <c r="AZ196" t="inlineStr">
        <is>
          <t>BOOK</t>
        </is>
      </c>
      <c r="BB196" t="inlineStr">
        <is>
          <t>9780871563552</t>
        </is>
      </c>
      <c r="BC196" t="inlineStr">
        <is>
          <t>32285002194545</t>
        </is>
      </c>
      <c r="BD196" t="inlineStr">
        <is>
          <t>893226982</t>
        </is>
      </c>
    </row>
    <row r="197">
      <c r="A197" t="inlineStr">
        <is>
          <t>No</t>
        </is>
      </c>
      <c r="B197" t="inlineStr">
        <is>
          <t>RA639.5 .C57 1976</t>
        </is>
      </c>
      <c r="C197" t="inlineStr">
        <is>
          <t>0                      RA 0639500C  57          1976</t>
        </is>
      </c>
      <c r="D197" t="inlineStr">
        <is>
          <t>Insects and history / J. L. Cloudsley-Thompson.</t>
        </is>
      </c>
      <c r="F197" t="inlineStr">
        <is>
          <t>No</t>
        </is>
      </c>
      <c r="G197" t="inlineStr">
        <is>
          <t>1</t>
        </is>
      </c>
      <c r="H197" t="inlineStr">
        <is>
          <t>No</t>
        </is>
      </c>
      <c r="I197" t="inlineStr">
        <is>
          <t>No</t>
        </is>
      </c>
      <c r="J197" t="inlineStr">
        <is>
          <t>0</t>
        </is>
      </c>
      <c r="K197" t="inlineStr">
        <is>
          <t>Cloudsley-Thompson, J. L.</t>
        </is>
      </c>
      <c r="L197" t="inlineStr">
        <is>
          <t>New York : St. Martin's Press, 1976.</t>
        </is>
      </c>
      <c r="M197" t="inlineStr">
        <is>
          <t>1976</t>
        </is>
      </c>
      <c r="O197" t="inlineStr">
        <is>
          <t>eng</t>
        </is>
      </c>
      <c r="P197" t="inlineStr">
        <is>
          <t>nyu</t>
        </is>
      </c>
      <c r="R197" t="inlineStr">
        <is>
          <t xml:space="preserve">RA </t>
        </is>
      </c>
      <c r="S197" t="n">
        <v>4</v>
      </c>
      <c r="T197" t="n">
        <v>4</v>
      </c>
      <c r="U197" t="inlineStr">
        <is>
          <t>2008-11-21</t>
        </is>
      </c>
      <c r="V197" t="inlineStr">
        <is>
          <t>2008-11-21</t>
        </is>
      </c>
      <c r="W197" t="inlineStr">
        <is>
          <t>1997-08-08</t>
        </is>
      </c>
      <c r="X197" t="inlineStr">
        <is>
          <t>1997-08-08</t>
        </is>
      </c>
      <c r="Y197" t="n">
        <v>370</v>
      </c>
      <c r="Z197" t="n">
        <v>352</v>
      </c>
      <c r="AA197" t="n">
        <v>404</v>
      </c>
      <c r="AB197" t="n">
        <v>3</v>
      </c>
      <c r="AC197" t="n">
        <v>5</v>
      </c>
      <c r="AD197" t="n">
        <v>7</v>
      </c>
      <c r="AE197" t="n">
        <v>10</v>
      </c>
      <c r="AF197" t="n">
        <v>2</v>
      </c>
      <c r="AG197" t="n">
        <v>2</v>
      </c>
      <c r="AH197" t="n">
        <v>1</v>
      </c>
      <c r="AI197" t="n">
        <v>1</v>
      </c>
      <c r="AJ197" t="n">
        <v>3</v>
      </c>
      <c r="AK197" t="n">
        <v>4</v>
      </c>
      <c r="AL197" t="n">
        <v>2</v>
      </c>
      <c r="AM197" t="n">
        <v>4</v>
      </c>
      <c r="AN197" t="n">
        <v>0</v>
      </c>
      <c r="AO197" t="n">
        <v>0</v>
      </c>
      <c r="AP197" t="inlineStr">
        <is>
          <t>No</t>
        </is>
      </c>
      <c r="AQ197" t="inlineStr">
        <is>
          <t>No</t>
        </is>
      </c>
      <c r="AS197">
        <f>HYPERLINK("https://creighton-primo.hosted.exlibrisgroup.com/primo-explore/search?tab=default_tab&amp;search_scope=EVERYTHING&amp;vid=01CRU&amp;lang=en_US&amp;offset=0&amp;query=any,contains,991004232039702656","Catalog Record")</f>
        <v/>
      </c>
      <c r="AT197">
        <f>HYPERLINK("http://www.worldcat.org/oclc/2749759","WorldCat Record")</f>
        <v/>
      </c>
      <c r="AU197" t="inlineStr">
        <is>
          <t>6246910:eng</t>
        </is>
      </c>
      <c r="AV197" t="inlineStr">
        <is>
          <t>2749759</t>
        </is>
      </c>
      <c r="AW197" t="inlineStr">
        <is>
          <t>991004232039702656</t>
        </is>
      </c>
      <c r="AX197" t="inlineStr">
        <is>
          <t>991004232039702656</t>
        </is>
      </c>
      <c r="AY197" t="inlineStr">
        <is>
          <t>2255254820002656</t>
        </is>
      </c>
      <c r="AZ197" t="inlineStr">
        <is>
          <t>BOOK</t>
        </is>
      </c>
      <c r="BC197" t="inlineStr">
        <is>
          <t>32285003083630</t>
        </is>
      </c>
      <c r="BD197" t="inlineStr">
        <is>
          <t>893628047</t>
        </is>
      </c>
    </row>
    <row r="198">
      <c r="A198" t="inlineStr">
        <is>
          <t>No</t>
        </is>
      </c>
      <c r="B198" t="inlineStr">
        <is>
          <t>RA639.5 .J35 1969</t>
        </is>
      </c>
      <c r="C198" t="inlineStr">
        <is>
          <t>0                      RA 0639500J  35          1969</t>
        </is>
      </c>
      <c r="D198" t="inlineStr">
        <is>
          <t>Herms's Medical entomology [by] Maurice T. James [and] Robert F. Harwood.</t>
        </is>
      </c>
      <c r="F198" t="inlineStr">
        <is>
          <t>No</t>
        </is>
      </c>
      <c r="G198" t="inlineStr">
        <is>
          <t>1</t>
        </is>
      </c>
      <c r="H198" t="inlineStr">
        <is>
          <t>No</t>
        </is>
      </c>
      <c r="I198" t="inlineStr">
        <is>
          <t>No</t>
        </is>
      </c>
      <c r="J198" t="inlineStr">
        <is>
          <t>0</t>
        </is>
      </c>
      <c r="K198" t="inlineStr">
        <is>
          <t>Herms, William B. (William Brodbeck), 1876-1949.</t>
        </is>
      </c>
      <c r="L198" t="inlineStr">
        <is>
          <t>[New York] Macmillan [1969]</t>
        </is>
      </c>
      <c r="M198" t="inlineStr">
        <is>
          <t>1969</t>
        </is>
      </c>
      <c r="N198" t="inlineStr">
        <is>
          <t>6th ed.</t>
        </is>
      </c>
      <c r="O198" t="inlineStr">
        <is>
          <t>eng</t>
        </is>
      </c>
      <c r="P198" t="inlineStr">
        <is>
          <t>nyu</t>
        </is>
      </c>
      <c r="R198" t="inlineStr">
        <is>
          <t xml:space="preserve">RA </t>
        </is>
      </c>
      <c r="S198" t="n">
        <v>5</v>
      </c>
      <c r="T198" t="n">
        <v>5</v>
      </c>
      <c r="U198" t="inlineStr">
        <is>
          <t>2010-02-27</t>
        </is>
      </c>
      <c r="V198" t="inlineStr">
        <is>
          <t>2010-02-27</t>
        </is>
      </c>
      <c r="W198" t="inlineStr">
        <is>
          <t>1997-08-08</t>
        </is>
      </c>
      <c r="X198" t="inlineStr">
        <is>
          <t>1997-08-08</t>
        </is>
      </c>
      <c r="Y198" t="n">
        <v>373</v>
      </c>
      <c r="Z198" t="n">
        <v>331</v>
      </c>
      <c r="AA198" t="n">
        <v>338</v>
      </c>
      <c r="AB198" t="n">
        <v>2</v>
      </c>
      <c r="AC198" t="n">
        <v>2</v>
      </c>
      <c r="AD198" t="n">
        <v>8</v>
      </c>
      <c r="AE198" t="n">
        <v>8</v>
      </c>
      <c r="AF198" t="n">
        <v>4</v>
      </c>
      <c r="AG198" t="n">
        <v>4</v>
      </c>
      <c r="AH198" t="n">
        <v>0</v>
      </c>
      <c r="AI198" t="n">
        <v>0</v>
      </c>
      <c r="AJ198" t="n">
        <v>5</v>
      </c>
      <c r="AK198" t="n">
        <v>5</v>
      </c>
      <c r="AL198" t="n">
        <v>1</v>
      </c>
      <c r="AM198" t="n">
        <v>1</v>
      </c>
      <c r="AN198" t="n">
        <v>0</v>
      </c>
      <c r="AO198" t="n">
        <v>0</v>
      </c>
      <c r="AP198" t="inlineStr">
        <is>
          <t>No</t>
        </is>
      </c>
      <c r="AQ198" t="inlineStr">
        <is>
          <t>Yes</t>
        </is>
      </c>
      <c r="AR198">
        <f>HYPERLINK("http://catalog.hathitrust.org/Record/001559358","HathiTrust Record")</f>
        <v/>
      </c>
      <c r="AS198">
        <f>HYPERLINK("https://creighton-primo.hosted.exlibrisgroup.com/primo-explore/search?tab=default_tab&amp;search_scope=EVERYTHING&amp;vid=01CRU&amp;lang=en_US&amp;offset=0&amp;query=any,contains,991000049929702656","Catalog Record")</f>
        <v/>
      </c>
      <c r="AT198">
        <f>HYPERLINK("http://www.worldcat.org/oclc/22726","WorldCat Record")</f>
        <v/>
      </c>
      <c r="AU198" t="inlineStr">
        <is>
          <t>3856483671:eng</t>
        </is>
      </c>
      <c r="AV198" t="inlineStr">
        <is>
          <t>22726</t>
        </is>
      </c>
      <c r="AW198" t="inlineStr">
        <is>
          <t>991000049929702656</t>
        </is>
      </c>
      <c r="AX198" t="inlineStr">
        <is>
          <t>991000049929702656</t>
        </is>
      </c>
      <c r="AY198" t="inlineStr">
        <is>
          <t>2268264720002656</t>
        </is>
      </c>
      <c r="AZ198" t="inlineStr">
        <is>
          <t>BOOK</t>
        </is>
      </c>
      <c r="BC198" t="inlineStr">
        <is>
          <t>32285003083648</t>
        </is>
      </c>
      <c r="BD198" t="inlineStr">
        <is>
          <t>893502182</t>
        </is>
      </c>
    </row>
    <row r="199">
      <c r="A199" t="inlineStr">
        <is>
          <t>No</t>
        </is>
      </c>
      <c r="B199" t="inlineStr">
        <is>
          <t>RA641.A7 F87 1982</t>
        </is>
      </c>
      <c r="C199" t="inlineStr">
        <is>
          <t>0                      RA 0641000A  7                  F  87          1982</t>
        </is>
      </c>
      <c r="D199" t="inlineStr">
        <is>
          <t>Manual of medical entomology / Deane P. Furman and E. Paul Catts.</t>
        </is>
      </c>
      <c r="F199" t="inlineStr">
        <is>
          <t>No</t>
        </is>
      </c>
      <c r="G199" t="inlineStr">
        <is>
          <t>1</t>
        </is>
      </c>
      <c r="H199" t="inlineStr">
        <is>
          <t>No</t>
        </is>
      </c>
      <c r="I199" t="inlineStr">
        <is>
          <t>No</t>
        </is>
      </c>
      <c r="J199" t="inlineStr">
        <is>
          <t>0</t>
        </is>
      </c>
      <c r="K199" t="inlineStr">
        <is>
          <t>Furman, Deane Philip, 1915-</t>
        </is>
      </c>
      <c r="L199" t="inlineStr">
        <is>
          <t>Cambridge [Cambridgeshire] ; New York : Cambridge University Press, c1982.</t>
        </is>
      </c>
      <c r="M199" t="inlineStr">
        <is>
          <t>1982</t>
        </is>
      </c>
      <c r="N199" t="inlineStr">
        <is>
          <t>4th ed.</t>
        </is>
      </c>
      <c r="O199" t="inlineStr">
        <is>
          <t>eng</t>
        </is>
      </c>
      <c r="P199" t="inlineStr">
        <is>
          <t>enk</t>
        </is>
      </c>
      <c r="R199" t="inlineStr">
        <is>
          <t xml:space="preserve">RA </t>
        </is>
      </c>
      <c r="S199" t="n">
        <v>1</v>
      </c>
      <c r="T199" t="n">
        <v>1</v>
      </c>
      <c r="U199" t="inlineStr">
        <is>
          <t>2005-01-22</t>
        </is>
      </c>
      <c r="V199" t="inlineStr">
        <is>
          <t>2005-01-22</t>
        </is>
      </c>
      <c r="W199" t="inlineStr">
        <is>
          <t>1993-03-11</t>
        </is>
      </c>
      <c r="X199" t="inlineStr">
        <is>
          <t>1993-03-11</t>
        </is>
      </c>
      <c r="Y199" t="n">
        <v>172</v>
      </c>
      <c r="Z199" t="n">
        <v>113</v>
      </c>
      <c r="AA199" t="n">
        <v>202</v>
      </c>
      <c r="AB199" t="n">
        <v>1</v>
      </c>
      <c r="AC199" t="n">
        <v>3</v>
      </c>
      <c r="AD199" t="n">
        <v>1</v>
      </c>
      <c r="AE199" t="n">
        <v>5</v>
      </c>
      <c r="AF199" t="n">
        <v>1</v>
      </c>
      <c r="AG199" t="n">
        <v>2</v>
      </c>
      <c r="AH199" t="n">
        <v>0</v>
      </c>
      <c r="AI199" t="n">
        <v>0</v>
      </c>
      <c r="AJ199" t="n">
        <v>1</v>
      </c>
      <c r="AK199" t="n">
        <v>2</v>
      </c>
      <c r="AL199" t="n">
        <v>0</v>
      </c>
      <c r="AM199" t="n">
        <v>2</v>
      </c>
      <c r="AN199" t="n">
        <v>0</v>
      </c>
      <c r="AO199" t="n">
        <v>0</v>
      </c>
      <c r="AP199" t="inlineStr">
        <is>
          <t>No</t>
        </is>
      </c>
      <c r="AQ199" t="inlineStr">
        <is>
          <t>No</t>
        </is>
      </c>
      <c r="AS199">
        <f>HYPERLINK("https://creighton-primo.hosted.exlibrisgroup.com/primo-explore/search?tab=default_tab&amp;search_scope=EVERYTHING&amp;vid=01CRU&amp;lang=en_US&amp;offset=0&amp;query=any,contains,991005137229702656","Catalog Record")</f>
        <v/>
      </c>
      <c r="AT199">
        <f>HYPERLINK("http://www.worldcat.org/oclc/7578082","WorldCat Record")</f>
        <v/>
      </c>
      <c r="AU199" t="inlineStr">
        <is>
          <t>506224:eng</t>
        </is>
      </c>
      <c r="AV199" t="inlineStr">
        <is>
          <t>7578082</t>
        </is>
      </c>
      <c r="AW199" t="inlineStr">
        <is>
          <t>991005137229702656</t>
        </is>
      </c>
      <c r="AX199" t="inlineStr">
        <is>
          <t>991005137229702656</t>
        </is>
      </c>
      <c r="AY199" t="inlineStr">
        <is>
          <t>2264930070002656</t>
        </is>
      </c>
      <c r="AZ199" t="inlineStr">
        <is>
          <t>BOOK</t>
        </is>
      </c>
      <c r="BB199" t="inlineStr">
        <is>
          <t>9780521233354</t>
        </is>
      </c>
      <c r="BC199" t="inlineStr">
        <is>
          <t>32285001587368</t>
        </is>
      </c>
      <c r="BD199" t="inlineStr">
        <is>
          <t>893688649</t>
        </is>
      </c>
    </row>
    <row r="200">
      <c r="A200" t="inlineStr">
        <is>
          <t>No</t>
        </is>
      </c>
      <c r="B200" t="inlineStr">
        <is>
          <t>RA643 .A56 1992</t>
        </is>
      </c>
      <c r="C200" t="inlineStr">
        <is>
          <t>0                      RA 0643000A  56          1992</t>
        </is>
      </c>
      <c r="D200" t="inlineStr">
        <is>
          <t>Infectious diseases of humans : dynamics and control / Roy M. Anderson and Robert M. May.</t>
        </is>
      </c>
      <c r="F200" t="inlineStr">
        <is>
          <t>No</t>
        </is>
      </c>
      <c r="G200" t="inlineStr">
        <is>
          <t>1</t>
        </is>
      </c>
      <c r="H200" t="inlineStr">
        <is>
          <t>No</t>
        </is>
      </c>
      <c r="I200" t="inlineStr">
        <is>
          <t>No</t>
        </is>
      </c>
      <c r="J200" t="inlineStr">
        <is>
          <t>0</t>
        </is>
      </c>
      <c r="K200" t="inlineStr">
        <is>
          <t>Anderson, Roy M.</t>
        </is>
      </c>
      <c r="L200" t="inlineStr">
        <is>
          <t>Oxford ; New York : Oxford University Press, 1992.</t>
        </is>
      </c>
      <c r="M200" t="inlineStr">
        <is>
          <t>1992</t>
        </is>
      </c>
      <c r="N200" t="inlineStr">
        <is>
          <t>Paperback ed. 1992.</t>
        </is>
      </c>
      <c r="O200" t="inlineStr">
        <is>
          <t>eng</t>
        </is>
      </c>
      <c r="P200" t="inlineStr">
        <is>
          <t>enk</t>
        </is>
      </c>
      <c r="Q200" t="inlineStr">
        <is>
          <t>Oxford science publications</t>
        </is>
      </c>
      <c r="R200" t="inlineStr">
        <is>
          <t xml:space="preserve">RA </t>
        </is>
      </c>
      <c r="S200" t="n">
        <v>5</v>
      </c>
      <c r="T200" t="n">
        <v>5</v>
      </c>
      <c r="U200" t="inlineStr">
        <is>
          <t>2000-07-18</t>
        </is>
      </c>
      <c r="V200" t="inlineStr">
        <is>
          <t>2000-07-18</t>
        </is>
      </c>
      <c r="W200" t="inlineStr">
        <is>
          <t>1997-04-09</t>
        </is>
      </c>
      <c r="X200" t="inlineStr">
        <is>
          <t>1997-04-09</t>
        </is>
      </c>
      <c r="Y200" t="n">
        <v>88</v>
      </c>
      <c r="Z200" t="n">
        <v>62</v>
      </c>
      <c r="AA200" t="n">
        <v>300</v>
      </c>
      <c r="AB200" t="n">
        <v>3</v>
      </c>
      <c r="AC200" t="n">
        <v>4</v>
      </c>
      <c r="AD200" t="n">
        <v>2</v>
      </c>
      <c r="AE200" t="n">
        <v>6</v>
      </c>
      <c r="AF200" t="n">
        <v>0</v>
      </c>
      <c r="AG200" t="n">
        <v>1</v>
      </c>
      <c r="AH200" t="n">
        <v>0</v>
      </c>
      <c r="AI200" t="n">
        <v>1</v>
      </c>
      <c r="AJ200" t="n">
        <v>1</v>
      </c>
      <c r="AK200" t="n">
        <v>3</v>
      </c>
      <c r="AL200" t="n">
        <v>1</v>
      </c>
      <c r="AM200" t="n">
        <v>2</v>
      </c>
      <c r="AN200" t="n">
        <v>0</v>
      </c>
      <c r="AO200" t="n">
        <v>0</v>
      </c>
      <c r="AP200" t="inlineStr">
        <is>
          <t>No</t>
        </is>
      </c>
      <c r="AQ200" t="inlineStr">
        <is>
          <t>No</t>
        </is>
      </c>
      <c r="AS200">
        <f>HYPERLINK("https://creighton-primo.hosted.exlibrisgroup.com/primo-explore/search?tab=default_tab&amp;search_scope=EVERYTHING&amp;vid=01CRU&amp;lang=en_US&amp;offset=0&amp;query=any,contains,991002295479702656","Catalog Record")</f>
        <v/>
      </c>
      <c r="AT200">
        <f>HYPERLINK("http://www.worldcat.org/oclc/29790688","WorldCat Record")</f>
        <v/>
      </c>
      <c r="AU200" t="inlineStr">
        <is>
          <t>24586172:eng</t>
        </is>
      </c>
      <c r="AV200" t="inlineStr">
        <is>
          <t>29790688</t>
        </is>
      </c>
      <c r="AW200" t="inlineStr">
        <is>
          <t>991002295479702656</t>
        </is>
      </c>
      <c r="AX200" t="inlineStr">
        <is>
          <t>991002295479702656</t>
        </is>
      </c>
      <c r="AY200" t="inlineStr">
        <is>
          <t>2269114580002656</t>
        </is>
      </c>
      <c r="AZ200" t="inlineStr">
        <is>
          <t>BOOK</t>
        </is>
      </c>
      <c r="BB200" t="inlineStr">
        <is>
          <t>9780198540403</t>
        </is>
      </c>
      <c r="BC200" t="inlineStr">
        <is>
          <t>32285002495645</t>
        </is>
      </c>
      <c r="BD200" t="inlineStr">
        <is>
          <t>893867037</t>
        </is>
      </c>
    </row>
    <row r="201">
      <c r="A201" t="inlineStr">
        <is>
          <t>No</t>
        </is>
      </c>
      <c r="B201" t="inlineStr">
        <is>
          <t>RA643 .C44 1982</t>
        </is>
      </c>
      <c r="C201" t="inlineStr">
        <is>
          <t>0                      RA 0643000C  44          1982</t>
        </is>
      </c>
      <c r="D201" t="inlineStr">
        <is>
          <t>Magic shots : a human and scientific account of the long and continuing struggle to eradicate infectious diseases by vaccination / Allan Chase.</t>
        </is>
      </c>
      <c r="F201" t="inlineStr">
        <is>
          <t>No</t>
        </is>
      </c>
      <c r="G201" t="inlineStr">
        <is>
          <t>1</t>
        </is>
      </c>
      <c r="H201" t="inlineStr">
        <is>
          <t>No</t>
        </is>
      </c>
      <c r="I201" t="inlineStr">
        <is>
          <t>No</t>
        </is>
      </c>
      <c r="J201" t="inlineStr">
        <is>
          <t>0</t>
        </is>
      </c>
      <c r="K201" t="inlineStr">
        <is>
          <t>Chase, Allan, 1913-1993.</t>
        </is>
      </c>
      <c r="L201" t="inlineStr">
        <is>
          <t>New York : Morrow, 1982.</t>
        </is>
      </c>
      <c r="M201" t="inlineStr">
        <is>
          <t>1982</t>
        </is>
      </c>
      <c r="N201" t="inlineStr">
        <is>
          <t>1st ed.</t>
        </is>
      </c>
      <c r="O201" t="inlineStr">
        <is>
          <t>eng</t>
        </is>
      </c>
      <c r="P201" t="inlineStr">
        <is>
          <t>nyu</t>
        </is>
      </c>
      <c r="R201" t="inlineStr">
        <is>
          <t xml:space="preserve">RA </t>
        </is>
      </c>
      <c r="S201" t="n">
        <v>5</v>
      </c>
      <c r="T201" t="n">
        <v>5</v>
      </c>
      <c r="U201" t="inlineStr">
        <is>
          <t>1994-11-02</t>
        </is>
      </c>
      <c r="V201" t="inlineStr">
        <is>
          <t>1994-11-02</t>
        </is>
      </c>
      <c r="W201" t="inlineStr">
        <is>
          <t>1992-04-08</t>
        </is>
      </c>
      <c r="X201" t="inlineStr">
        <is>
          <t>1992-04-08</t>
        </is>
      </c>
      <c r="Y201" t="n">
        <v>868</v>
      </c>
      <c r="Z201" t="n">
        <v>812</v>
      </c>
      <c r="AA201" t="n">
        <v>819</v>
      </c>
      <c r="AB201" t="n">
        <v>4</v>
      </c>
      <c r="AC201" t="n">
        <v>4</v>
      </c>
      <c r="AD201" t="n">
        <v>17</v>
      </c>
      <c r="AE201" t="n">
        <v>17</v>
      </c>
      <c r="AF201" t="n">
        <v>8</v>
      </c>
      <c r="AG201" t="n">
        <v>8</v>
      </c>
      <c r="AH201" t="n">
        <v>3</v>
      </c>
      <c r="AI201" t="n">
        <v>3</v>
      </c>
      <c r="AJ201" t="n">
        <v>8</v>
      </c>
      <c r="AK201" t="n">
        <v>8</v>
      </c>
      <c r="AL201" t="n">
        <v>2</v>
      </c>
      <c r="AM201" t="n">
        <v>2</v>
      </c>
      <c r="AN201" t="n">
        <v>0</v>
      </c>
      <c r="AO201" t="n">
        <v>0</v>
      </c>
      <c r="AP201" t="inlineStr">
        <is>
          <t>No</t>
        </is>
      </c>
      <c r="AQ201" t="inlineStr">
        <is>
          <t>Yes</t>
        </is>
      </c>
      <c r="AR201">
        <f>HYPERLINK("http://catalog.hathitrust.org/Record/000770173","HathiTrust Record")</f>
        <v/>
      </c>
      <c r="AS201">
        <f>HYPERLINK("https://creighton-primo.hosted.exlibrisgroup.com/primo-explore/search?tab=default_tab&amp;search_scope=EVERYTHING&amp;vid=01CRU&amp;lang=en_US&amp;offset=0&amp;query=any,contains,991000037529702656","Catalog Record")</f>
        <v/>
      </c>
      <c r="AT201">
        <f>HYPERLINK("http://www.worldcat.org/oclc/8628371","WorldCat Record")</f>
        <v/>
      </c>
      <c r="AU201" t="inlineStr">
        <is>
          <t>428284997:eng</t>
        </is>
      </c>
      <c r="AV201" t="inlineStr">
        <is>
          <t>8628371</t>
        </is>
      </c>
      <c r="AW201" t="inlineStr">
        <is>
          <t>991000037529702656</t>
        </is>
      </c>
      <c r="AX201" t="inlineStr">
        <is>
          <t>991000037529702656</t>
        </is>
      </c>
      <c r="AY201" t="inlineStr">
        <is>
          <t>2264176070002656</t>
        </is>
      </c>
      <c r="AZ201" t="inlineStr">
        <is>
          <t>BOOK</t>
        </is>
      </c>
      <c r="BB201" t="inlineStr">
        <is>
          <t>9780688007874</t>
        </is>
      </c>
      <c r="BC201" t="inlineStr">
        <is>
          <t>32285001065910</t>
        </is>
      </c>
      <c r="BD201" t="inlineStr">
        <is>
          <t>893902879</t>
        </is>
      </c>
    </row>
    <row r="202">
      <c r="A202" t="inlineStr">
        <is>
          <t>No</t>
        </is>
      </c>
      <c r="B202" t="inlineStr">
        <is>
          <t>RA643 .R93 1997</t>
        </is>
      </c>
      <c r="C202" t="inlineStr">
        <is>
          <t>0                      RA 0643000R  93          1997</t>
        </is>
      </c>
      <c r="D202" t="inlineStr">
        <is>
          <t>Virus X : tracking the new killer plagues : out of the present and into the future / Frank Ryan.</t>
        </is>
      </c>
      <c r="F202" t="inlineStr">
        <is>
          <t>No</t>
        </is>
      </c>
      <c r="G202" t="inlineStr">
        <is>
          <t>1</t>
        </is>
      </c>
      <c r="H202" t="inlineStr">
        <is>
          <t>No</t>
        </is>
      </c>
      <c r="I202" t="inlineStr">
        <is>
          <t>No</t>
        </is>
      </c>
      <c r="J202" t="inlineStr">
        <is>
          <t>0</t>
        </is>
      </c>
      <c r="K202" t="inlineStr">
        <is>
          <t>Ryan, Frank, 1944-</t>
        </is>
      </c>
      <c r="L202" t="inlineStr">
        <is>
          <t>Boston : Little, Brown, c1997.</t>
        </is>
      </c>
      <c r="M202" t="inlineStr">
        <is>
          <t>1997</t>
        </is>
      </c>
      <c r="N202" t="inlineStr">
        <is>
          <t>1st ed.</t>
        </is>
      </c>
      <c r="O202" t="inlineStr">
        <is>
          <t>eng</t>
        </is>
      </c>
      <c r="P202" t="inlineStr">
        <is>
          <t>mau</t>
        </is>
      </c>
      <c r="R202" t="inlineStr">
        <is>
          <t xml:space="preserve">RA </t>
        </is>
      </c>
      <c r="S202" t="n">
        <v>13</v>
      </c>
      <c r="T202" t="n">
        <v>13</v>
      </c>
      <c r="U202" t="inlineStr">
        <is>
          <t>1999-02-26</t>
        </is>
      </c>
      <c r="V202" t="inlineStr">
        <is>
          <t>1999-02-26</t>
        </is>
      </c>
      <c r="W202" t="inlineStr">
        <is>
          <t>1997-02-06</t>
        </is>
      </c>
      <c r="X202" t="inlineStr">
        <is>
          <t>1997-02-06</t>
        </is>
      </c>
      <c r="Y202" t="n">
        <v>1275</v>
      </c>
      <c r="Z202" t="n">
        <v>1208</v>
      </c>
      <c r="AA202" t="n">
        <v>1212</v>
      </c>
      <c r="AB202" t="n">
        <v>6</v>
      </c>
      <c r="AC202" t="n">
        <v>6</v>
      </c>
      <c r="AD202" t="n">
        <v>23</v>
      </c>
      <c r="AE202" t="n">
        <v>23</v>
      </c>
      <c r="AF202" t="n">
        <v>7</v>
      </c>
      <c r="AG202" t="n">
        <v>7</v>
      </c>
      <c r="AH202" t="n">
        <v>5</v>
      </c>
      <c r="AI202" t="n">
        <v>5</v>
      </c>
      <c r="AJ202" t="n">
        <v>12</v>
      </c>
      <c r="AK202" t="n">
        <v>12</v>
      </c>
      <c r="AL202" t="n">
        <v>2</v>
      </c>
      <c r="AM202" t="n">
        <v>2</v>
      </c>
      <c r="AN202" t="n">
        <v>0</v>
      </c>
      <c r="AO202" t="n">
        <v>0</v>
      </c>
      <c r="AP202" t="inlineStr">
        <is>
          <t>No</t>
        </is>
      </c>
      <c r="AQ202" t="inlineStr">
        <is>
          <t>No</t>
        </is>
      </c>
      <c r="AS202">
        <f>HYPERLINK("https://creighton-primo.hosted.exlibrisgroup.com/primo-explore/search?tab=default_tab&amp;search_scope=EVERYTHING&amp;vid=01CRU&amp;lang=en_US&amp;offset=0&amp;query=any,contains,991002687479702656","Catalog Record")</f>
        <v/>
      </c>
      <c r="AT202">
        <f>HYPERLINK("http://www.worldcat.org/oclc/35110227","WorldCat Record")</f>
        <v/>
      </c>
      <c r="AU202" t="inlineStr">
        <is>
          <t>61730908:eng</t>
        </is>
      </c>
      <c r="AV202" t="inlineStr">
        <is>
          <t>35110227</t>
        </is>
      </c>
      <c r="AW202" t="inlineStr">
        <is>
          <t>991002687479702656</t>
        </is>
      </c>
      <c r="AX202" t="inlineStr">
        <is>
          <t>991002687479702656</t>
        </is>
      </c>
      <c r="AY202" t="inlineStr">
        <is>
          <t>2269864080002656</t>
        </is>
      </c>
      <c r="AZ202" t="inlineStr">
        <is>
          <t>BOOK</t>
        </is>
      </c>
      <c r="BB202" t="inlineStr">
        <is>
          <t>9780316763837</t>
        </is>
      </c>
      <c r="BC202" t="inlineStr">
        <is>
          <t>32285002414547</t>
        </is>
      </c>
      <c r="BD202" t="inlineStr">
        <is>
          <t>893867563</t>
        </is>
      </c>
    </row>
    <row r="203">
      <c r="A203" t="inlineStr">
        <is>
          <t>No</t>
        </is>
      </c>
      <c r="B203" t="inlineStr">
        <is>
          <t>RA644.A25 B39 1989</t>
        </is>
      </c>
      <c r="C203" t="inlineStr">
        <is>
          <t>0                      RA 0644000A  25                 B  39          1989</t>
        </is>
      </c>
      <c r="D203" t="inlineStr">
        <is>
          <t>Private acts, social consequences : AIDS and the politics of public health / Ronald Bayer.</t>
        </is>
      </c>
      <c r="F203" t="inlineStr">
        <is>
          <t>No</t>
        </is>
      </c>
      <c r="G203" t="inlineStr">
        <is>
          <t>1</t>
        </is>
      </c>
      <c r="H203" t="inlineStr">
        <is>
          <t>No</t>
        </is>
      </c>
      <c r="I203" t="inlineStr">
        <is>
          <t>No</t>
        </is>
      </c>
      <c r="J203" t="inlineStr">
        <is>
          <t>0</t>
        </is>
      </c>
      <c r="K203" t="inlineStr">
        <is>
          <t>Bayer, Ronald.</t>
        </is>
      </c>
      <c r="L203" t="inlineStr">
        <is>
          <t>New York : Free Press ; London : Collier Macmillan, c1989.</t>
        </is>
      </c>
      <c r="M203" t="inlineStr">
        <is>
          <t>1989</t>
        </is>
      </c>
      <c r="O203" t="inlineStr">
        <is>
          <t>eng</t>
        </is>
      </c>
      <c r="P203" t="inlineStr">
        <is>
          <t>nyu</t>
        </is>
      </c>
      <c r="R203" t="inlineStr">
        <is>
          <t xml:space="preserve">RA </t>
        </is>
      </c>
      <c r="S203" t="n">
        <v>20</v>
      </c>
      <c r="T203" t="n">
        <v>20</v>
      </c>
      <c r="U203" t="inlineStr">
        <is>
          <t>2004-11-28</t>
        </is>
      </c>
      <c r="V203" t="inlineStr">
        <is>
          <t>2004-11-28</t>
        </is>
      </c>
      <c r="W203" t="inlineStr">
        <is>
          <t>1990-04-23</t>
        </is>
      </c>
      <c r="X203" t="inlineStr">
        <is>
          <t>1990-04-23</t>
        </is>
      </c>
      <c r="Y203" t="n">
        <v>1027</v>
      </c>
      <c r="Z203" t="n">
        <v>910</v>
      </c>
      <c r="AA203" t="n">
        <v>974</v>
      </c>
      <c r="AB203" t="n">
        <v>4</v>
      </c>
      <c r="AC203" t="n">
        <v>4</v>
      </c>
      <c r="AD203" t="n">
        <v>37</v>
      </c>
      <c r="AE203" t="n">
        <v>40</v>
      </c>
      <c r="AF203" t="n">
        <v>15</v>
      </c>
      <c r="AG203" t="n">
        <v>16</v>
      </c>
      <c r="AH203" t="n">
        <v>7</v>
      </c>
      <c r="AI203" t="n">
        <v>7</v>
      </c>
      <c r="AJ203" t="n">
        <v>14</v>
      </c>
      <c r="AK203" t="n">
        <v>15</v>
      </c>
      <c r="AL203" t="n">
        <v>3</v>
      </c>
      <c r="AM203" t="n">
        <v>3</v>
      </c>
      <c r="AN203" t="n">
        <v>6</v>
      </c>
      <c r="AO203" t="n">
        <v>8</v>
      </c>
      <c r="AP203" t="inlineStr">
        <is>
          <t>No</t>
        </is>
      </c>
      <c r="AQ203" t="inlineStr">
        <is>
          <t>No</t>
        </is>
      </c>
      <c r="AS203">
        <f>HYPERLINK("https://creighton-primo.hosted.exlibrisgroup.com/primo-explore/search?tab=default_tab&amp;search_scope=EVERYTHING&amp;vid=01CRU&amp;lang=en_US&amp;offset=0&amp;query=any,contains,991001312229702656","Catalog Record")</f>
        <v/>
      </c>
      <c r="AT203">
        <f>HYPERLINK("http://www.worldcat.org/oclc/18162483","WorldCat Record")</f>
        <v/>
      </c>
      <c r="AU203" t="inlineStr">
        <is>
          <t>16509699:eng</t>
        </is>
      </c>
      <c r="AV203" t="inlineStr">
        <is>
          <t>18162483</t>
        </is>
      </c>
      <c r="AW203" t="inlineStr">
        <is>
          <t>991001312229702656</t>
        </is>
      </c>
      <c r="AX203" t="inlineStr">
        <is>
          <t>991001312229702656</t>
        </is>
      </c>
      <c r="AY203" t="inlineStr">
        <is>
          <t>2260073030002656</t>
        </is>
      </c>
      <c r="AZ203" t="inlineStr">
        <is>
          <t>BOOK</t>
        </is>
      </c>
      <c r="BB203" t="inlineStr">
        <is>
          <t>9780029019610</t>
        </is>
      </c>
      <c r="BC203" t="inlineStr">
        <is>
          <t>32285000124841</t>
        </is>
      </c>
      <c r="BD203" t="inlineStr">
        <is>
          <t>893715362</t>
        </is>
      </c>
    </row>
    <row r="204">
      <c r="A204" t="inlineStr">
        <is>
          <t>No</t>
        </is>
      </c>
      <c r="B204" t="inlineStr">
        <is>
          <t>RA644.A25 C6 1992</t>
        </is>
      </c>
      <c r="C204" t="inlineStr">
        <is>
          <t>0                      RA 0644000A  25                 C  6           1992</t>
        </is>
      </c>
      <c r="D204" t="inlineStr">
        <is>
          <t>Confronting AIDS in the developing world : a report to Congress on the USAID program for prevention and control of HIV infection, August 1992.</t>
        </is>
      </c>
      <c r="F204" t="inlineStr">
        <is>
          <t>No</t>
        </is>
      </c>
      <c r="G204" t="inlineStr">
        <is>
          <t>1</t>
        </is>
      </c>
      <c r="H204" t="inlineStr">
        <is>
          <t>No</t>
        </is>
      </c>
      <c r="I204" t="inlineStr">
        <is>
          <t>No</t>
        </is>
      </c>
      <c r="J204" t="inlineStr">
        <is>
          <t>0</t>
        </is>
      </c>
      <c r="L204" t="inlineStr">
        <is>
          <t>Washington, D.C. : USAID, 1992.</t>
        </is>
      </c>
      <c r="M204" t="inlineStr">
        <is>
          <t>1992</t>
        </is>
      </c>
      <c r="O204" t="inlineStr">
        <is>
          <t>eng</t>
        </is>
      </c>
      <c r="P204" t="inlineStr">
        <is>
          <t>dcu</t>
        </is>
      </c>
      <c r="R204" t="inlineStr">
        <is>
          <t xml:space="preserve">RA </t>
        </is>
      </c>
      <c r="S204" t="n">
        <v>19</v>
      </c>
      <c r="T204" t="n">
        <v>19</v>
      </c>
      <c r="U204" t="inlineStr">
        <is>
          <t>2007-04-15</t>
        </is>
      </c>
      <c r="V204" t="inlineStr">
        <is>
          <t>2007-04-15</t>
        </is>
      </c>
      <c r="W204" t="inlineStr">
        <is>
          <t>1993-10-27</t>
        </is>
      </c>
      <c r="X204" t="inlineStr">
        <is>
          <t>1993-10-27</t>
        </is>
      </c>
      <c r="Y204" t="n">
        <v>9</v>
      </c>
      <c r="Z204" t="n">
        <v>9</v>
      </c>
      <c r="AA204" t="n">
        <v>9</v>
      </c>
      <c r="AB204" t="n">
        <v>1</v>
      </c>
      <c r="AC204" t="n">
        <v>1</v>
      </c>
      <c r="AD204" t="n">
        <v>0</v>
      </c>
      <c r="AE204" t="n">
        <v>0</v>
      </c>
      <c r="AF204" t="n">
        <v>0</v>
      </c>
      <c r="AG204" t="n">
        <v>0</v>
      </c>
      <c r="AH204" t="n">
        <v>0</v>
      </c>
      <c r="AI204" t="n">
        <v>0</v>
      </c>
      <c r="AJ204" t="n">
        <v>0</v>
      </c>
      <c r="AK204" t="n">
        <v>0</v>
      </c>
      <c r="AL204" t="n">
        <v>0</v>
      </c>
      <c r="AM204" t="n">
        <v>0</v>
      </c>
      <c r="AN204" t="n">
        <v>0</v>
      </c>
      <c r="AO204" t="n">
        <v>0</v>
      </c>
      <c r="AP204" t="inlineStr">
        <is>
          <t>No</t>
        </is>
      </c>
      <c r="AQ204" t="inlineStr">
        <is>
          <t>No</t>
        </is>
      </c>
      <c r="AS204">
        <f>HYPERLINK("https://creighton-primo.hosted.exlibrisgroup.com/primo-explore/search?tab=default_tab&amp;search_scope=EVERYTHING&amp;vid=01CRU&amp;lang=en_US&amp;offset=0&amp;query=any,contains,991002103109702656","Catalog Record")</f>
        <v/>
      </c>
      <c r="AT204">
        <f>HYPERLINK("http://www.worldcat.org/oclc/26985884","WorldCat Record")</f>
        <v/>
      </c>
      <c r="AU204" t="inlineStr">
        <is>
          <t>29791874:eng</t>
        </is>
      </c>
      <c r="AV204" t="inlineStr">
        <is>
          <t>26985884</t>
        </is>
      </c>
      <c r="AW204" t="inlineStr">
        <is>
          <t>991002103109702656</t>
        </is>
      </c>
      <c r="AX204" t="inlineStr">
        <is>
          <t>991002103109702656</t>
        </is>
      </c>
      <c r="AY204" t="inlineStr">
        <is>
          <t>2254984400002656</t>
        </is>
      </c>
      <c r="AZ204" t="inlineStr">
        <is>
          <t>BOOK</t>
        </is>
      </c>
      <c r="BC204" t="inlineStr">
        <is>
          <t>32285001800894</t>
        </is>
      </c>
      <c r="BD204" t="inlineStr">
        <is>
          <t>893709871</t>
        </is>
      </c>
    </row>
    <row r="205">
      <c r="A205" t="inlineStr">
        <is>
          <t>No</t>
        </is>
      </c>
      <c r="B205" t="inlineStr">
        <is>
          <t>RA644.A25 F45 1994</t>
        </is>
      </c>
      <c r="C205" t="inlineStr">
        <is>
          <t>0                      RA 0644000A  25                 F  45          1994</t>
        </is>
      </c>
      <c r="D205" t="inlineStr">
        <is>
          <t>Queer and loathing : rants and raves of a raging AIDS clone / David B. Feinberg.</t>
        </is>
      </c>
      <c r="F205" t="inlineStr">
        <is>
          <t>No</t>
        </is>
      </c>
      <c r="G205" t="inlineStr">
        <is>
          <t>1</t>
        </is>
      </c>
      <c r="H205" t="inlineStr">
        <is>
          <t>No</t>
        </is>
      </c>
      <c r="I205" t="inlineStr">
        <is>
          <t>No</t>
        </is>
      </c>
      <c r="J205" t="inlineStr">
        <is>
          <t>0</t>
        </is>
      </c>
      <c r="K205" t="inlineStr">
        <is>
          <t>Feinberg, David B., 1956-1994.</t>
        </is>
      </c>
      <c r="L205" t="inlineStr">
        <is>
          <t>New York, NY : Viking, 1994.</t>
        </is>
      </c>
      <c r="M205" t="inlineStr">
        <is>
          <t>1994</t>
        </is>
      </c>
      <c r="O205" t="inlineStr">
        <is>
          <t>eng</t>
        </is>
      </c>
      <c r="P205" t="inlineStr">
        <is>
          <t>nyu</t>
        </is>
      </c>
      <c r="R205" t="inlineStr">
        <is>
          <t xml:space="preserve">RA </t>
        </is>
      </c>
      <c r="S205" t="n">
        <v>1</v>
      </c>
      <c r="T205" t="n">
        <v>1</v>
      </c>
      <c r="U205" t="inlineStr">
        <is>
          <t>2001-08-23</t>
        </is>
      </c>
      <c r="V205" t="inlineStr">
        <is>
          <t>2001-08-23</t>
        </is>
      </c>
      <c r="W205" t="inlineStr">
        <is>
          <t>2001-08-22</t>
        </is>
      </c>
      <c r="X205" t="inlineStr">
        <is>
          <t>2001-08-22</t>
        </is>
      </c>
      <c r="Y205" t="n">
        <v>287</v>
      </c>
      <c r="Z205" t="n">
        <v>255</v>
      </c>
      <c r="AA205" t="n">
        <v>299</v>
      </c>
      <c r="AB205" t="n">
        <v>4</v>
      </c>
      <c r="AC205" t="n">
        <v>4</v>
      </c>
      <c r="AD205" t="n">
        <v>4</v>
      </c>
      <c r="AE205" t="n">
        <v>7</v>
      </c>
      <c r="AF205" t="n">
        <v>0</v>
      </c>
      <c r="AG205" t="n">
        <v>0</v>
      </c>
      <c r="AH205" t="n">
        <v>1</v>
      </c>
      <c r="AI205" t="n">
        <v>2</v>
      </c>
      <c r="AJ205" t="n">
        <v>2</v>
      </c>
      <c r="AK205" t="n">
        <v>4</v>
      </c>
      <c r="AL205" t="n">
        <v>2</v>
      </c>
      <c r="AM205" t="n">
        <v>2</v>
      </c>
      <c r="AN205" t="n">
        <v>0</v>
      </c>
      <c r="AO205" t="n">
        <v>0</v>
      </c>
      <c r="AP205" t="inlineStr">
        <is>
          <t>No</t>
        </is>
      </c>
      <c r="AQ205" t="inlineStr">
        <is>
          <t>Yes</t>
        </is>
      </c>
      <c r="AR205">
        <f>HYPERLINK("http://catalog.hathitrust.org/Record/004551702","HathiTrust Record")</f>
        <v/>
      </c>
      <c r="AS205">
        <f>HYPERLINK("https://creighton-primo.hosted.exlibrisgroup.com/primo-explore/search?tab=default_tab&amp;search_scope=EVERYTHING&amp;vid=01CRU&amp;lang=en_US&amp;offset=0&amp;query=any,contains,991003607819702656","Catalog Record")</f>
        <v/>
      </c>
      <c r="AT205">
        <f>HYPERLINK("http://www.worldcat.org/oclc/30026952","WorldCat Record")</f>
        <v/>
      </c>
      <c r="AU205" t="inlineStr">
        <is>
          <t>836756175:eng</t>
        </is>
      </c>
      <c r="AV205" t="inlineStr">
        <is>
          <t>30026952</t>
        </is>
      </c>
      <c r="AW205" t="inlineStr">
        <is>
          <t>991003607819702656</t>
        </is>
      </c>
      <c r="AX205" t="inlineStr">
        <is>
          <t>991003607819702656</t>
        </is>
      </c>
      <c r="AY205" t="inlineStr">
        <is>
          <t>2262516740002656</t>
        </is>
      </c>
      <c r="AZ205" t="inlineStr">
        <is>
          <t>BOOK</t>
        </is>
      </c>
      <c r="BB205" t="inlineStr">
        <is>
          <t>9780670857661</t>
        </is>
      </c>
      <c r="BC205" t="inlineStr">
        <is>
          <t>32285004379573</t>
        </is>
      </c>
      <c r="BD205" t="inlineStr">
        <is>
          <t>893318168</t>
        </is>
      </c>
    </row>
    <row r="206">
      <c r="A206" t="inlineStr">
        <is>
          <t>No</t>
        </is>
      </c>
      <c r="B206" t="inlineStr">
        <is>
          <t>RA644.A25 F86 1990</t>
        </is>
      </c>
      <c r="C206" t="inlineStr">
        <is>
          <t>0                      RA 0644000A  25                 F  86          1990</t>
        </is>
      </c>
      <c r="D206" t="inlineStr">
        <is>
          <t>The myth of heterosexual AIDS / Michael Fumento.</t>
        </is>
      </c>
      <c r="F206" t="inlineStr">
        <is>
          <t>No</t>
        </is>
      </c>
      <c r="G206" t="inlineStr">
        <is>
          <t>1</t>
        </is>
      </c>
      <c r="H206" t="inlineStr">
        <is>
          <t>No</t>
        </is>
      </c>
      <c r="I206" t="inlineStr">
        <is>
          <t>No</t>
        </is>
      </c>
      <c r="J206" t="inlineStr">
        <is>
          <t>0</t>
        </is>
      </c>
      <c r="K206" t="inlineStr">
        <is>
          <t>Fumento, Michael.</t>
        </is>
      </c>
      <c r="L206" t="inlineStr">
        <is>
          <t>New York : Basic Books, c1990.</t>
        </is>
      </c>
      <c r="M206" t="inlineStr">
        <is>
          <t>1990</t>
        </is>
      </c>
      <c r="O206" t="inlineStr">
        <is>
          <t>eng</t>
        </is>
      </c>
      <c r="P206" t="inlineStr">
        <is>
          <t>nyu</t>
        </is>
      </c>
      <c r="R206" t="inlineStr">
        <is>
          <t xml:space="preserve">RA </t>
        </is>
      </c>
      <c r="S206" t="n">
        <v>11</v>
      </c>
      <c r="T206" t="n">
        <v>11</v>
      </c>
      <c r="U206" t="inlineStr">
        <is>
          <t>1995-11-10</t>
        </is>
      </c>
      <c r="V206" t="inlineStr">
        <is>
          <t>1995-11-10</t>
        </is>
      </c>
      <c r="W206" t="inlineStr">
        <is>
          <t>1990-04-20</t>
        </is>
      </c>
      <c r="X206" t="inlineStr">
        <is>
          <t>1990-04-20</t>
        </is>
      </c>
      <c r="Y206" t="n">
        <v>659</v>
      </c>
      <c r="Z206" t="n">
        <v>608</v>
      </c>
      <c r="AA206" t="n">
        <v>759</v>
      </c>
      <c r="AB206" t="n">
        <v>5</v>
      </c>
      <c r="AC206" t="n">
        <v>6</v>
      </c>
      <c r="AD206" t="n">
        <v>18</v>
      </c>
      <c r="AE206" t="n">
        <v>25</v>
      </c>
      <c r="AF206" t="n">
        <v>5</v>
      </c>
      <c r="AG206" t="n">
        <v>8</v>
      </c>
      <c r="AH206" t="n">
        <v>2</v>
      </c>
      <c r="AI206" t="n">
        <v>5</v>
      </c>
      <c r="AJ206" t="n">
        <v>7</v>
      </c>
      <c r="AK206" t="n">
        <v>10</v>
      </c>
      <c r="AL206" t="n">
        <v>3</v>
      </c>
      <c r="AM206" t="n">
        <v>4</v>
      </c>
      <c r="AN206" t="n">
        <v>3</v>
      </c>
      <c r="AO206" t="n">
        <v>3</v>
      </c>
      <c r="AP206" t="inlineStr">
        <is>
          <t>No</t>
        </is>
      </c>
      <c r="AQ206" t="inlineStr">
        <is>
          <t>No</t>
        </is>
      </c>
      <c r="AS206">
        <f>HYPERLINK("https://creighton-primo.hosted.exlibrisgroup.com/primo-explore/search?tab=default_tab&amp;search_scope=EVERYTHING&amp;vid=01CRU&amp;lang=en_US&amp;offset=0&amp;query=any,contains,991001564879702656","Catalog Record")</f>
        <v/>
      </c>
      <c r="AT206">
        <f>HYPERLINK("http://www.worldcat.org/oclc/20320037","WorldCat Record")</f>
        <v/>
      </c>
      <c r="AU206" t="inlineStr">
        <is>
          <t>22268333:eng</t>
        </is>
      </c>
      <c r="AV206" t="inlineStr">
        <is>
          <t>20320037</t>
        </is>
      </c>
      <c r="AW206" t="inlineStr">
        <is>
          <t>991001564879702656</t>
        </is>
      </c>
      <c r="AX206" t="inlineStr">
        <is>
          <t>991001564879702656</t>
        </is>
      </c>
      <c r="AY206" t="inlineStr">
        <is>
          <t>2262016310002656</t>
        </is>
      </c>
      <c r="AZ206" t="inlineStr">
        <is>
          <t>BOOK</t>
        </is>
      </c>
      <c r="BB206" t="inlineStr">
        <is>
          <t>9780465098033</t>
        </is>
      </c>
      <c r="BC206" t="inlineStr">
        <is>
          <t>32285000104454</t>
        </is>
      </c>
      <c r="BD206" t="inlineStr">
        <is>
          <t>893432927</t>
        </is>
      </c>
    </row>
    <row r="207">
      <c r="A207" t="inlineStr">
        <is>
          <t>No</t>
        </is>
      </c>
      <c r="B207" t="inlineStr">
        <is>
          <t>RA644.A25 I49 1997</t>
        </is>
      </c>
      <c r="C207" t="inlineStr">
        <is>
          <t>0                      RA 0644000A  25                 I  49          1997</t>
        </is>
      </c>
      <c r="D207" t="inlineStr">
        <is>
          <t>In changing times : gay men and lesbians encounter HIV/AIDS / edited by Martin P. Levine, Peter M. Nardi, John H. Gagnon.</t>
        </is>
      </c>
      <c r="F207" t="inlineStr">
        <is>
          <t>No</t>
        </is>
      </c>
      <c r="G207" t="inlineStr">
        <is>
          <t>1</t>
        </is>
      </c>
      <c r="H207" t="inlineStr">
        <is>
          <t>No</t>
        </is>
      </c>
      <c r="I207" t="inlineStr">
        <is>
          <t>No</t>
        </is>
      </c>
      <c r="J207" t="inlineStr">
        <is>
          <t>0</t>
        </is>
      </c>
      <c r="L207" t="inlineStr">
        <is>
          <t>Chicago : University of Chicago Press, c1997.</t>
        </is>
      </c>
      <c r="M207" t="inlineStr">
        <is>
          <t>1997</t>
        </is>
      </c>
      <c r="O207" t="inlineStr">
        <is>
          <t>eng</t>
        </is>
      </c>
      <c r="P207" t="inlineStr">
        <is>
          <t>ilu</t>
        </is>
      </c>
      <c r="R207" t="inlineStr">
        <is>
          <t xml:space="preserve">RA </t>
        </is>
      </c>
      <c r="S207" t="n">
        <v>4</v>
      </c>
      <c r="T207" t="n">
        <v>4</v>
      </c>
      <c r="U207" t="inlineStr">
        <is>
          <t>2004-03-19</t>
        </is>
      </c>
      <c r="V207" t="inlineStr">
        <is>
          <t>2004-03-19</t>
        </is>
      </c>
      <c r="W207" t="inlineStr">
        <is>
          <t>1998-05-18</t>
        </is>
      </c>
      <c r="X207" t="inlineStr">
        <is>
          <t>1998-05-18</t>
        </is>
      </c>
      <c r="Y207" t="n">
        <v>401</v>
      </c>
      <c r="Z207" t="n">
        <v>333</v>
      </c>
      <c r="AA207" t="n">
        <v>333</v>
      </c>
      <c r="AB207" t="n">
        <v>3</v>
      </c>
      <c r="AC207" t="n">
        <v>3</v>
      </c>
      <c r="AD207" t="n">
        <v>20</v>
      </c>
      <c r="AE207" t="n">
        <v>20</v>
      </c>
      <c r="AF207" t="n">
        <v>8</v>
      </c>
      <c r="AG207" t="n">
        <v>8</v>
      </c>
      <c r="AH207" t="n">
        <v>4</v>
      </c>
      <c r="AI207" t="n">
        <v>4</v>
      </c>
      <c r="AJ207" t="n">
        <v>12</v>
      </c>
      <c r="AK207" t="n">
        <v>12</v>
      </c>
      <c r="AL207" t="n">
        <v>2</v>
      </c>
      <c r="AM207" t="n">
        <v>2</v>
      </c>
      <c r="AN207" t="n">
        <v>0</v>
      </c>
      <c r="AO207" t="n">
        <v>0</v>
      </c>
      <c r="AP207" t="inlineStr">
        <is>
          <t>No</t>
        </is>
      </c>
      <c r="AQ207" t="inlineStr">
        <is>
          <t>No</t>
        </is>
      </c>
      <c r="AS207">
        <f>HYPERLINK("https://creighton-primo.hosted.exlibrisgroup.com/primo-explore/search?tab=default_tab&amp;search_scope=EVERYTHING&amp;vid=01CRU&amp;lang=en_US&amp;offset=0&amp;query=any,contains,991002760919702656","Catalog Record")</f>
        <v/>
      </c>
      <c r="AT207">
        <f>HYPERLINK("http://www.worldcat.org/oclc/36219375","WorldCat Record")</f>
        <v/>
      </c>
      <c r="AU207" t="inlineStr">
        <is>
          <t>837060858:eng</t>
        </is>
      </c>
      <c r="AV207" t="inlineStr">
        <is>
          <t>36219375</t>
        </is>
      </c>
      <c r="AW207" t="inlineStr">
        <is>
          <t>991002760919702656</t>
        </is>
      </c>
      <c r="AX207" t="inlineStr">
        <is>
          <t>991002760919702656</t>
        </is>
      </c>
      <c r="AY207" t="inlineStr">
        <is>
          <t>2260976260002656</t>
        </is>
      </c>
      <c r="AZ207" t="inlineStr">
        <is>
          <t>BOOK</t>
        </is>
      </c>
      <c r="BB207" t="inlineStr">
        <is>
          <t>9780226278568</t>
        </is>
      </c>
      <c r="BC207" t="inlineStr">
        <is>
          <t>32285003409363</t>
        </is>
      </c>
      <c r="BD207" t="inlineStr">
        <is>
          <t>893341812</t>
        </is>
      </c>
    </row>
    <row r="208">
      <c r="A208" t="inlineStr">
        <is>
          <t>No</t>
        </is>
      </c>
      <c r="B208" t="inlineStr">
        <is>
          <t>RA644.H32 H37 1999</t>
        </is>
      </c>
      <c r="C208" t="inlineStr">
        <is>
          <t>0                      RA 0644000H  32                 H  37          1999</t>
        </is>
      </c>
      <c r="D208" t="inlineStr">
        <is>
          <t>Of mice, men, and microbes : hantavirus / David R. Harper, Andrea S. Meyer.</t>
        </is>
      </c>
      <c r="F208" t="inlineStr">
        <is>
          <t>No</t>
        </is>
      </c>
      <c r="G208" t="inlineStr">
        <is>
          <t>1</t>
        </is>
      </c>
      <c r="H208" t="inlineStr">
        <is>
          <t>No</t>
        </is>
      </c>
      <c r="I208" t="inlineStr">
        <is>
          <t>No</t>
        </is>
      </c>
      <c r="J208" t="inlineStr">
        <is>
          <t>0</t>
        </is>
      </c>
      <c r="K208" t="inlineStr">
        <is>
          <t>Harper, David R. (David Richard)</t>
        </is>
      </c>
      <c r="L208" t="inlineStr">
        <is>
          <t>San Diego : Academic Press, c1999.</t>
        </is>
      </c>
      <c r="M208" t="inlineStr">
        <is>
          <t>1999</t>
        </is>
      </c>
      <c r="O208" t="inlineStr">
        <is>
          <t>eng</t>
        </is>
      </c>
      <c r="P208" t="inlineStr">
        <is>
          <t>cau</t>
        </is>
      </c>
      <c r="R208" t="inlineStr">
        <is>
          <t xml:space="preserve">RA </t>
        </is>
      </c>
      <c r="S208" t="n">
        <v>2</v>
      </c>
      <c r="T208" t="n">
        <v>2</v>
      </c>
      <c r="U208" t="inlineStr">
        <is>
          <t>2000-10-12</t>
        </is>
      </c>
      <c r="V208" t="inlineStr">
        <is>
          <t>2000-10-12</t>
        </is>
      </c>
      <c r="W208" t="inlineStr">
        <is>
          <t>1999-09-29</t>
        </is>
      </c>
      <c r="X208" t="inlineStr">
        <is>
          <t>1999-09-29</t>
        </is>
      </c>
      <c r="Y208" t="n">
        <v>584</v>
      </c>
      <c r="Z208" t="n">
        <v>514</v>
      </c>
      <c r="AA208" t="n">
        <v>565</v>
      </c>
      <c r="AB208" t="n">
        <v>2</v>
      </c>
      <c r="AC208" t="n">
        <v>2</v>
      </c>
      <c r="AD208" t="n">
        <v>14</v>
      </c>
      <c r="AE208" t="n">
        <v>16</v>
      </c>
      <c r="AF208" t="n">
        <v>5</v>
      </c>
      <c r="AG208" t="n">
        <v>6</v>
      </c>
      <c r="AH208" t="n">
        <v>5</v>
      </c>
      <c r="AI208" t="n">
        <v>6</v>
      </c>
      <c r="AJ208" t="n">
        <v>9</v>
      </c>
      <c r="AK208" t="n">
        <v>9</v>
      </c>
      <c r="AL208" t="n">
        <v>1</v>
      </c>
      <c r="AM208" t="n">
        <v>1</v>
      </c>
      <c r="AN208" t="n">
        <v>0</v>
      </c>
      <c r="AO208" t="n">
        <v>0</v>
      </c>
      <c r="AP208" t="inlineStr">
        <is>
          <t>No</t>
        </is>
      </c>
      <c r="AQ208" t="inlineStr">
        <is>
          <t>No</t>
        </is>
      </c>
      <c r="AS208">
        <f>HYPERLINK("https://creighton-primo.hosted.exlibrisgroup.com/primo-explore/search?tab=default_tab&amp;search_scope=EVERYTHING&amp;vid=01CRU&amp;lang=en_US&amp;offset=0&amp;query=any,contains,991003038519702656","Catalog Record")</f>
        <v/>
      </c>
      <c r="AT208">
        <f>HYPERLINK("http://www.worldcat.org/oclc/41960103","WorldCat Record")</f>
        <v/>
      </c>
      <c r="AU208" t="inlineStr">
        <is>
          <t>792619931:eng</t>
        </is>
      </c>
      <c r="AV208" t="inlineStr">
        <is>
          <t>41960103</t>
        </is>
      </c>
      <c r="AW208" t="inlineStr">
        <is>
          <t>991003038519702656</t>
        </is>
      </c>
      <c r="AX208" t="inlineStr">
        <is>
          <t>991003038519702656</t>
        </is>
      </c>
      <c r="AY208" t="inlineStr">
        <is>
          <t>2257829430002656</t>
        </is>
      </c>
      <c r="AZ208" t="inlineStr">
        <is>
          <t>BOOK</t>
        </is>
      </c>
      <c r="BB208" t="inlineStr">
        <is>
          <t>9780123264602</t>
        </is>
      </c>
      <c r="BC208" t="inlineStr">
        <is>
          <t>32285003591590</t>
        </is>
      </c>
      <c r="BD208" t="inlineStr">
        <is>
          <t>893704847</t>
        </is>
      </c>
    </row>
    <row r="209">
      <c r="A209" t="inlineStr">
        <is>
          <t>No</t>
        </is>
      </c>
      <c r="B209" t="inlineStr">
        <is>
          <t>RA644.I6 N48 1983</t>
        </is>
      </c>
      <c r="C209" t="inlineStr">
        <is>
          <t>0                      RA 0644000I  6                  N  48          1983</t>
        </is>
      </c>
      <c r="D209" t="inlineStr">
        <is>
          <t>The epidemic that never was : policy-making and the swine flu scare / Richard E. Neustadt and Harvey V. Fineberg ; foreword by David A. Hamburg.</t>
        </is>
      </c>
      <c r="F209" t="inlineStr">
        <is>
          <t>No</t>
        </is>
      </c>
      <c r="G209" t="inlineStr">
        <is>
          <t>1</t>
        </is>
      </c>
      <c r="H209" t="inlineStr">
        <is>
          <t>No</t>
        </is>
      </c>
      <c r="I209" t="inlineStr">
        <is>
          <t>No</t>
        </is>
      </c>
      <c r="J209" t="inlineStr">
        <is>
          <t>0</t>
        </is>
      </c>
      <c r="K209" t="inlineStr">
        <is>
          <t>Neustadt, Richard E.</t>
        </is>
      </c>
      <c r="L209" t="inlineStr">
        <is>
          <t>New York : Vintage Books, 1983, c1982.</t>
        </is>
      </c>
      <c r="M209" t="inlineStr">
        <is>
          <t>1983</t>
        </is>
      </c>
      <c r="N209" t="inlineStr">
        <is>
          <t>1st ed.</t>
        </is>
      </c>
      <c r="O209" t="inlineStr">
        <is>
          <t>eng</t>
        </is>
      </c>
      <c r="P209" t="inlineStr">
        <is>
          <t>nyu</t>
        </is>
      </c>
      <c r="R209" t="inlineStr">
        <is>
          <t xml:space="preserve">RA </t>
        </is>
      </c>
      <c r="S209" t="n">
        <v>5</v>
      </c>
      <c r="T209" t="n">
        <v>5</v>
      </c>
      <c r="U209" t="inlineStr">
        <is>
          <t>2001-10-22</t>
        </is>
      </c>
      <c r="V209" t="inlineStr">
        <is>
          <t>2001-10-22</t>
        </is>
      </c>
      <c r="W209" t="inlineStr">
        <is>
          <t>1993-08-23</t>
        </is>
      </c>
      <c r="X209" t="inlineStr">
        <is>
          <t>1993-08-23</t>
        </is>
      </c>
      <c r="Y209" t="n">
        <v>295</v>
      </c>
      <c r="Z209" t="n">
        <v>281</v>
      </c>
      <c r="AA209" t="n">
        <v>284</v>
      </c>
      <c r="AB209" t="n">
        <v>2</v>
      </c>
      <c r="AC209" t="n">
        <v>2</v>
      </c>
      <c r="AD209" t="n">
        <v>10</v>
      </c>
      <c r="AE209" t="n">
        <v>10</v>
      </c>
      <c r="AF209" t="n">
        <v>2</v>
      </c>
      <c r="AG209" t="n">
        <v>2</v>
      </c>
      <c r="AH209" t="n">
        <v>3</v>
      </c>
      <c r="AI209" t="n">
        <v>3</v>
      </c>
      <c r="AJ209" t="n">
        <v>6</v>
      </c>
      <c r="AK209" t="n">
        <v>6</v>
      </c>
      <c r="AL209" t="n">
        <v>1</v>
      </c>
      <c r="AM209" t="n">
        <v>1</v>
      </c>
      <c r="AN209" t="n">
        <v>0</v>
      </c>
      <c r="AO209" t="n">
        <v>0</v>
      </c>
      <c r="AP209" t="inlineStr">
        <is>
          <t>No</t>
        </is>
      </c>
      <c r="AQ209" t="inlineStr">
        <is>
          <t>Yes</t>
        </is>
      </c>
      <c r="AR209">
        <f>HYPERLINK("http://catalog.hathitrust.org/Record/000777665","HathiTrust Record")</f>
        <v/>
      </c>
      <c r="AS209">
        <f>HYPERLINK("https://creighton-primo.hosted.exlibrisgroup.com/primo-explore/search?tab=default_tab&amp;search_scope=EVERYTHING&amp;vid=01CRU&amp;lang=en_US&amp;offset=0&amp;query=any,contains,991005250819702656","Catalog Record")</f>
        <v/>
      </c>
      <c r="AT209">
        <f>HYPERLINK("http://www.worldcat.org/oclc/8493118","WorldCat Record")</f>
        <v/>
      </c>
      <c r="AU209" t="inlineStr">
        <is>
          <t>312450064:eng</t>
        </is>
      </c>
      <c r="AV209" t="inlineStr">
        <is>
          <t>8493118</t>
        </is>
      </c>
      <c r="AW209" t="inlineStr">
        <is>
          <t>991005250819702656</t>
        </is>
      </c>
      <c r="AX209" t="inlineStr">
        <is>
          <t>991005250819702656</t>
        </is>
      </c>
      <c r="AY209" t="inlineStr">
        <is>
          <t>2261664170002656</t>
        </is>
      </c>
      <c r="AZ209" t="inlineStr">
        <is>
          <t>BOOK</t>
        </is>
      </c>
      <c r="BB209" t="inlineStr">
        <is>
          <t>9780394711478</t>
        </is>
      </c>
      <c r="BC209" t="inlineStr">
        <is>
          <t>32285001760775</t>
        </is>
      </c>
      <c r="BD209" t="inlineStr">
        <is>
          <t>893242439</t>
        </is>
      </c>
    </row>
    <row r="210">
      <c r="A210" t="inlineStr">
        <is>
          <t>No</t>
        </is>
      </c>
      <c r="B210" t="inlineStr">
        <is>
          <t>RA644.T69 L96 1992</t>
        </is>
      </c>
      <c r="C210" t="inlineStr">
        <is>
          <t>0                      RA 0644000T  69                 L  96          1992</t>
        </is>
      </c>
      <c r="D210" t="inlineStr">
        <is>
          <t>The colonial disease : a social history of sleeping sickness in northern Zaire, 1900-1940 / Maryinez Lyons.</t>
        </is>
      </c>
      <c r="F210" t="inlineStr">
        <is>
          <t>No</t>
        </is>
      </c>
      <c r="G210" t="inlineStr">
        <is>
          <t>1</t>
        </is>
      </c>
      <c r="H210" t="inlineStr">
        <is>
          <t>No</t>
        </is>
      </c>
      <c r="I210" t="inlineStr">
        <is>
          <t>No</t>
        </is>
      </c>
      <c r="J210" t="inlineStr">
        <is>
          <t>0</t>
        </is>
      </c>
      <c r="K210" t="inlineStr">
        <is>
          <t>Lyons, Maryinez.</t>
        </is>
      </c>
      <c r="L210" t="inlineStr">
        <is>
          <t>Cambridge ; New York : Cambridge University Press, 1992.</t>
        </is>
      </c>
      <c r="M210" t="inlineStr">
        <is>
          <t>1992</t>
        </is>
      </c>
      <c r="O210" t="inlineStr">
        <is>
          <t>eng</t>
        </is>
      </c>
      <c r="P210" t="inlineStr">
        <is>
          <t>enk</t>
        </is>
      </c>
      <c r="Q210" t="inlineStr">
        <is>
          <t>Cambridge history of medicine</t>
        </is>
      </c>
      <c r="R210" t="inlineStr">
        <is>
          <t xml:space="preserve">RA </t>
        </is>
      </c>
      <c r="S210" t="n">
        <v>9</v>
      </c>
      <c r="T210" t="n">
        <v>9</v>
      </c>
      <c r="U210" t="inlineStr">
        <is>
          <t>2009-04-02</t>
        </is>
      </c>
      <c r="V210" t="inlineStr">
        <is>
          <t>2009-04-02</t>
        </is>
      </c>
      <c r="W210" t="inlineStr">
        <is>
          <t>1992-06-22</t>
        </is>
      </c>
      <c r="X210" t="inlineStr">
        <is>
          <t>1992-06-22</t>
        </is>
      </c>
      <c r="Y210" t="n">
        <v>253</v>
      </c>
      <c r="Z210" t="n">
        <v>180</v>
      </c>
      <c r="AA210" t="n">
        <v>395</v>
      </c>
      <c r="AB210" t="n">
        <v>1</v>
      </c>
      <c r="AC210" t="n">
        <v>4</v>
      </c>
      <c r="AD210" t="n">
        <v>6</v>
      </c>
      <c r="AE210" t="n">
        <v>24</v>
      </c>
      <c r="AF210" t="n">
        <v>1</v>
      </c>
      <c r="AG210" t="n">
        <v>8</v>
      </c>
      <c r="AH210" t="n">
        <v>3</v>
      </c>
      <c r="AI210" t="n">
        <v>8</v>
      </c>
      <c r="AJ210" t="n">
        <v>3</v>
      </c>
      <c r="AK210" t="n">
        <v>10</v>
      </c>
      <c r="AL210" t="n">
        <v>0</v>
      </c>
      <c r="AM210" t="n">
        <v>3</v>
      </c>
      <c r="AN210" t="n">
        <v>0</v>
      </c>
      <c r="AO210" t="n">
        <v>0</v>
      </c>
      <c r="AP210" t="inlineStr">
        <is>
          <t>No</t>
        </is>
      </c>
      <c r="AQ210" t="inlineStr">
        <is>
          <t>No</t>
        </is>
      </c>
      <c r="AS210">
        <f>HYPERLINK("https://creighton-primo.hosted.exlibrisgroup.com/primo-explore/search?tab=default_tab&amp;search_scope=EVERYTHING&amp;vid=01CRU&amp;lang=en_US&amp;offset=0&amp;query=any,contains,991001831429702656","Catalog Record")</f>
        <v/>
      </c>
      <c r="AT210">
        <f>HYPERLINK("http://www.worldcat.org/oclc/23015040","WorldCat Record")</f>
        <v/>
      </c>
      <c r="AU210" t="inlineStr">
        <is>
          <t>808724364:eng</t>
        </is>
      </c>
      <c r="AV210" t="inlineStr">
        <is>
          <t>23015040</t>
        </is>
      </c>
      <c r="AW210" t="inlineStr">
        <is>
          <t>991001831429702656</t>
        </is>
      </c>
      <c r="AX210" t="inlineStr">
        <is>
          <t>991001831429702656</t>
        </is>
      </c>
      <c r="AY210" t="inlineStr">
        <is>
          <t>2262498120002656</t>
        </is>
      </c>
      <c r="AZ210" t="inlineStr">
        <is>
          <t>BOOK</t>
        </is>
      </c>
      <c r="BB210" t="inlineStr">
        <is>
          <t>9780521403504</t>
        </is>
      </c>
      <c r="BC210" t="inlineStr">
        <is>
          <t>32285001155240</t>
        </is>
      </c>
      <c r="BD210" t="inlineStr">
        <is>
          <t>893891870</t>
        </is>
      </c>
    </row>
    <row r="211">
      <c r="A211" t="inlineStr">
        <is>
          <t>No</t>
        </is>
      </c>
      <c r="B211" t="inlineStr">
        <is>
          <t>RA645.C3 F54 2005</t>
        </is>
      </c>
      <c r="C211" t="inlineStr">
        <is>
          <t>0                      RA 0645000C  3                  F  54          2005</t>
        </is>
      </c>
      <c r="D211" t="inlineStr">
        <is>
          <t>Understanding the mammography controversy : science, politics, and breast cancer screening / Madelon L. Finkel.</t>
        </is>
      </c>
      <c r="F211" t="inlineStr">
        <is>
          <t>No</t>
        </is>
      </c>
      <c r="G211" t="inlineStr">
        <is>
          <t>1</t>
        </is>
      </c>
      <c r="H211" t="inlineStr">
        <is>
          <t>No</t>
        </is>
      </c>
      <c r="I211" t="inlineStr">
        <is>
          <t>No</t>
        </is>
      </c>
      <c r="J211" t="inlineStr">
        <is>
          <t>0</t>
        </is>
      </c>
      <c r="K211" t="inlineStr">
        <is>
          <t>Finkel, Madelon Lubin, 1949-</t>
        </is>
      </c>
      <c r="L211" t="inlineStr">
        <is>
          <t>Westport, Conn. : Praeger, 2005.</t>
        </is>
      </c>
      <c r="M211" t="inlineStr">
        <is>
          <t>2005</t>
        </is>
      </c>
      <c r="O211" t="inlineStr">
        <is>
          <t>eng</t>
        </is>
      </c>
      <c r="P211" t="inlineStr">
        <is>
          <t>ctu</t>
        </is>
      </c>
      <c r="R211" t="inlineStr">
        <is>
          <t xml:space="preserve">RA </t>
        </is>
      </c>
      <c r="S211" t="n">
        <v>1</v>
      </c>
      <c r="T211" t="n">
        <v>1</v>
      </c>
      <c r="U211" t="inlineStr">
        <is>
          <t>2005-11-11</t>
        </is>
      </c>
      <c r="V211" t="inlineStr">
        <is>
          <t>2005-11-11</t>
        </is>
      </c>
      <c r="W211" t="inlineStr">
        <is>
          <t>2005-08-09</t>
        </is>
      </c>
      <c r="X211" t="inlineStr">
        <is>
          <t>2005-08-09</t>
        </is>
      </c>
      <c r="Y211" t="n">
        <v>773</v>
      </c>
      <c r="Z211" t="n">
        <v>712</v>
      </c>
      <c r="AA211" t="n">
        <v>770</v>
      </c>
      <c r="AB211" t="n">
        <v>5</v>
      </c>
      <c r="AC211" t="n">
        <v>5</v>
      </c>
      <c r="AD211" t="n">
        <v>22</v>
      </c>
      <c r="AE211" t="n">
        <v>23</v>
      </c>
      <c r="AF211" t="n">
        <v>9</v>
      </c>
      <c r="AG211" t="n">
        <v>10</v>
      </c>
      <c r="AH211" t="n">
        <v>6</v>
      </c>
      <c r="AI211" t="n">
        <v>6</v>
      </c>
      <c r="AJ211" t="n">
        <v>9</v>
      </c>
      <c r="AK211" t="n">
        <v>9</v>
      </c>
      <c r="AL211" t="n">
        <v>3</v>
      </c>
      <c r="AM211" t="n">
        <v>3</v>
      </c>
      <c r="AN211" t="n">
        <v>1</v>
      </c>
      <c r="AO211" t="n">
        <v>1</v>
      </c>
      <c r="AP211" t="inlineStr">
        <is>
          <t>No</t>
        </is>
      </c>
      <c r="AQ211" t="inlineStr">
        <is>
          <t>No</t>
        </is>
      </c>
      <c r="AS211">
        <f>HYPERLINK("https://creighton-primo.hosted.exlibrisgroup.com/primo-explore/search?tab=default_tab&amp;search_scope=EVERYTHING&amp;vid=01CRU&amp;lang=en_US&amp;offset=0&amp;query=any,contains,991004614699702656","Catalog Record")</f>
        <v/>
      </c>
      <c r="AT211">
        <f>HYPERLINK("http://www.worldcat.org/oclc/57123765","WorldCat Record")</f>
        <v/>
      </c>
      <c r="AU211" t="inlineStr">
        <is>
          <t>521785:eng</t>
        </is>
      </c>
      <c r="AV211" t="inlineStr">
        <is>
          <t>57123765</t>
        </is>
      </c>
      <c r="AW211" t="inlineStr">
        <is>
          <t>991004614699702656</t>
        </is>
      </c>
      <c r="AX211" t="inlineStr">
        <is>
          <t>991004614699702656</t>
        </is>
      </c>
      <c r="AY211" t="inlineStr">
        <is>
          <t>2269211470002656</t>
        </is>
      </c>
      <c r="AZ211" t="inlineStr">
        <is>
          <t>BOOK</t>
        </is>
      </c>
      <c r="BB211" t="inlineStr">
        <is>
          <t>9780275981884</t>
        </is>
      </c>
      <c r="BC211" t="inlineStr">
        <is>
          <t>32285005080204</t>
        </is>
      </c>
      <c r="BD211" t="inlineStr">
        <is>
          <t>893901435</t>
        </is>
      </c>
    </row>
    <row r="212">
      <c r="A212" t="inlineStr">
        <is>
          <t>No</t>
        </is>
      </c>
      <c r="B212" t="inlineStr">
        <is>
          <t>RA645.H4 B78</t>
        </is>
      </c>
      <c r="C212" t="inlineStr">
        <is>
          <t>0                      RA 0645000H  4                  B  78</t>
        </is>
      </c>
      <c r="D212" t="inlineStr">
        <is>
          <t>The Roseto Story : an anatomy of health / by John G. Bruhn and Stewart Wolf ; photos by Remsen Wolff.</t>
        </is>
      </c>
      <c r="F212" t="inlineStr">
        <is>
          <t>No</t>
        </is>
      </c>
      <c r="G212" t="inlineStr">
        <is>
          <t>1</t>
        </is>
      </c>
      <c r="H212" t="inlineStr">
        <is>
          <t>Yes</t>
        </is>
      </c>
      <c r="I212" t="inlineStr">
        <is>
          <t>No</t>
        </is>
      </c>
      <c r="J212" t="inlineStr">
        <is>
          <t>0</t>
        </is>
      </c>
      <c r="K212" t="inlineStr">
        <is>
          <t>Bruhn, John G., 1934-</t>
        </is>
      </c>
      <c r="L212" t="inlineStr">
        <is>
          <t>Norman : University of Oklahoma, c1979.</t>
        </is>
      </c>
      <c r="M212" t="inlineStr">
        <is>
          <t>1979</t>
        </is>
      </c>
      <c r="O212" t="inlineStr">
        <is>
          <t>eng</t>
        </is>
      </c>
      <c r="P212" t="inlineStr">
        <is>
          <t>oku</t>
        </is>
      </c>
      <c r="R212" t="inlineStr">
        <is>
          <t xml:space="preserve">RA </t>
        </is>
      </c>
      <c r="S212" t="n">
        <v>3</v>
      </c>
      <c r="T212" t="n">
        <v>3</v>
      </c>
      <c r="U212" t="inlineStr">
        <is>
          <t>1995-02-14</t>
        </is>
      </c>
      <c r="V212" t="inlineStr">
        <is>
          <t>1995-02-14</t>
        </is>
      </c>
      <c r="W212" t="inlineStr">
        <is>
          <t>1993-03-11</t>
        </is>
      </c>
      <c r="X212" t="inlineStr">
        <is>
          <t>1993-03-11</t>
        </is>
      </c>
      <c r="Y212" t="n">
        <v>345</v>
      </c>
      <c r="Z212" t="n">
        <v>322</v>
      </c>
      <c r="AA212" t="n">
        <v>332</v>
      </c>
      <c r="AB212" t="n">
        <v>4</v>
      </c>
      <c r="AC212" t="n">
        <v>4</v>
      </c>
      <c r="AD212" t="n">
        <v>13</v>
      </c>
      <c r="AE212" t="n">
        <v>14</v>
      </c>
      <c r="AF212" t="n">
        <v>4</v>
      </c>
      <c r="AG212" t="n">
        <v>5</v>
      </c>
      <c r="AH212" t="n">
        <v>4</v>
      </c>
      <c r="AI212" t="n">
        <v>5</v>
      </c>
      <c r="AJ212" t="n">
        <v>6</v>
      </c>
      <c r="AK212" t="n">
        <v>6</v>
      </c>
      <c r="AL212" t="n">
        <v>1</v>
      </c>
      <c r="AM212" t="n">
        <v>1</v>
      </c>
      <c r="AN212" t="n">
        <v>0</v>
      </c>
      <c r="AO212" t="n">
        <v>0</v>
      </c>
      <c r="AP212" t="inlineStr">
        <is>
          <t>No</t>
        </is>
      </c>
      <c r="AQ212" t="inlineStr">
        <is>
          <t>No</t>
        </is>
      </c>
      <c r="AS212">
        <f>HYPERLINK("https://creighton-primo.hosted.exlibrisgroup.com/primo-explore/search?tab=default_tab&amp;search_scope=EVERYTHING&amp;vid=01CRU&amp;lang=en_US&amp;offset=0&amp;query=any,contains,991001790789702656","Catalog Record")</f>
        <v/>
      </c>
      <c r="AT212">
        <f>HYPERLINK("http://www.worldcat.org/oclc/4835344","WorldCat Record")</f>
        <v/>
      </c>
      <c r="AU212" t="inlineStr">
        <is>
          <t>14766529:eng</t>
        </is>
      </c>
      <c r="AV212" t="inlineStr">
        <is>
          <t>4835344</t>
        </is>
      </c>
      <c r="AW212" t="inlineStr">
        <is>
          <t>991001790789702656</t>
        </is>
      </c>
      <c r="AX212" t="inlineStr">
        <is>
          <t>991001790789702656</t>
        </is>
      </c>
      <c r="AY212" t="inlineStr">
        <is>
          <t>2268159810002656</t>
        </is>
      </c>
      <c r="AZ212" t="inlineStr">
        <is>
          <t>BOOK</t>
        </is>
      </c>
      <c r="BB212" t="inlineStr">
        <is>
          <t>9780806114910</t>
        </is>
      </c>
      <c r="BC212" t="inlineStr">
        <is>
          <t>32285001587442</t>
        </is>
      </c>
      <c r="BD212" t="inlineStr">
        <is>
          <t>893891844</t>
        </is>
      </c>
    </row>
    <row r="213">
      <c r="A213" t="inlineStr">
        <is>
          <t>No</t>
        </is>
      </c>
      <c r="B213" t="inlineStr">
        <is>
          <t>RA645.H4 W65 1993</t>
        </is>
      </c>
      <c r="C213" t="inlineStr">
        <is>
          <t>0                      RA 0645000H  4                  W  65          1993</t>
        </is>
      </c>
      <c r="D213" t="inlineStr">
        <is>
          <t>The power of clan : the influence of human relationships on heart disease / Stewart Wolf, John G. Bruhn ; with the collaboration of Brenda P. Egolf, Judith N. Lasker, Billy U. Philips ; photographs by Remsen Wolff.</t>
        </is>
      </c>
      <c r="F213" t="inlineStr">
        <is>
          <t>No</t>
        </is>
      </c>
      <c r="G213" t="inlineStr">
        <is>
          <t>1</t>
        </is>
      </c>
      <c r="H213" t="inlineStr">
        <is>
          <t>No</t>
        </is>
      </c>
      <c r="I213" t="inlineStr">
        <is>
          <t>No</t>
        </is>
      </c>
      <c r="J213" t="inlineStr">
        <is>
          <t>0</t>
        </is>
      </c>
      <c r="K213" t="inlineStr">
        <is>
          <t>Wolf, Stewart, 1914-2005.</t>
        </is>
      </c>
      <c r="L213" t="inlineStr">
        <is>
          <t>New Brunswick, N.J. U.S.A.. : Transaction Publishers, 1993.</t>
        </is>
      </c>
      <c r="M213" t="inlineStr">
        <is>
          <t>1993</t>
        </is>
      </c>
      <c r="O213" t="inlineStr">
        <is>
          <t>eng</t>
        </is>
      </c>
      <c r="P213" t="inlineStr">
        <is>
          <t>nju</t>
        </is>
      </c>
      <c r="R213" t="inlineStr">
        <is>
          <t xml:space="preserve">RA </t>
        </is>
      </c>
      <c r="S213" t="n">
        <v>15</v>
      </c>
      <c r="T213" t="n">
        <v>15</v>
      </c>
      <c r="U213" t="inlineStr">
        <is>
          <t>1996-11-11</t>
        </is>
      </c>
      <c r="V213" t="inlineStr">
        <is>
          <t>1996-11-11</t>
        </is>
      </c>
      <c r="W213" t="inlineStr">
        <is>
          <t>1992-10-27</t>
        </is>
      </c>
      <c r="X213" t="inlineStr">
        <is>
          <t>1992-10-27</t>
        </is>
      </c>
      <c r="Y213" t="n">
        <v>240</v>
      </c>
      <c r="Z213" t="n">
        <v>208</v>
      </c>
      <c r="AA213" t="n">
        <v>228</v>
      </c>
      <c r="AB213" t="n">
        <v>1</v>
      </c>
      <c r="AC213" t="n">
        <v>1</v>
      </c>
      <c r="AD213" t="n">
        <v>9</v>
      </c>
      <c r="AE213" t="n">
        <v>9</v>
      </c>
      <c r="AF213" t="n">
        <v>4</v>
      </c>
      <c r="AG213" t="n">
        <v>4</v>
      </c>
      <c r="AH213" t="n">
        <v>2</v>
      </c>
      <c r="AI213" t="n">
        <v>2</v>
      </c>
      <c r="AJ213" t="n">
        <v>7</v>
      </c>
      <c r="AK213" t="n">
        <v>7</v>
      </c>
      <c r="AL213" t="n">
        <v>0</v>
      </c>
      <c r="AM213" t="n">
        <v>0</v>
      </c>
      <c r="AN213" t="n">
        <v>0</v>
      </c>
      <c r="AO213" t="n">
        <v>0</v>
      </c>
      <c r="AP213" t="inlineStr">
        <is>
          <t>No</t>
        </is>
      </c>
      <c r="AQ213" t="inlineStr">
        <is>
          <t>No</t>
        </is>
      </c>
      <c r="AS213">
        <f>HYPERLINK("https://creighton-primo.hosted.exlibrisgroup.com/primo-explore/search?tab=default_tab&amp;search_scope=EVERYTHING&amp;vid=01CRU&amp;lang=en_US&amp;offset=0&amp;query=any,contains,991001963139702656","Catalog Record")</f>
        <v/>
      </c>
      <c r="AT213">
        <f>HYPERLINK("http://www.worldcat.org/oclc/24871600","WorldCat Record")</f>
        <v/>
      </c>
      <c r="AU213" t="inlineStr">
        <is>
          <t>26918340:eng</t>
        </is>
      </c>
      <c r="AV213" t="inlineStr">
        <is>
          <t>24871600</t>
        </is>
      </c>
      <c r="AW213" t="inlineStr">
        <is>
          <t>991001963139702656</t>
        </is>
      </c>
      <c r="AX213" t="inlineStr">
        <is>
          <t>991001963139702656</t>
        </is>
      </c>
      <c r="AY213" t="inlineStr">
        <is>
          <t>2262699280002656</t>
        </is>
      </c>
      <c r="AZ213" t="inlineStr">
        <is>
          <t>BOOK</t>
        </is>
      </c>
      <c r="BB213" t="inlineStr">
        <is>
          <t>9781560000433</t>
        </is>
      </c>
      <c r="BC213" t="inlineStr">
        <is>
          <t>32285001319713</t>
        </is>
      </c>
      <c r="BD213" t="inlineStr">
        <is>
          <t>893773066</t>
        </is>
      </c>
    </row>
    <row r="214">
      <c r="A214" t="inlineStr">
        <is>
          <t>No</t>
        </is>
      </c>
      <c r="B214" t="inlineStr">
        <is>
          <t>RA645.N87 M35</t>
        </is>
      </c>
      <c r="C214" t="inlineStr">
        <is>
          <t>0                      RA 0645000N  87                 M  35</t>
        </is>
      </c>
      <c r="D214" t="inlineStr">
        <is>
          <t>Malnutrition, behavior, and social organization / edited by Lawrence S. Greene.</t>
        </is>
      </c>
      <c r="F214" t="inlineStr">
        <is>
          <t>No</t>
        </is>
      </c>
      <c r="G214" t="inlineStr">
        <is>
          <t>1</t>
        </is>
      </c>
      <c r="H214" t="inlineStr">
        <is>
          <t>No</t>
        </is>
      </c>
      <c r="I214" t="inlineStr">
        <is>
          <t>No</t>
        </is>
      </c>
      <c r="J214" t="inlineStr">
        <is>
          <t>0</t>
        </is>
      </c>
      <c r="L214" t="inlineStr">
        <is>
          <t>New York : Academic Press, 1977.</t>
        </is>
      </c>
      <c r="M214" t="inlineStr">
        <is>
          <t>1977</t>
        </is>
      </c>
      <c r="O214" t="inlineStr">
        <is>
          <t>eng</t>
        </is>
      </c>
      <c r="P214" t="inlineStr">
        <is>
          <t>nyu</t>
        </is>
      </c>
      <c r="R214" t="inlineStr">
        <is>
          <t xml:space="preserve">RA </t>
        </is>
      </c>
      <c r="S214" t="n">
        <v>4</v>
      </c>
      <c r="T214" t="n">
        <v>4</v>
      </c>
      <c r="U214" t="inlineStr">
        <is>
          <t>2002-04-06</t>
        </is>
      </c>
      <c r="V214" t="inlineStr">
        <is>
          <t>2002-04-06</t>
        </is>
      </c>
      <c r="W214" t="inlineStr">
        <is>
          <t>1997-08-08</t>
        </is>
      </c>
      <c r="X214" t="inlineStr">
        <is>
          <t>1997-08-08</t>
        </is>
      </c>
      <c r="Y214" t="n">
        <v>563</v>
      </c>
      <c r="Z214" t="n">
        <v>430</v>
      </c>
      <c r="AA214" t="n">
        <v>436</v>
      </c>
      <c r="AB214" t="n">
        <v>3</v>
      </c>
      <c r="AC214" t="n">
        <v>3</v>
      </c>
      <c r="AD214" t="n">
        <v>19</v>
      </c>
      <c r="AE214" t="n">
        <v>19</v>
      </c>
      <c r="AF214" t="n">
        <v>8</v>
      </c>
      <c r="AG214" t="n">
        <v>8</v>
      </c>
      <c r="AH214" t="n">
        <v>4</v>
      </c>
      <c r="AI214" t="n">
        <v>4</v>
      </c>
      <c r="AJ214" t="n">
        <v>10</v>
      </c>
      <c r="AK214" t="n">
        <v>10</v>
      </c>
      <c r="AL214" t="n">
        <v>2</v>
      </c>
      <c r="AM214" t="n">
        <v>2</v>
      </c>
      <c r="AN214" t="n">
        <v>0</v>
      </c>
      <c r="AO214" t="n">
        <v>0</v>
      </c>
      <c r="AP214" t="inlineStr">
        <is>
          <t>No</t>
        </is>
      </c>
      <c r="AQ214" t="inlineStr">
        <is>
          <t>Yes</t>
        </is>
      </c>
      <c r="AR214">
        <f>HYPERLINK("http://catalog.hathitrust.org/Record/000292460","HathiTrust Record")</f>
        <v/>
      </c>
      <c r="AS214">
        <f>HYPERLINK("https://creighton-primo.hosted.exlibrisgroup.com/primo-explore/search?tab=default_tab&amp;search_scope=EVERYTHING&amp;vid=01CRU&amp;lang=en_US&amp;offset=0&amp;query=any,contains,991004351569702656","Catalog Record")</f>
        <v/>
      </c>
      <c r="AT214">
        <f>HYPERLINK("http://www.worldcat.org/oclc/3120837","WorldCat Record")</f>
        <v/>
      </c>
      <c r="AU214" t="inlineStr">
        <is>
          <t>54176410:eng</t>
        </is>
      </c>
      <c r="AV214" t="inlineStr">
        <is>
          <t>3120837</t>
        </is>
      </c>
      <c r="AW214" t="inlineStr">
        <is>
          <t>991004351569702656</t>
        </is>
      </c>
      <c r="AX214" t="inlineStr">
        <is>
          <t>991004351569702656</t>
        </is>
      </c>
      <c r="AY214" t="inlineStr">
        <is>
          <t>2263852020002656</t>
        </is>
      </c>
      <c r="AZ214" t="inlineStr">
        <is>
          <t>BOOK</t>
        </is>
      </c>
      <c r="BB214" t="inlineStr">
        <is>
          <t>9780122980503</t>
        </is>
      </c>
      <c r="BC214" t="inlineStr">
        <is>
          <t>32285003083655</t>
        </is>
      </c>
      <c r="BD214" t="inlineStr">
        <is>
          <t>893325263</t>
        </is>
      </c>
    </row>
    <row r="215">
      <c r="A215" t="inlineStr">
        <is>
          <t>No</t>
        </is>
      </c>
      <c r="B215" t="inlineStr">
        <is>
          <t>RA648.3 .S38 1995</t>
        </is>
      </c>
      <c r="C215" t="inlineStr">
        <is>
          <t>0                      RA 0648300S  38          1995</t>
        </is>
      </c>
      <c r="D215" t="inlineStr">
        <is>
          <t>Effects of atomic radiation : a half-century of studies from Hiroshima and Nagasaki / William J. Schull.</t>
        </is>
      </c>
      <c r="F215" t="inlineStr">
        <is>
          <t>No</t>
        </is>
      </c>
      <c r="G215" t="inlineStr">
        <is>
          <t>1</t>
        </is>
      </c>
      <c r="H215" t="inlineStr">
        <is>
          <t>No</t>
        </is>
      </c>
      <c r="I215" t="inlineStr">
        <is>
          <t>No</t>
        </is>
      </c>
      <c r="J215" t="inlineStr">
        <is>
          <t>0</t>
        </is>
      </c>
      <c r="K215" t="inlineStr">
        <is>
          <t>Schull, William J.</t>
        </is>
      </c>
      <c r="L215" t="inlineStr">
        <is>
          <t>New York : Wiley-Liss, c1995.</t>
        </is>
      </c>
      <c r="M215" t="inlineStr">
        <is>
          <t>1995</t>
        </is>
      </c>
      <c r="O215" t="inlineStr">
        <is>
          <t>eng</t>
        </is>
      </c>
      <c r="P215" t="inlineStr">
        <is>
          <t>nyu</t>
        </is>
      </c>
      <c r="R215" t="inlineStr">
        <is>
          <t xml:space="preserve">RA </t>
        </is>
      </c>
      <c r="S215" t="n">
        <v>7</v>
      </c>
      <c r="T215" t="n">
        <v>7</v>
      </c>
      <c r="U215" t="inlineStr">
        <is>
          <t>1997-10-11</t>
        </is>
      </c>
      <c r="V215" t="inlineStr">
        <is>
          <t>1997-10-11</t>
        </is>
      </c>
      <c r="W215" t="inlineStr">
        <is>
          <t>1996-04-10</t>
        </is>
      </c>
      <c r="X215" t="inlineStr">
        <is>
          <t>1996-04-10</t>
        </is>
      </c>
      <c r="Y215" t="n">
        <v>469</v>
      </c>
      <c r="Z215" t="n">
        <v>376</v>
      </c>
      <c r="AA215" t="n">
        <v>381</v>
      </c>
      <c r="AB215" t="n">
        <v>3</v>
      </c>
      <c r="AC215" t="n">
        <v>3</v>
      </c>
      <c r="AD215" t="n">
        <v>12</v>
      </c>
      <c r="AE215" t="n">
        <v>12</v>
      </c>
      <c r="AF215" t="n">
        <v>4</v>
      </c>
      <c r="AG215" t="n">
        <v>4</v>
      </c>
      <c r="AH215" t="n">
        <v>2</v>
      </c>
      <c r="AI215" t="n">
        <v>2</v>
      </c>
      <c r="AJ215" t="n">
        <v>7</v>
      </c>
      <c r="AK215" t="n">
        <v>7</v>
      </c>
      <c r="AL215" t="n">
        <v>2</v>
      </c>
      <c r="AM215" t="n">
        <v>2</v>
      </c>
      <c r="AN215" t="n">
        <v>0</v>
      </c>
      <c r="AO215" t="n">
        <v>0</v>
      </c>
      <c r="AP215" t="inlineStr">
        <is>
          <t>No</t>
        </is>
      </c>
      <c r="AQ215" t="inlineStr">
        <is>
          <t>No</t>
        </is>
      </c>
      <c r="AS215">
        <f>HYPERLINK("https://creighton-primo.hosted.exlibrisgroup.com/primo-explore/search?tab=default_tab&amp;search_scope=EVERYTHING&amp;vid=01CRU&amp;lang=en_US&amp;offset=0&amp;query=any,contains,991002492999702656","Catalog Record")</f>
        <v/>
      </c>
      <c r="AT215">
        <f>HYPERLINK("http://www.worldcat.org/oclc/32431851","WorldCat Record")</f>
        <v/>
      </c>
      <c r="AU215" t="inlineStr">
        <is>
          <t>328234046:eng</t>
        </is>
      </c>
      <c r="AV215" t="inlineStr">
        <is>
          <t>32431851</t>
        </is>
      </c>
      <c r="AW215" t="inlineStr">
        <is>
          <t>991002492999702656</t>
        </is>
      </c>
      <c r="AX215" t="inlineStr">
        <is>
          <t>991002492999702656</t>
        </is>
      </c>
      <c r="AY215" t="inlineStr">
        <is>
          <t>2256983540002656</t>
        </is>
      </c>
      <c r="AZ215" t="inlineStr">
        <is>
          <t>BOOK</t>
        </is>
      </c>
      <c r="BB215" t="inlineStr">
        <is>
          <t>9780471125242</t>
        </is>
      </c>
      <c r="BC215" t="inlineStr">
        <is>
          <t>32285002151214</t>
        </is>
      </c>
      <c r="BD215" t="inlineStr">
        <is>
          <t>893535034</t>
        </is>
      </c>
    </row>
    <row r="216">
      <c r="A216" t="inlineStr">
        <is>
          <t>No</t>
        </is>
      </c>
      <c r="B216" t="inlineStr">
        <is>
          <t>RA649.5.P48 A3 1997</t>
        </is>
      </c>
      <c r="C216" t="inlineStr">
        <is>
          <t>0                      RA 0649500P  48                 A  3           1997</t>
        </is>
      </c>
      <c r="D216" t="inlineStr">
        <is>
          <t>Virus hunter : thirty years of battling hot viruses around the world / C.J. Peters and Mark Olshaker.</t>
        </is>
      </c>
      <c r="F216" t="inlineStr">
        <is>
          <t>No</t>
        </is>
      </c>
      <c r="G216" t="inlineStr">
        <is>
          <t>1</t>
        </is>
      </c>
      <c r="H216" t="inlineStr">
        <is>
          <t>No</t>
        </is>
      </c>
      <c r="I216" t="inlineStr">
        <is>
          <t>No</t>
        </is>
      </c>
      <c r="J216" t="inlineStr">
        <is>
          <t>0</t>
        </is>
      </c>
      <c r="K216" t="inlineStr">
        <is>
          <t>Peters, C. J.</t>
        </is>
      </c>
      <c r="L216" t="inlineStr">
        <is>
          <t>New York : Anchor Books, 1997.</t>
        </is>
      </c>
      <c r="M216" t="inlineStr">
        <is>
          <t>1997</t>
        </is>
      </c>
      <c r="N216" t="inlineStr">
        <is>
          <t>1st Anchor Books ed.</t>
        </is>
      </c>
      <c r="O216" t="inlineStr">
        <is>
          <t>eng</t>
        </is>
      </c>
      <c r="P216" t="inlineStr">
        <is>
          <t>nyu</t>
        </is>
      </c>
      <c r="R216" t="inlineStr">
        <is>
          <t xml:space="preserve">RA </t>
        </is>
      </c>
      <c r="S216" t="n">
        <v>7</v>
      </c>
      <c r="T216" t="n">
        <v>7</v>
      </c>
      <c r="U216" t="inlineStr">
        <is>
          <t>2000-02-09</t>
        </is>
      </c>
      <c r="V216" t="inlineStr">
        <is>
          <t>2000-02-09</t>
        </is>
      </c>
      <c r="W216" t="inlineStr">
        <is>
          <t>1997-07-18</t>
        </is>
      </c>
      <c r="X216" t="inlineStr">
        <is>
          <t>1997-07-18</t>
        </is>
      </c>
      <c r="Y216" t="n">
        <v>1009</v>
      </c>
      <c r="Z216" t="n">
        <v>937</v>
      </c>
      <c r="AA216" t="n">
        <v>980</v>
      </c>
      <c r="AB216" t="n">
        <v>5</v>
      </c>
      <c r="AC216" t="n">
        <v>6</v>
      </c>
      <c r="AD216" t="n">
        <v>14</v>
      </c>
      <c r="AE216" t="n">
        <v>15</v>
      </c>
      <c r="AF216" t="n">
        <v>3</v>
      </c>
      <c r="AG216" t="n">
        <v>3</v>
      </c>
      <c r="AH216" t="n">
        <v>2</v>
      </c>
      <c r="AI216" t="n">
        <v>2</v>
      </c>
      <c r="AJ216" t="n">
        <v>7</v>
      </c>
      <c r="AK216" t="n">
        <v>7</v>
      </c>
      <c r="AL216" t="n">
        <v>3</v>
      </c>
      <c r="AM216" t="n">
        <v>4</v>
      </c>
      <c r="AN216" t="n">
        <v>0</v>
      </c>
      <c r="AO216" t="n">
        <v>0</v>
      </c>
      <c r="AP216" t="inlineStr">
        <is>
          <t>No</t>
        </is>
      </c>
      <c r="AQ216" t="inlineStr">
        <is>
          <t>No</t>
        </is>
      </c>
      <c r="AS216">
        <f>HYPERLINK("https://creighton-primo.hosted.exlibrisgroup.com/primo-explore/search?tab=default_tab&amp;search_scope=EVERYTHING&amp;vid=01CRU&amp;lang=en_US&amp;offset=0&amp;query=any,contains,991002758479702656","Catalog Record")</f>
        <v/>
      </c>
      <c r="AT216">
        <f>HYPERLINK("http://www.worldcat.org/oclc/36178973","WorldCat Record")</f>
        <v/>
      </c>
      <c r="AU216" t="inlineStr">
        <is>
          <t>535851:eng</t>
        </is>
      </c>
      <c r="AV216" t="inlineStr">
        <is>
          <t>36178973</t>
        </is>
      </c>
      <c r="AW216" t="inlineStr">
        <is>
          <t>991002758479702656</t>
        </is>
      </c>
      <c r="AX216" t="inlineStr">
        <is>
          <t>991002758479702656</t>
        </is>
      </c>
      <c r="AY216" t="inlineStr">
        <is>
          <t>2263031610002656</t>
        </is>
      </c>
      <c r="AZ216" t="inlineStr">
        <is>
          <t>BOOK</t>
        </is>
      </c>
      <c r="BB216" t="inlineStr">
        <is>
          <t>9780385485579</t>
        </is>
      </c>
      <c r="BC216" t="inlineStr">
        <is>
          <t>32285002883154</t>
        </is>
      </c>
      <c r="BD216" t="inlineStr">
        <is>
          <t>893535178</t>
        </is>
      </c>
    </row>
    <row r="217">
      <c r="A217" t="inlineStr">
        <is>
          <t>No</t>
        </is>
      </c>
      <c r="B217" t="inlineStr">
        <is>
          <t>RA650.5 .L83 1984</t>
        </is>
      </c>
      <c r="C217" t="inlineStr">
        <is>
          <t>0                      RA 0650500L  83          1984</t>
        </is>
      </c>
      <c r="D217" t="inlineStr">
        <is>
          <t>Epidemic in the Southwest, 1918-1919 / by Bradford Luckingham.</t>
        </is>
      </c>
      <c r="F217" t="inlineStr">
        <is>
          <t>No</t>
        </is>
      </c>
      <c r="G217" t="inlineStr">
        <is>
          <t>1</t>
        </is>
      </c>
      <c r="H217" t="inlineStr">
        <is>
          <t>No</t>
        </is>
      </c>
      <c r="I217" t="inlineStr">
        <is>
          <t>No</t>
        </is>
      </c>
      <c r="J217" t="inlineStr">
        <is>
          <t>0</t>
        </is>
      </c>
      <c r="K217" t="inlineStr">
        <is>
          <t>Luckingham, Bradford.</t>
        </is>
      </c>
      <c r="L217" t="inlineStr">
        <is>
          <t>[El Paso] : Texas Western Press, c1984.</t>
        </is>
      </c>
      <c r="M217" t="inlineStr">
        <is>
          <t>1984</t>
        </is>
      </c>
      <c r="O217" t="inlineStr">
        <is>
          <t>eng</t>
        </is>
      </c>
      <c r="P217" t="inlineStr">
        <is>
          <t>txu</t>
        </is>
      </c>
      <c r="Q217" t="inlineStr">
        <is>
          <t>Southwestern studies ; monograph no. 72</t>
        </is>
      </c>
      <c r="R217" t="inlineStr">
        <is>
          <t xml:space="preserve">RA </t>
        </is>
      </c>
      <c r="S217" t="n">
        <v>6</v>
      </c>
      <c r="T217" t="n">
        <v>6</v>
      </c>
      <c r="U217" t="inlineStr">
        <is>
          <t>2000-05-05</t>
        </is>
      </c>
      <c r="V217" t="inlineStr">
        <is>
          <t>2000-05-05</t>
        </is>
      </c>
      <c r="W217" t="inlineStr">
        <is>
          <t>1993-03-11</t>
        </is>
      </c>
      <c r="X217" t="inlineStr">
        <is>
          <t>1993-03-11</t>
        </is>
      </c>
      <c r="Y217" t="n">
        <v>157</v>
      </c>
      <c r="Z217" t="n">
        <v>148</v>
      </c>
      <c r="AA217" t="n">
        <v>150</v>
      </c>
      <c r="AB217" t="n">
        <v>2</v>
      </c>
      <c r="AC217" t="n">
        <v>2</v>
      </c>
      <c r="AD217" t="n">
        <v>2</v>
      </c>
      <c r="AE217" t="n">
        <v>2</v>
      </c>
      <c r="AF217" t="n">
        <v>0</v>
      </c>
      <c r="AG217" t="n">
        <v>0</v>
      </c>
      <c r="AH217" t="n">
        <v>1</v>
      </c>
      <c r="AI217" t="n">
        <v>1</v>
      </c>
      <c r="AJ217" t="n">
        <v>1</v>
      </c>
      <c r="AK217" t="n">
        <v>1</v>
      </c>
      <c r="AL217" t="n">
        <v>1</v>
      </c>
      <c r="AM217" t="n">
        <v>1</v>
      </c>
      <c r="AN217" t="n">
        <v>0</v>
      </c>
      <c r="AO217" t="n">
        <v>0</v>
      </c>
      <c r="AP217" t="inlineStr">
        <is>
          <t>No</t>
        </is>
      </c>
      <c r="AQ217" t="inlineStr">
        <is>
          <t>Yes</t>
        </is>
      </c>
      <c r="AR217">
        <f>HYPERLINK("http://catalog.hathitrust.org/Record/000583354","HathiTrust Record")</f>
        <v/>
      </c>
      <c r="AS217">
        <f>HYPERLINK("https://creighton-primo.hosted.exlibrisgroup.com/primo-explore/search?tab=default_tab&amp;search_scope=EVERYTHING&amp;vid=01CRU&amp;lang=en_US&amp;offset=0&amp;query=any,contains,991005403969702656","Catalog Record")</f>
        <v/>
      </c>
      <c r="AT217">
        <f>HYPERLINK("http://www.worldcat.org/oclc/10588828","WorldCat Record")</f>
        <v/>
      </c>
      <c r="AU217" t="inlineStr">
        <is>
          <t>3349533:eng</t>
        </is>
      </c>
      <c r="AV217" t="inlineStr">
        <is>
          <t>10588828</t>
        </is>
      </c>
      <c r="AW217" t="inlineStr">
        <is>
          <t>991005403969702656</t>
        </is>
      </c>
      <c r="AX217" t="inlineStr">
        <is>
          <t>991005403969702656</t>
        </is>
      </c>
      <c r="AY217" t="inlineStr">
        <is>
          <t>2260810510002656</t>
        </is>
      </c>
      <c r="AZ217" t="inlineStr">
        <is>
          <t>BOOK</t>
        </is>
      </c>
      <c r="BB217" t="inlineStr">
        <is>
          <t>9780874041484</t>
        </is>
      </c>
      <c r="BC217" t="inlineStr">
        <is>
          <t>32285001587467</t>
        </is>
      </c>
      <c r="BD217" t="inlineStr">
        <is>
          <t>893332908</t>
        </is>
      </c>
    </row>
    <row r="218">
      <c r="A218" t="inlineStr">
        <is>
          <t>No</t>
        </is>
      </c>
      <c r="B218" t="inlineStr">
        <is>
          <t>RA650.8.T8 G34 1983</t>
        </is>
      </c>
      <c r="C218" t="inlineStr">
        <is>
          <t>0                      RA 0650800T  8                  G  34          1983</t>
        </is>
      </c>
      <c r="D218" t="inlineStr">
        <is>
          <t>Medicine and power in Tunisia, 1780-1900 / Nancy Elizabeth Gallagher.</t>
        </is>
      </c>
      <c r="F218" t="inlineStr">
        <is>
          <t>No</t>
        </is>
      </c>
      <c r="G218" t="inlineStr">
        <is>
          <t>1</t>
        </is>
      </c>
      <c r="H218" t="inlineStr">
        <is>
          <t>No</t>
        </is>
      </c>
      <c r="I218" t="inlineStr">
        <is>
          <t>No</t>
        </is>
      </c>
      <c r="J218" t="inlineStr">
        <is>
          <t>0</t>
        </is>
      </c>
      <c r="K218" t="inlineStr">
        <is>
          <t>Gallagher, Nancy Elizabeth, 1942-</t>
        </is>
      </c>
      <c r="L218" t="inlineStr">
        <is>
          <t>Cambridge ; New York : Cambridge University Press, 1983.</t>
        </is>
      </c>
      <c r="M218" t="inlineStr">
        <is>
          <t>1984</t>
        </is>
      </c>
      <c r="O218" t="inlineStr">
        <is>
          <t>eng</t>
        </is>
      </c>
      <c r="P218" t="inlineStr">
        <is>
          <t>enk</t>
        </is>
      </c>
      <c r="Q218" t="inlineStr">
        <is>
          <t>Cambridge Middle Eastern studies</t>
        </is>
      </c>
      <c r="R218" t="inlineStr">
        <is>
          <t xml:space="preserve">RA </t>
        </is>
      </c>
      <c r="S218" t="n">
        <v>1</v>
      </c>
      <c r="T218" t="n">
        <v>1</v>
      </c>
      <c r="U218" t="inlineStr">
        <is>
          <t>1998-05-05</t>
        </is>
      </c>
      <c r="V218" t="inlineStr">
        <is>
          <t>1998-05-05</t>
        </is>
      </c>
      <c r="W218" t="inlineStr">
        <is>
          <t>1993-03-11</t>
        </is>
      </c>
      <c r="X218" t="inlineStr">
        <is>
          <t>1993-03-11</t>
        </is>
      </c>
      <c r="Y218" t="n">
        <v>270</v>
      </c>
      <c r="Z218" t="n">
        <v>181</v>
      </c>
      <c r="AA218" t="n">
        <v>208</v>
      </c>
      <c r="AB218" t="n">
        <v>1</v>
      </c>
      <c r="AC218" t="n">
        <v>1</v>
      </c>
      <c r="AD218" t="n">
        <v>6</v>
      </c>
      <c r="AE218" t="n">
        <v>7</v>
      </c>
      <c r="AF218" t="n">
        <v>0</v>
      </c>
      <c r="AG218" t="n">
        <v>0</v>
      </c>
      <c r="AH218" t="n">
        <v>2</v>
      </c>
      <c r="AI218" t="n">
        <v>3</v>
      </c>
      <c r="AJ218" t="n">
        <v>5</v>
      </c>
      <c r="AK218" t="n">
        <v>5</v>
      </c>
      <c r="AL218" t="n">
        <v>0</v>
      </c>
      <c r="AM218" t="n">
        <v>0</v>
      </c>
      <c r="AN218" t="n">
        <v>0</v>
      </c>
      <c r="AO218" t="n">
        <v>0</v>
      </c>
      <c r="AP218" t="inlineStr">
        <is>
          <t>No</t>
        </is>
      </c>
      <c r="AQ218" t="inlineStr">
        <is>
          <t>Yes</t>
        </is>
      </c>
      <c r="AR218">
        <f>HYPERLINK("http://catalog.hathitrust.org/Record/000201826","HathiTrust Record")</f>
        <v/>
      </c>
      <c r="AS218">
        <f>HYPERLINK("https://creighton-primo.hosted.exlibrisgroup.com/primo-explore/search?tab=default_tab&amp;search_scope=EVERYTHING&amp;vid=01CRU&amp;lang=en_US&amp;offset=0&amp;query=any,contains,991000117149702656","Catalog Record")</f>
        <v/>
      </c>
      <c r="AT218">
        <f>HYPERLINK("http://www.worldcat.org/oclc/9043296","WorldCat Record")</f>
        <v/>
      </c>
      <c r="AU218" t="inlineStr">
        <is>
          <t>42836505:eng</t>
        </is>
      </c>
      <c r="AV218" t="inlineStr">
        <is>
          <t>9043296</t>
        </is>
      </c>
      <c r="AW218" t="inlineStr">
        <is>
          <t>991000117149702656</t>
        </is>
      </c>
      <c r="AX218" t="inlineStr">
        <is>
          <t>991000117149702656</t>
        </is>
      </c>
      <c r="AY218" t="inlineStr">
        <is>
          <t>2266651050002656</t>
        </is>
      </c>
      <c r="AZ218" t="inlineStr">
        <is>
          <t>BOOK</t>
        </is>
      </c>
      <c r="BB218" t="inlineStr">
        <is>
          <t>9780521251242</t>
        </is>
      </c>
      <c r="BC218" t="inlineStr">
        <is>
          <t>32285001587483</t>
        </is>
      </c>
      <c r="BD218" t="inlineStr">
        <is>
          <t>893495928</t>
        </is>
      </c>
    </row>
    <row r="219">
      <c r="A219" t="inlineStr">
        <is>
          <t>No</t>
        </is>
      </c>
      <c r="B219" t="inlineStr">
        <is>
          <t>RA651 .B53</t>
        </is>
      </c>
      <c r="C219" t="inlineStr">
        <is>
          <t>0                      RA 0651000B  53</t>
        </is>
      </c>
      <c r="D219" t="inlineStr">
        <is>
          <t>Biocultural aspects of disease / edited by Henry Rothschild ; coordinating editor Charles F. Chapman.</t>
        </is>
      </c>
      <c r="F219" t="inlineStr">
        <is>
          <t>No</t>
        </is>
      </c>
      <c r="G219" t="inlineStr">
        <is>
          <t>1</t>
        </is>
      </c>
      <c r="H219" t="inlineStr">
        <is>
          <t>No</t>
        </is>
      </c>
      <c r="I219" t="inlineStr">
        <is>
          <t>No</t>
        </is>
      </c>
      <c r="J219" t="inlineStr">
        <is>
          <t>0</t>
        </is>
      </c>
      <c r="L219" t="inlineStr">
        <is>
          <t>New York : Academic Press, 1981.</t>
        </is>
      </c>
      <c r="M219" t="inlineStr">
        <is>
          <t>1981</t>
        </is>
      </c>
      <c r="O219" t="inlineStr">
        <is>
          <t>eng</t>
        </is>
      </c>
      <c r="P219" t="inlineStr">
        <is>
          <t>nyu</t>
        </is>
      </c>
      <c r="R219" t="inlineStr">
        <is>
          <t xml:space="preserve">RA </t>
        </is>
      </c>
      <c r="S219" t="n">
        <v>11</v>
      </c>
      <c r="T219" t="n">
        <v>11</v>
      </c>
      <c r="U219" t="inlineStr">
        <is>
          <t>2001-03-12</t>
        </is>
      </c>
      <c r="V219" t="inlineStr">
        <is>
          <t>2001-03-12</t>
        </is>
      </c>
      <c r="W219" t="inlineStr">
        <is>
          <t>1993-03-11</t>
        </is>
      </c>
      <c r="X219" t="inlineStr">
        <is>
          <t>1993-03-11</t>
        </is>
      </c>
      <c r="Y219" t="n">
        <v>514</v>
      </c>
      <c r="Z219" t="n">
        <v>430</v>
      </c>
      <c r="AA219" t="n">
        <v>432</v>
      </c>
      <c r="AB219" t="n">
        <v>4</v>
      </c>
      <c r="AC219" t="n">
        <v>4</v>
      </c>
      <c r="AD219" t="n">
        <v>15</v>
      </c>
      <c r="AE219" t="n">
        <v>15</v>
      </c>
      <c r="AF219" t="n">
        <v>5</v>
      </c>
      <c r="AG219" t="n">
        <v>5</v>
      </c>
      <c r="AH219" t="n">
        <v>4</v>
      </c>
      <c r="AI219" t="n">
        <v>4</v>
      </c>
      <c r="AJ219" t="n">
        <v>8</v>
      </c>
      <c r="AK219" t="n">
        <v>8</v>
      </c>
      <c r="AL219" t="n">
        <v>2</v>
      </c>
      <c r="AM219" t="n">
        <v>2</v>
      </c>
      <c r="AN219" t="n">
        <v>0</v>
      </c>
      <c r="AO219" t="n">
        <v>0</v>
      </c>
      <c r="AP219" t="inlineStr">
        <is>
          <t>No</t>
        </is>
      </c>
      <c r="AQ219" t="inlineStr">
        <is>
          <t>Yes</t>
        </is>
      </c>
      <c r="AR219">
        <f>HYPERLINK("http://catalog.hathitrust.org/Record/000307142","HathiTrust Record")</f>
        <v/>
      </c>
      <c r="AS219">
        <f>HYPERLINK("https://creighton-primo.hosted.exlibrisgroup.com/primo-explore/search?tab=default_tab&amp;search_scope=EVERYTHING&amp;vid=01CRU&amp;lang=en_US&amp;offset=0&amp;query=any,contains,991005153989702656","Catalog Record")</f>
        <v/>
      </c>
      <c r="AT219">
        <f>HYPERLINK("http://www.worldcat.org/oclc/7737536","WorldCat Record")</f>
        <v/>
      </c>
      <c r="AU219" t="inlineStr">
        <is>
          <t>195356770:eng</t>
        </is>
      </c>
      <c r="AV219" t="inlineStr">
        <is>
          <t>7737536</t>
        </is>
      </c>
      <c r="AW219" t="inlineStr">
        <is>
          <t>991005153989702656</t>
        </is>
      </c>
      <c r="AX219" t="inlineStr">
        <is>
          <t>991005153989702656</t>
        </is>
      </c>
      <c r="AY219" t="inlineStr">
        <is>
          <t>2259598650002656</t>
        </is>
      </c>
      <c r="AZ219" t="inlineStr">
        <is>
          <t>BOOK</t>
        </is>
      </c>
      <c r="BB219" t="inlineStr">
        <is>
          <t>9780125987202</t>
        </is>
      </c>
      <c r="BC219" t="inlineStr">
        <is>
          <t>32285001587491</t>
        </is>
      </c>
      <c r="BD219" t="inlineStr">
        <is>
          <t>893520525</t>
        </is>
      </c>
    </row>
    <row r="220">
      <c r="A220" t="inlineStr">
        <is>
          <t>No</t>
        </is>
      </c>
      <c r="B220" t="inlineStr">
        <is>
          <t>RA651 .C32 1988</t>
        </is>
      </c>
      <c r="C220" t="inlineStr">
        <is>
          <t>0                      RA 0651000C  32          1988</t>
        </is>
      </c>
      <c r="D220" t="inlineStr">
        <is>
          <t>The Challenge of epidemiology : issues and selected readings / discussed and compiled by Carol Buck ... [et al.].</t>
        </is>
      </c>
      <c r="F220" t="inlineStr">
        <is>
          <t>No</t>
        </is>
      </c>
      <c r="G220" t="inlineStr">
        <is>
          <t>1</t>
        </is>
      </c>
      <c r="H220" t="inlineStr">
        <is>
          <t>No</t>
        </is>
      </c>
      <c r="I220" t="inlineStr">
        <is>
          <t>No</t>
        </is>
      </c>
      <c r="J220" t="inlineStr">
        <is>
          <t>0</t>
        </is>
      </c>
      <c r="L220" t="inlineStr">
        <is>
          <t>Washington, D.C. : Pan American Health Organization, Pan American Sanitary Bureau, Regional Office of the World Health Organization, 1988.</t>
        </is>
      </c>
      <c r="M220" t="inlineStr">
        <is>
          <t>1988</t>
        </is>
      </c>
      <c r="O220" t="inlineStr">
        <is>
          <t>eng</t>
        </is>
      </c>
      <c r="P220" t="inlineStr">
        <is>
          <t>dcu</t>
        </is>
      </c>
      <c r="Q220" t="inlineStr">
        <is>
          <t>Scientific publication ; no. 505</t>
        </is>
      </c>
      <c r="R220" t="inlineStr">
        <is>
          <t xml:space="preserve">RA </t>
        </is>
      </c>
      <c r="S220" t="n">
        <v>4</v>
      </c>
      <c r="T220" t="n">
        <v>4</v>
      </c>
      <c r="U220" t="inlineStr">
        <is>
          <t>2005-11-01</t>
        </is>
      </c>
      <c r="V220" t="inlineStr">
        <is>
          <t>2005-11-01</t>
        </is>
      </c>
      <c r="W220" t="inlineStr">
        <is>
          <t>1991-10-16</t>
        </is>
      </c>
      <c r="X220" t="inlineStr">
        <is>
          <t>1991-10-16</t>
        </is>
      </c>
      <c r="Y220" t="n">
        <v>194</v>
      </c>
      <c r="Z220" t="n">
        <v>112</v>
      </c>
      <c r="AA220" t="n">
        <v>137</v>
      </c>
      <c r="AB220" t="n">
        <v>1</v>
      </c>
      <c r="AC220" t="n">
        <v>1</v>
      </c>
      <c r="AD220" t="n">
        <v>3</v>
      </c>
      <c r="AE220" t="n">
        <v>4</v>
      </c>
      <c r="AF220" t="n">
        <v>0</v>
      </c>
      <c r="AG220" t="n">
        <v>1</v>
      </c>
      <c r="AH220" t="n">
        <v>1</v>
      </c>
      <c r="AI220" t="n">
        <v>2</v>
      </c>
      <c r="AJ220" t="n">
        <v>2</v>
      </c>
      <c r="AK220" t="n">
        <v>2</v>
      </c>
      <c r="AL220" t="n">
        <v>0</v>
      </c>
      <c r="AM220" t="n">
        <v>0</v>
      </c>
      <c r="AN220" t="n">
        <v>0</v>
      </c>
      <c r="AO220" t="n">
        <v>0</v>
      </c>
      <c r="AP220" t="inlineStr">
        <is>
          <t>No</t>
        </is>
      </c>
      <c r="AQ220" t="inlineStr">
        <is>
          <t>No</t>
        </is>
      </c>
      <c r="AS220">
        <f>HYPERLINK("https://creighton-primo.hosted.exlibrisgroup.com/primo-explore/search?tab=default_tab&amp;search_scope=EVERYTHING&amp;vid=01CRU&amp;lang=en_US&amp;offset=0&amp;query=any,contains,991001304329702656","Catalog Record")</f>
        <v/>
      </c>
      <c r="AT220">
        <f>HYPERLINK("http://www.worldcat.org/oclc/18104546","WorldCat Record")</f>
        <v/>
      </c>
      <c r="AU220" t="inlineStr">
        <is>
          <t>281199002:eng</t>
        </is>
      </c>
      <c r="AV220" t="inlineStr">
        <is>
          <t>18104546</t>
        </is>
      </c>
      <c r="AW220" t="inlineStr">
        <is>
          <t>991001304329702656</t>
        </is>
      </c>
      <c r="AX220" t="inlineStr">
        <is>
          <t>991001304329702656</t>
        </is>
      </c>
      <c r="AY220" t="inlineStr">
        <is>
          <t>2259030800002656</t>
        </is>
      </c>
      <c r="AZ220" t="inlineStr">
        <is>
          <t>BOOK</t>
        </is>
      </c>
      <c r="BB220" t="inlineStr">
        <is>
          <t>9789275115053</t>
        </is>
      </c>
      <c r="BC220" t="inlineStr">
        <is>
          <t>32285005139687</t>
        </is>
      </c>
      <c r="BD220" t="inlineStr">
        <is>
          <t>893522486</t>
        </is>
      </c>
    </row>
    <row r="221">
      <c r="A221" t="inlineStr">
        <is>
          <t>No</t>
        </is>
      </c>
      <c r="B221" t="inlineStr">
        <is>
          <t>RA651 .C64 1993</t>
        </is>
      </c>
      <c r="C221" t="inlineStr">
        <is>
          <t>0                      RA 0651000C  64          1993</t>
        </is>
      </c>
      <c r="D221" t="inlineStr">
        <is>
          <t>Epidemiology for the uninitiated / D. Coggon, Geoffrey Rose, D.J.P. Barker.</t>
        </is>
      </c>
      <c r="F221" t="inlineStr">
        <is>
          <t>No</t>
        </is>
      </c>
      <c r="G221" t="inlineStr">
        <is>
          <t>1</t>
        </is>
      </c>
      <c r="H221" t="inlineStr">
        <is>
          <t>No</t>
        </is>
      </c>
      <c r="I221" t="inlineStr">
        <is>
          <t>No</t>
        </is>
      </c>
      <c r="J221" t="inlineStr">
        <is>
          <t>0</t>
        </is>
      </c>
      <c r="K221" t="inlineStr">
        <is>
          <t>Coggon, D. (David), Dr.</t>
        </is>
      </c>
      <c r="L221" t="inlineStr">
        <is>
          <t>London : British Medical Journal, 1993.</t>
        </is>
      </c>
      <c r="M221" t="inlineStr">
        <is>
          <t>1993</t>
        </is>
      </c>
      <c r="N221" t="inlineStr">
        <is>
          <t>3rd ed.</t>
        </is>
      </c>
      <c r="O221" t="inlineStr">
        <is>
          <t>eng</t>
        </is>
      </c>
      <c r="P221" t="inlineStr">
        <is>
          <t>enk</t>
        </is>
      </c>
      <c r="R221" t="inlineStr">
        <is>
          <t xml:space="preserve">RA </t>
        </is>
      </c>
      <c r="S221" t="n">
        <v>13</v>
      </c>
      <c r="T221" t="n">
        <v>13</v>
      </c>
      <c r="U221" t="inlineStr">
        <is>
          <t>2005-09-29</t>
        </is>
      </c>
      <c r="V221" t="inlineStr">
        <is>
          <t>2005-09-29</t>
        </is>
      </c>
      <c r="W221" t="inlineStr">
        <is>
          <t>1995-01-17</t>
        </is>
      </c>
      <c r="X221" t="inlineStr">
        <is>
          <t>1995-01-17</t>
        </is>
      </c>
      <c r="Y221" t="n">
        <v>59</v>
      </c>
      <c r="Z221" t="n">
        <v>15</v>
      </c>
      <c r="AA221" t="n">
        <v>205</v>
      </c>
      <c r="AB221" t="n">
        <v>1</v>
      </c>
      <c r="AC221" t="n">
        <v>2</v>
      </c>
      <c r="AD221" t="n">
        <v>0</v>
      </c>
      <c r="AE221" t="n">
        <v>8</v>
      </c>
      <c r="AF221" t="n">
        <v>0</v>
      </c>
      <c r="AG221" t="n">
        <v>2</v>
      </c>
      <c r="AH221" t="n">
        <v>0</v>
      </c>
      <c r="AI221" t="n">
        <v>2</v>
      </c>
      <c r="AJ221" t="n">
        <v>0</v>
      </c>
      <c r="AK221" t="n">
        <v>3</v>
      </c>
      <c r="AL221" t="n">
        <v>0</v>
      </c>
      <c r="AM221" t="n">
        <v>1</v>
      </c>
      <c r="AN221" t="n">
        <v>0</v>
      </c>
      <c r="AO221" t="n">
        <v>0</v>
      </c>
      <c r="AP221" t="inlineStr">
        <is>
          <t>No</t>
        </is>
      </c>
      <c r="AQ221" t="inlineStr">
        <is>
          <t>No</t>
        </is>
      </c>
      <c r="AS221">
        <f>HYPERLINK("https://creighton-primo.hosted.exlibrisgroup.com/primo-explore/search?tab=default_tab&amp;search_scope=EVERYTHING&amp;vid=01CRU&amp;lang=en_US&amp;offset=0&amp;query=any,contains,991002226739702656","Catalog Record")</f>
        <v/>
      </c>
      <c r="AT221">
        <f>HYPERLINK("http://www.worldcat.org/oclc/28684119","WorldCat Record")</f>
        <v/>
      </c>
      <c r="AU221" t="inlineStr">
        <is>
          <t>67621387:eng</t>
        </is>
      </c>
      <c r="AV221" t="inlineStr">
        <is>
          <t>28684119</t>
        </is>
      </c>
      <c r="AW221" t="inlineStr">
        <is>
          <t>991002226739702656</t>
        </is>
      </c>
      <c r="AX221" t="inlineStr">
        <is>
          <t>991002226739702656</t>
        </is>
      </c>
      <c r="AY221" t="inlineStr">
        <is>
          <t>2254989750002656</t>
        </is>
      </c>
      <c r="AZ221" t="inlineStr">
        <is>
          <t>BOOK</t>
        </is>
      </c>
      <c r="BB221" t="inlineStr">
        <is>
          <t>9780727907707</t>
        </is>
      </c>
      <c r="BC221" t="inlineStr">
        <is>
          <t>32285001992998</t>
        </is>
      </c>
      <c r="BD221" t="inlineStr">
        <is>
          <t>893262161</t>
        </is>
      </c>
    </row>
    <row r="222">
      <c r="A222" t="inlineStr">
        <is>
          <t>No</t>
        </is>
      </c>
      <c r="B222" t="inlineStr">
        <is>
          <t>RA651 .F65</t>
        </is>
      </c>
      <c r="C222" t="inlineStr">
        <is>
          <t>0                      RA 0651000F  65</t>
        </is>
      </c>
      <c r="D222" t="inlineStr">
        <is>
          <t>Epidemiology; man and disease [by] John P. Fox, Carrie E. Hall [and] Lila R. Elveback.</t>
        </is>
      </c>
      <c r="F222" t="inlineStr">
        <is>
          <t>No</t>
        </is>
      </c>
      <c r="G222" t="inlineStr">
        <is>
          <t>1</t>
        </is>
      </c>
      <c r="H222" t="inlineStr">
        <is>
          <t>No</t>
        </is>
      </c>
      <c r="I222" t="inlineStr">
        <is>
          <t>No</t>
        </is>
      </c>
      <c r="J222" t="inlineStr">
        <is>
          <t>0</t>
        </is>
      </c>
      <c r="K222" t="inlineStr">
        <is>
          <t>Fox, John P., 1908-</t>
        </is>
      </c>
      <c r="L222" t="inlineStr">
        <is>
          <t>[New York] Macmillan [1970]</t>
        </is>
      </c>
      <c r="M222" t="inlineStr">
        <is>
          <t>1970</t>
        </is>
      </c>
      <c r="O222" t="inlineStr">
        <is>
          <t>eng</t>
        </is>
      </c>
      <c r="P222" t="inlineStr">
        <is>
          <t>nyu</t>
        </is>
      </c>
      <c r="R222" t="inlineStr">
        <is>
          <t xml:space="preserve">RA </t>
        </is>
      </c>
      <c r="S222" t="n">
        <v>1</v>
      </c>
      <c r="T222" t="n">
        <v>1</v>
      </c>
      <c r="U222" t="inlineStr">
        <is>
          <t>2005-11-01</t>
        </is>
      </c>
      <c r="V222" t="inlineStr">
        <is>
          <t>2005-11-01</t>
        </is>
      </c>
      <c r="W222" t="inlineStr">
        <is>
          <t>1997-08-08</t>
        </is>
      </c>
      <c r="X222" t="inlineStr">
        <is>
          <t>1997-08-08</t>
        </is>
      </c>
      <c r="Y222" t="n">
        <v>515</v>
      </c>
      <c r="Z222" t="n">
        <v>423</v>
      </c>
      <c r="AA222" t="n">
        <v>434</v>
      </c>
      <c r="AB222" t="n">
        <v>7</v>
      </c>
      <c r="AC222" t="n">
        <v>7</v>
      </c>
      <c r="AD222" t="n">
        <v>16</v>
      </c>
      <c r="AE222" t="n">
        <v>16</v>
      </c>
      <c r="AF222" t="n">
        <v>4</v>
      </c>
      <c r="AG222" t="n">
        <v>4</v>
      </c>
      <c r="AH222" t="n">
        <v>4</v>
      </c>
      <c r="AI222" t="n">
        <v>4</v>
      </c>
      <c r="AJ222" t="n">
        <v>5</v>
      </c>
      <c r="AK222" t="n">
        <v>5</v>
      </c>
      <c r="AL222" t="n">
        <v>5</v>
      </c>
      <c r="AM222" t="n">
        <v>5</v>
      </c>
      <c r="AN222" t="n">
        <v>0</v>
      </c>
      <c r="AO222" t="n">
        <v>0</v>
      </c>
      <c r="AP222" t="inlineStr">
        <is>
          <t>No</t>
        </is>
      </c>
      <c r="AQ222" t="inlineStr">
        <is>
          <t>Yes</t>
        </is>
      </c>
      <c r="AR222">
        <f>HYPERLINK("http://catalog.hathitrust.org/Record/001559485","HathiTrust Record")</f>
        <v/>
      </c>
      <c r="AS222">
        <f>HYPERLINK("https://creighton-primo.hosted.exlibrisgroup.com/primo-explore/search?tab=default_tab&amp;search_scope=EVERYTHING&amp;vid=01CRU&amp;lang=en_US&amp;offset=0&amp;query=any,contains,991005202519702656","Catalog Record")</f>
        <v/>
      </c>
      <c r="AT222">
        <f>HYPERLINK("http://www.worldcat.org/oclc/55684","WorldCat Record")</f>
        <v/>
      </c>
      <c r="AU222" t="inlineStr">
        <is>
          <t>398493:eng</t>
        </is>
      </c>
      <c r="AV222" t="inlineStr">
        <is>
          <t>55684</t>
        </is>
      </c>
      <c r="AW222" t="inlineStr">
        <is>
          <t>991005202519702656</t>
        </is>
      </c>
      <c r="AX222" t="inlineStr">
        <is>
          <t>991005202519702656</t>
        </is>
      </c>
      <c r="AY222" t="inlineStr">
        <is>
          <t>2258213910002656</t>
        </is>
      </c>
      <c r="AZ222" t="inlineStr">
        <is>
          <t>BOOK</t>
        </is>
      </c>
      <c r="BB222" t="inlineStr">
        <is>
          <t>9780023391705</t>
        </is>
      </c>
      <c r="BC222" t="inlineStr">
        <is>
          <t>32285003083671</t>
        </is>
      </c>
      <c r="BD222" t="inlineStr">
        <is>
          <t>893807992</t>
        </is>
      </c>
    </row>
    <row r="223">
      <c r="A223" t="inlineStr">
        <is>
          <t>No</t>
        </is>
      </c>
      <c r="B223" t="inlineStr">
        <is>
          <t>RA651 .F68</t>
        </is>
      </c>
      <c r="C223" t="inlineStr">
        <is>
          <t>0                      RA 0651000F  68</t>
        </is>
      </c>
      <c r="D223" t="inlineStr">
        <is>
          <t>Primer of epidemiology / [by] Gary D. Friedman.</t>
        </is>
      </c>
      <c r="F223" t="inlineStr">
        <is>
          <t>No</t>
        </is>
      </c>
      <c r="G223" t="inlineStr">
        <is>
          <t>1</t>
        </is>
      </c>
      <c r="H223" t="inlineStr">
        <is>
          <t>No</t>
        </is>
      </c>
      <c r="I223" t="inlineStr">
        <is>
          <t>Yes</t>
        </is>
      </c>
      <c r="J223" t="inlineStr">
        <is>
          <t>0</t>
        </is>
      </c>
      <c r="K223" t="inlineStr">
        <is>
          <t>Friedman, Gary D., 1934-</t>
        </is>
      </c>
      <c r="L223" t="inlineStr">
        <is>
          <t>New York : McGraw-Hill, [1974]</t>
        </is>
      </c>
      <c r="M223" t="inlineStr">
        <is>
          <t>1974</t>
        </is>
      </c>
      <c r="O223" t="inlineStr">
        <is>
          <t>eng</t>
        </is>
      </c>
      <c r="P223" t="inlineStr">
        <is>
          <t>nyu</t>
        </is>
      </c>
      <c r="R223" t="inlineStr">
        <is>
          <t xml:space="preserve">RA </t>
        </is>
      </c>
      <c r="S223" t="n">
        <v>6</v>
      </c>
      <c r="T223" t="n">
        <v>6</v>
      </c>
      <c r="U223" t="inlineStr">
        <is>
          <t>2005-11-01</t>
        </is>
      </c>
      <c r="V223" t="inlineStr">
        <is>
          <t>2005-11-01</t>
        </is>
      </c>
      <c r="W223" t="inlineStr">
        <is>
          <t>1994-06-29</t>
        </is>
      </c>
      <c r="X223" t="inlineStr">
        <is>
          <t>1994-06-29</t>
        </is>
      </c>
      <c r="Y223" t="n">
        <v>242</v>
      </c>
      <c r="Z223" t="n">
        <v>191</v>
      </c>
      <c r="AA223" t="n">
        <v>554</v>
      </c>
      <c r="AB223" t="n">
        <v>3</v>
      </c>
      <c r="AC223" t="n">
        <v>5</v>
      </c>
      <c r="AD223" t="n">
        <v>6</v>
      </c>
      <c r="AE223" t="n">
        <v>17</v>
      </c>
      <c r="AF223" t="n">
        <v>2</v>
      </c>
      <c r="AG223" t="n">
        <v>5</v>
      </c>
      <c r="AH223" t="n">
        <v>1</v>
      </c>
      <c r="AI223" t="n">
        <v>4</v>
      </c>
      <c r="AJ223" t="n">
        <v>3</v>
      </c>
      <c r="AK223" t="n">
        <v>7</v>
      </c>
      <c r="AL223" t="n">
        <v>2</v>
      </c>
      <c r="AM223" t="n">
        <v>3</v>
      </c>
      <c r="AN223" t="n">
        <v>0</v>
      </c>
      <c r="AO223" t="n">
        <v>1</v>
      </c>
      <c r="AP223" t="inlineStr">
        <is>
          <t>No</t>
        </is>
      </c>
      <c r="AQ223" t="inlineStr">
        <is>
          <t>Yes</t>
        </is>
      </c>
      <c r="AR223">
        <f>HYPERLINK("http://catalog.hathitrust.org/Record/000011054","HathiTrust Record")</f>
        <v/>
      </c>
      <c r="AS223">
        <f>HYPERLINK("https://creighton-primo.hosted.exlibrisgroup.com/primo-explore/search?tab=default_tab&amp;search_scope=EVERYTHING&amp;vid=01CRU&amp;lang=en_US&amp;offset=0&amp;query=any,contains,991005202509702656","Catalog Record")</f>
        <v/>
      </c>
      <c r="AT223">
        <f>HYPERLINK("http://www.worldcat.org/oclc/754474","WorldCat Record")</f>
        <v/>
      </c>
      <c r="AU223" t="inlineStr">
        <is>
          <t>1609799:eng</t>
        </is>
      </c>
      <c r="AV223" t="inlineStr">
        <is>
          <t>754474</t>
        </is>
      </c>
      <c r="AW223" t="inlineStr">
        <is>
          <t>991005202509702656</t>
        </is>
      </c>
      <c r="AX223" t="inlineStr">
        <is>
          <t>991005202509702656</t>
        </is>
      </c>
      <c r="AY223" t="inlineStr">
        <is>
          <t>2267541740002656</t>
        </is>
      </c>
      <c r="AZ223" t="inlineStr">
        <is>
          <t>BOOK</t>
        </is>
      </c>
      <c r="BB223" t="inlineStr">
        <is>
          <t>9780070224254</t>
        </is>
      </c>
      <c r="BC223" t="inlineStr">
        <is>
          <t>32285001929834</t>
        </is>
      </c>
      <c r="BD223" t="inlineStr">
        <is>
          <t>893418540</t>
        </is>
      </c>
    </row>
    <row r="224">
      <c r="A224" t="inlineStr">
        <is>
          <t>No</t>
        </is>
      </c>
      <c r="B224" t="inlineStr">
        <is>
          <t>RA651 .M24 1970</t>
        </is>
      </c>
      <c r="C224" t="inlineStr">
        <is>
          <t>0                      RA 0651000M  24          1970</t>
        </is>
      </c>
      <c r="D224" t="inlineStr">
        <is>
          <t>Epidemiology; principles and methods [by] Brian MacMahon [and] Thomas F. Pugh.</t>
        </is>
      </c>
      <c r="F224" t="inlineStr">
        <is>
          <t>No</t>
        </is>
      </c>
      <c r="G224" t="inlineStr">
        <is>
          <t>1</t>
        </is>
      </c>
      <c r="H224" t="inlineStr">
        <is>
          <t>No</t>
        </is>
      </c>
      <c r="I224" t="inlineStr">
        <is>
          <t>No</t>
        </is>
      </c>
      <c r="J224" t="inlineStr">
        <is>
          <t>0</t>
        </is>
      </c>
      <c r="K224" t="inlineStr">
        <is>
          <t>MacMahon, Brian, 1923-2007.</t>
        </is>
      </c>
      <c r="L224" t="inlineStr">
        <is>
          <t>Boston, Little, Brown [1970]</t>
        </is>
      </c>
      <c r="M224" t="inlineStr">
        <is>
          <t>1970</t>
        </is>
      </c>
      <c r="N224" t="inlineStr">
        <is>
          <t>[1st ed.]</t>
        </is>
      </c>
      <c r="O224" t="inlineStr">
        <is>
          <t>eng</t>
        </is>
      </c>
      <c r="P224" t="inlineStr">
        <is>
          <t>mau</t>
        </is>
      </c>
      <c r="R224" t="inlineStr">
        <is>
          <t xml:space="preserve">RA </t>
        </is>
      </c>
      <c r="S224" t="n">
        <v>1</v>
      </c>
      <c r="T224" t="n">
        <v>1</v>
      </c>
      <c r="U224" t="inlineStr">
        <is>
          <t>2005-09-29</t>
        </is>
      </c>
      <c r="V224" t="inlineStr">
        <is>
          <t>2005-09-29</t>
        </is>
      </c>
      <c r="W224" t="inlineStr">
        <is>
          <t>1997-08-08</t>
        </is>
      </c>
      <c r="X224" t="inlineStr">
        <is>
          <t>1997-08-08</t>
        </is>
      </c>
      <c r="Y224" t="n">
        <v>401</v>
      </c>
      <c r="Z224" t="n">
        <v>270</v>
      </c>
      <c r="AA224" t="n">
        <v>351</v>
      </c>
      <c r="AB224" t="n">
        <v>2</v>
      </c>
      <c r="AC224" t="n">
        <v>2</v>
      </c>
      <c r="AD224" t="n">
        <v>7</v>
      </c>
      <c r="AE224" t="n">
        <v>8</v>
      </c>
      <c r="AF224" t="n">
        <v>2</v>
      </c>
      <c r="AG224" t="n">
        <v>2</v>
      </c>
      <c r="AH224" t="n">
        <v>2</v>
      </c>
      <c r="AI224" t="n">
        <v>2</v>
      </c>
      <c r="AJ224" t="n">
        <v>4</v>
      </c>
      <c r="AK224" t="n">
        <v>5</v>
      </c>
      <c r="AL224" t="n">
        <v>1</v>
      </c>
      <c r="AM224" t="n">
        <v>1</v>
      </c>
      <c r="AN224" t="n">
        <v>0</v>
      </c>
      <c r="AO224" t="n">
        <v>0</v>
      </c>
      <c r="AP224" t="inlineStr">
        <is>
          <t>No</t>
        </is>
      </c>
      <c r="AQ224" t="inlineStr">
        <is>
          <t>Yes</t>
        </is>
      </c>
      <c r="AR224">
        <f>HYPERLINK("http://catalog.hathitrust.org/Record/001559490","HathiTrust Record")</f>
        <v/>
      </c>
      <c r="AS224">
        <f>HYPERLINK("https://creighton-primo.hosted.exlibrisgroup.com/primo-explore/search?tab=default_tab&amp;search_scope=EVERYTHING&amp;vid=01CRU&amp;lang=en_US&amp;offset=0&amp;query=any,contains,991005202539702656","Catalog Record")</f>
        <v/>
      </c>
      <c r="AT224">
        <f>HYPERLINK("http://www.worldcat.org/oclc/101510","WorldCat Record")</f>
        <v/>
      </c>
      <c r="AU224" t="inlineStr">
        <is>
          <t>203310693:eng</t>
        </is>
      </c>
      <c r="AV224" t="inlineStr">
        <is>
          <t>101510</t>
        </is>
      </c>
      <c r="AW224" t="inlineStr">
        <is>
          <t>991005202539702656</t>
        </is>
      </c>
      <c r="AX224" t="inlineStr">
        <is>
          <t>991005202539702656</t>
        </is>
      </c>
      <c r="AY224" t="inlineStr">
        <is>
          <t>2261311930002656</t>
        </is>
      </c>
      <c r="AZ224" t="inlineStr">
        <is>
          <t>BOOK</t>
        </is>
      </c>
      <c r="BB224" t="inlineStr">
        <is>
          <t>9780700001972</t>
        </is>
      </c>
      <c r="BC224" t="inlineStr">
        <is>
          <t>32285003083689</t>
        </is>
      </c>
      <c r="BD224" t="inlineStr">
        <is>
          <t>893443577</t>
        </is>
      </c>
    </row>
    <row r="225">
      <c r="A225" t="inlineStr">
        <is>
          <t>No</t>
        </is>
      </c>
      <c r="B225" t="inlineStr">
        <is>
          <t>RA651 .W5 1980</t>
        </is>
      </c>
      <c r="C225" t="inlineStr">
        <is>
          <t>0                      RA 0651000W  5           1980</t>
        </is>
      </c>
      <c r="D225" t="inlineStr">
        <is>
          <t>The conquest of epidemic disease : a chapter in the history of ideas / Charles-Edward Amery Winslow.</t>
        </is>
      </c>
      <c r="F225" t="inlineStr">
        <is>
          <t>No</t>
        </is>
      </c>
      <c r="G225" t="inlineStr">
        <is>
          <t>1</t>
        </is>
      </c>
      <c r="H225" t="inlineStr">
        <is>
          <t>No</t>
        </is>
      </c>
      <c r="I225" t="inlineStr">
        <is>
          <t>Yes</t>
        </is>
      </c>
      <c r="J225" t="inlineStr">
        <is>
          <t>0</t>
        </is>
      </c>
      <c r="K225" t="inlineStr">
        <is>
          <t>Winslow, C.-E. A. (Charles-Edward Amory), 1877-1957.</t>
        </is>
      </c>
      <c r="L225" t="inlineStr">
        <is>
          <t>Madison : University of Wisconsin Press, 1980, c1971.</t>
        </is>
      </c>
      <c r="M225" t="inlineStr">
        <is>
          <t>1980</t>
        </is>
      </c>
      <c r="O225" t="inlineStr">
        <is>
          <t>eng</t>
        </is>
      </c>
      <c r="P225" t="inlineStr">
        <is>
          <t>wiu</t>
        </is>
      </c>
      <c r="R225" t="inlineStr">
        <is>
          <t xml:space="preserve">RA </t>
        </is>
      </c>
      <c r="S225" t="n">
        <v>6</v>
      </c>
      <c r="T225" t="n">
        <v>6</v>
      </c>
      <c r="U225" t="inlineStr">
        <is>
          <t>2005-11-01</t>
        </is>
      </c>
      <c r="V225" t="inlineStr">
        <is>
          <t>2005-11-01</t>
        </is>
      </c>
      <c r="W225" t="inlineStr">
        <is>
          <t>1992-07-16</t>
        </is>
      </c>
      <c r="X225" t="inlineStr">
        <is>
          <t>1992-07-16</t>
        </is>
      </c>
      <c r="Y225" t="n">
        <v>171</v>
      </c>
      <c r="Z225" t="n">
        <v>147</v>
      </c>
      <c r="AA225" t="n">
        <v>595</v>
      </c>
      <c r="AB225" t="n">
        <v>3</v>
      </c>
      <c r="AC225" t="n">
        <v>6</v>
      </c>
      <c r="AD225" t="n">
        <v>7</v>
      </c>
      <c r="AE225" t="n">
        <v>15</v>
      </c>
      <c r="AF225" t="n">
        <v>1</v>
      </c>
      <c r="AG225" t="n">
        <v>3</v>
      </c>
      <c r="AH225" t="n">
        <v>1</v>
      </c>
      <c r="AI225" t="n">
        <v>4</v>
      </c>
      <c r="AJ225" t="n">
        <v>4</v>
      </c>
      <c r="AK225" t="n">
        <v>7</v>
      </c>
      <c r="AL225" t="n">
        <v>2</v>
      </c>
      <c r="AM225" t="n">
        <v>4</v>
      </c>
      <c r="AN225" t="n">
        <v>0</v>
      </c>
      <c r="AO225" t="n">
        <v>0</v>
      </c>
      <c r="AP225" t="inlineStr">
        <is>
          <t>No</t>
        </is>
      </c>
      <c r="AQ225" t="inlineStr">
        <is>
          <t>Yes</t>
        </is>
      </c>
      <c r="AR225">
        <f>HYPERLINK("http://catalog.hathitrust.org/Record/004513108","HathiTrust Record")</f>
        <v/>
      </c>
      <c r="AS225">
        <f>HYPERLINK("https://creighton-primo.hosted.exlibrisgroup.com/primo-explore/search?tab=default_tab&amp;search_scope=EVERYTHING&amp;vid=01CRU&amp;lang=en_US&amp;offset=0&amp;query=any,contains,991005008949702656","Catalog Record")</f>
        <v/>
      </c>
      <c r="AT225">
        <f>HYPERLINK("http://www.worldcat.org/oclc/9756831","WorldCat Record")</f>
        <v/>
      </c>
      <c r="AU225" t="inlineStr">
        <is>
          <t>434436:eng</t>
        </is>
      </c>
      <c r="AV225" t="inlineStr">
        <is>
          <t>9756831</t>
        </is>
      </c>
      <c r="AW225" t="inlineStr">
        <is>
          <t>991005008949702656</t>
        </is>
      </c>
      <c r="AX225" t="inlineStr">
        <is>
          <t>991005008949702656</t>
        </is>
      </c>
      <c r="AY225" t="inlineStr">
        <is>
          <t>2258977440002656</t>
        </is>
      </c>
      <c r="AZ225" t="inlineStr">
        <is>
          <t>BOOK</t>
        </is>
      </c>
      <c r="BB225" t="inlineStr">
        <is>
          <t>9780299082406</t>
        </is>
      </c>
      <c r="BC225" t="inlineStr">
        <is>
          <t>32285001154037</t>
        </is>
      </c>
      <c r="BD225" t="inlineStr">
        <is>
          <t>893418261</t>
        </is>
      </c>
    </row>
    <row r="226">
      <c r="A226" t="inlineStr">
        <is>
          <t>No</t>
        </is>
      </c>
      <c r="B226" t="inlineStr">
        <is>
          <t>RA652.2.M3 F72 1980</t>
        </is>
      </c>
      <c r="C226" t="inlineStr">
        <is>
          <t>0                      RA 0652200M  3                  F  72          1980</t>
        </is>
      </c>
      <c r="D226" t="inlineStr">
        <is>
          <t>Mathematical modeling in epidemiology / J. C. Frauenthal.</t>
        </is>
      </c>
      <c r="F226" t="inlineStr">
        <is>
          <t>No</t>
        </is>
      </c>
      <c r="G226" t="inlineStr">
        <is>
          <t>1</t>
        </is>
      </c>
      <c r="H226" t="inlineStr">
        <is>
          <t>No</t>
        </is>
      </c>
      <c r="I226" t="inlineStr">
        <is>
          <t>No</t>
        </is>
      </c>
      <c r="J226" t="inlineStr">
        <is>
          <t>0</t>
        </is>
      </c>
      <c r="K226" t="inlineStr">
        <is>
          <t>Frauenthal, J. C., 1944-</t>
        </is>
      </c>
      <c r="L226" t="inlineStr">
        <is>
          <t>Berlin ; New York : Springer-Verlag, 1980.</t>
        </is>
      </c>
      <c r="M226" t="inlineStr">
        <is>
          <t>1980</t>
        </is>
      </c>
      <c r="O226" t="inlineStr">
        <is>
          <t>eng</t>
        </is>
      </c>
      <c r="P226" t="inlineStr">
        <is>
          <t xml:space="preserve">gw </t>
        </is>
      </c>
      <c r="Q226" t="inlineStr">
        <is>
          <t>Universitext</t>
        </is>
      </c>
      <c r="R226" t="inlineStr">
        <is>
          <t xml:space="preserve">RA </t>
        </is>
      </c>
      <c r="S226" t="n">
        <v>6</v>
      </c>
      <c r="T226" t="n">
        <v>6</v>
      </c>
      <c r="U226" t="inlineStr">
        <is>
          <t>2005-09-29</t>
        </is>
      </c>
      <c r="V226" t="inlineStr">
        <is>
          <t>2005-09-29</t>
        </is>
      </c>
      <c r="W226" t="inlineStr">
        <is>
          <t>1993-03-16</t>
        </is>
      </c>
      <c r="X226" t="inlineStr">
        <is>
          <t>1993-03-16</t>
        </is>
      </c>
      <c r="Y226" t="n">
        <v>274</v>
      </c>
      <c r="Z226" t="n">
        <v>157</v>
      </c>
      <c r="AA226" t="n">
        <v>176</v>
      </c>
      <c r="AB226" t="n">
        <v>1</v>
      </c>
      <c r="AC226" t="n">
        <v>1</v>
      </c>
      <c r="AD226" t="n">
        <v>5</v>
      </c>
      <c r="AE226" t="n">
        <v>5</v>
      </c>
      <c r="AF226" t="n">
        <v>3</v>
      </c>
      <c r="AG226" t="n">
        <v>3</v>
      </c>
      <c r="AH226" t="n">
        <v>2</v>
      </c>
      <c r="AI226" t="n">
        <v>2</v>
      </c>
      <c r="AJ226" t="n">
        <v>2</v>
      </c>
      <c r="AK226" t="n">
        <v>2</v>
      </c>
      <c r="AL226" t="n">
        <v>0</v>
      </c>
      <c r="AM226" t="n">
        <v>0</v>
      </c>
      <c r="AN226" t="n">
        <v>0</v>
      </c>
      <c r="AO226" t="n">
        <v>0</v>
      </c>
      <c r="AP226" t="inlineStr">
        <is>
          <t>No</t>
        </is>
      </c>
      <c r="AQ226" t="inlineStr">
        <is>
          <t>No</t>
        </is>
      </c>
      <c r="AS226">
        <f>HYPERLINK("https://creighton-primo.hosted.exlibrisgroup.com/primo-explore/search?tab=default_tab&amp;search_scope=EVERYTHING&amp;vid=01CRU&amp;lang=en_US&amp;offset=0&amp;query=any,contains,991005021049702656","Catalog Record")</f>
        <v/>
      </c>
      <c r="AT226">
        <f>HYPERLINK("http://www.worldcat.org/oclc/6649671","WorldCat Record")</f>
        <v/>
      </c>
      <c r="AU226" t="inlineStr">
        <is>
          <t>457355:eng</t>
        </is>
      </c>
      <c r="AV226" t="inlineStr">
        <is>
          <t>6649671</t>
        </is>
      </c>
      <c r="AW226" t="inlineStr">
        <is>
          <t>991005021049702656</t>
        </is>
      </c>
      <c r="AX226" t="inlineStr">
        <is>
          <t>991005021049702656</t>
        </is>
      </c>
      <c r="AY226" t="inlineStr">
        <is>
          <t>2265962640002656</t>
        </is>
      </c>
      <c r="AZ226" t="inlineStr">
        <is>
          <t>BOOK</t>
        </is>
      </c>
      <c r="BB226" t="inlineStr">
        <is>
          <t>9780387103280</t>
        </is>
      </c>
      <c r="BC226" t="inlineStr">
        <is>
          <t>32285001588044</t>
        </is>
      </c>
      <c r="BD226" t="inlineStr">
        <is>
          <t>893248221</t>
        </is>
      </c>
    </row>
    <row r="227">
      <c r="A227" t="inlineStr">
        <is>
          <t>No</t>
        </is>
      </c>
      <c r="B227" t="inlineStr">
        <is>
          <t>RA652.5 .M65 1993</t>
        </is>
      </c>
      <c r="C227" t="inlineStr">
        <is>
          <t>0                      RA 0652500M  65          1993</t>
        </is>
      </c>
      <c r="D227" t="inlineStr">
        <is>
          <t>Molecular epidemiology : principles and practices / edited by Paul A. Schulte, Frederica P. Perera.</t>
        </is>
      </c>
      <c r="F227" t="inlineStr">
        <is>
          <t>No</t>
        </is>
      </c>
      <c r="G227" t="inlineStr">
        <is>
          <t>1</t>
        </is>
      </c>
      <c r="H227" t="inlineStr">
        <is>
          <t>No</t>
        </is>
      </c>
      <c r="I227" t="inlineStr">
        <is>
          <t>No</t>
        </is>
      </c>
      <c r="J227" t="inlineStr">
        <is>
          <t>0</t>
        </is>
      </c>
      <c r="L227" t="inlineStr">
        <is>
          <t>San Diego : Academic Press, c1993.</t>
        </is>
      </c>
      <c r="M227" t="inlineStr">
        <is>
          <t>1993</t>
        </is>
      </c>
      <c r="O227" t="inlineStr">
        <is>
          <t>eng</t>
        </is>
      </c>
      <c r="P227" t="inlineStr">
        <is>
          <t>cau</t>
        </is>
      </c>
      <c r="R227" t="inlineStr">
        <is>
          <t xml:space="preserve">RA </t>
        </is>
      </c>
      <c r="S227" t="n">
        <v>3</v>
      </c>
      <c r="T227" t="n">
        <v>3</v>
      </c>
      <c r="U227" t="inlineStr">
        <is>
          <t>2005-09-29</t>
        </is>
      </c>
      <c r="V227" t="inlineStr">
        <is>
          <t>2005-09-29</t>
        </is>
      </c>
      <c r="W227" t="inlineStr">
        <is>
          <t>1998-04-20</t>
        </is>
      </c>
      <c r="X227" t="inlineStr">
        <is>
          <t>1998-04-20</t>
        </is>
      </c>
      <c r="Y227" t="n">
        <v>222</v>
      </c>
      <c r="Z227" t="n">
        <v>142</v>
      </c>
      <c r="AA227" t="n">
        <v>203</v>
      </c>
      <c r="AB227" t="n">
        <v>2</v>
      </c>
      <c r="AC227" t="n">
        <v>2</v>
      </c>
      <c r="AD227" t="n">
        <v>5</v>
      </c>
      <c r="AE227" t="n">
        <v>8</v>
      </c>
      <c r="AF227" t="n">
        <v>1</v>
      </c>
      <c r="AG227" t="n">
        <v>3</v>
      </c>
      <c r="AH227" t="n">
        <v>1</v>
      </c>
      <c r="AI227" t="n">
        <v>3</v>
      </c>
      <c r="AJ227" t="n">
        <v>3</v>
      </c>
      <c r="AK227" t="n">
        <v>3</v>
      </c>
      <c r="AL227" t="n">
        <v>1</v>
      </c>
      <c r="AM227" t="n">
        <v>1</v>
      </c>
      <c r="AN227" t="n">
        <v>0</v>
      </c>
      <c r="AO227" t="n">
        <v>0</v>
      </c>
      <c r="AP227" t="inlineStr">
        <is>
          <t>No</t>
        </is>
      </c>
      <c r="AQ227" t="inlineStr">
        <is>
          <t>No</t>
        </is>
      </c>
      <c r="AS227">
        <f>HYPERLINK("https://creighton-primo.hosted.exlibrisgroup.com/primo-explore/search?tab=default_tab&amp;search_scope=EVERYTHING&amp;vid=01CRU&amp;lang=en_US&amp;offset=0&amp;query=any,contains,991002062099702656","Catalog Record")</f>
        <v/>
      </c>
      <c r="AT227">
        <f>HYPERLINK("http://www.worldcat.org/oclc/26396497","WorldCat Record")</f>
        <v/>
      </c>
      <c r="AU227" t="inlineStr">
        <is>
          <t>836745751:eng</t>
        </is>
      </c>
      <c r="AV227" t="inlineStr">
        <is>
          <t>26396497</t>
        </is>
      </c>
      <c r="AW227" t="inlineStr">
        <is>
          <t>991002062099702656</t>
        </is>
      </c>
      <c r="AX227" t="inlineStr">
        <is>
          <t>991002062099702656</t>
        </is>
      </c>
      <c r="AY227" t="inlineStr">
        <is>
          <t>2256974450002656</t>
        </is>
      </c>
      <c r="AZ227" t="inlineStr">
        <is>
          <t>BOOK</t>
        </is>
      </c>
      <c r="BB227" t="inlineStr">
        <is>
          <t>9780126323450</t>
        </is>
      </c>
      <c r="BC227" t="inlineStr">
        <is>
          <t>32285001840460</t>
        </is>
      </c>
      <c r="BD227" t="inlineStr">
        <is>
          <t>893721259</t>
        </is>
      </c>
    </row>
    <row r="228">
      <c r="A228" t="inlineStr">
        <is>
          <t>No</t>
        </is>
      </c>
      <c r="B228" t="inlineStr">
        <is>
          <t>RA718.17 .K5 1992</t>
        </is>
      </c>
      <c r="C228" t="inlineStr">
        <is>
          <t>0                      RA 0718170K  5           1992</t>
        </is>
      </c>
      <c r="D228" t="inlineStr">
        <is>
          <t>Aqua aerobics; a scientific approach / by Tom Kinder, Julie See ; Jennifer Phillips Webster, illustrator.</t>
        </is>
      </c>
      <c r="F228" t="inlineStr">
        <is>
          <t>No</t>
        </is>
      </c>
      <c r="G228" t="inlineStr">
        <is>
          <t>1</t>
        </is>
      </c>
      <c r="H228" t="inlineStr">
        <is>
          <t>No</t>
        </is>
      </c>
      <c r="I228" t="inlineStr">
        <is>
          <t>No</t>
        </is>
      </c>
      <c r="J228" t="inlineStr">
        <is>
          <t>0</t>
        </is>
      </c>
      <c r="K228" t="inlineStr">
        <is>
          <t>Kinder, Tom.</t>
        </is>
      </c>
      <c r="L228" t="inlineStr">
        <is>
          <t>Dubuque, IA : Eddie Bowers Publishing, Inc., 1992.</t>
        </is>
      </c>
      <c r="M228" t="inlineStr">
        <is>
          <t>1992</t>
        </is>
      </c>
      <c r="N228" t="inlineStr">
        <is>
          <t>[1st ed.]</t>
        </is>
      </c>
      <c r="O228" t="inlineStr">
        <is>
          <t>eng</t>
        </is>
      </c>
      <c r="P228" t="inlineStr">
        <is>
          <t>iau</t>
        </is>
      </c>
      <c r="R228" t="inlineStr">
        <is>
          <t xml:space="preserve">RA </t>
        </is>
      </c>
      <c r="S228" t="n">
        <v>4</v>
      </c>
      <c r="T228" t="n">
        <v>4</v>
      </c>
      <c r="U228" t="inlineStr">
        <is>
          <t>1996-11-19</t>
        </is>
      </c>
      <c r="V228" t="inlineStr">
        <is>
          <t>1996-11-19</t>
        </is>
      </c>
      <c r="W228" t="inlineStr">
        <is>
          <t>1993-03-24</t>
        </is>
      </c>
      <c r="X228" t="inlineStr">
        <is>
          <t>1993-03-24</t>
        </is>
      </c>
      <c r="Y228" t="n">
        <v>46</v>
      </c>
      <c r="Z228" t="n">
        <v>46</v>
      </c>
      <c r="AA228" t="n">
        <v>54</v>
      </c>
      <c r="AB228" t="n">
        <v>2</v>
      </c>
      <c r="AC228" t="n">
        <v>2</v>
      </c>
      <c r="AD228" t="n">
        <v>2</v>
      </c>
      <c r="AE228" t="n">
        <v>2</v>
      </c>
      <c r="AF228" t="n">
        <v>1</v>
      </c>
      <c r="AG228" t="n">
        <v>1</v>
      </c>
      <c r="AH228" t="n">
        <v>0</v>
      </c>
      <c r="AI228" t="n">
        <v>0</v>
      </c>
      <c r="AJ228" t="n">
        <v>0</v>
      </c>
      <c r="AK228" t="n">
        <v>0</v>
      </c>
      <c r="AL228" t="n">
        <v>1</v>
      </c>
      <c r="AM228" t="n">
        <v>1</v>
      </c>
      <c r="AN228" t="n">
        <v>0</v>
      </c>
      <c r="AO228" t="n">
        <v>0</v>
      </c>
      <c r="AP228" t="inlineStr">
        <is>
          <t>No</t>
        </is>
      </c>
      <c r="AQ228" t="inlineStr">
        <is>
          <t>No</t>
        </is>
      </c>
      <c r="AS228">
        <f>HYPERLINK("https://creighton-primo.hosted.exlibrisgroup.com/primo-explore/search?tab=default_tab&amp;search_scope=EVERYTHING&amp;vid=01CRU&amp;lang=en_US&amp;offset=0&amp;query=any,contains,991002061259702656","Catalog Record")</f>
        <v/>
      </c>
      <c r="AT228">
        <f>HYPERLINK("http://www.worldcat.org/oclc/26379915","WorldCat Record")</f>
        <v/>
      </c>
      <c r="AU228" t="inlineStr">
        <is>
          <t>476391764:eng</t>
        </is>
      </c>
      <c r="AV228" t="inlineStr">
        <is>
          <t>26379915</t>
        </is>
      </c>
      <c r="AW228" t="inlineStr">
        <is>
          <t>991002061259702656</t>
        </is>
      </c>
      <c r="AX228" t="inlineStr">
        <is>
          <t>991002061259702656</t>
        </is>
      </c>
      <c r="AY228" t="inlineStr">
        <is>
          <t>2266929460002656</t>
        </is>
      </c>
      <c r="AZ228" t="inlineStr">
        <is>
          <t>BOOK</t>
        </is>
      </c>
      <c r="BC228" t="inlineStr">
        <is>
          <t>32285001498483</t>
        </is>
      </c>
      <c r="BD228" t="inlineStr">
        <is>
          <t>893256820</t>
        </is>
      </c>
    </row>
    <row r="229">
      <c r="A229" t="inlineStr">
        <is>
          <t>No</t>
        </is>
      </c>
      <c r="B229" t="inlineStr">
        <is>
          <t>RA772.N7 B8 1973b</t>
        </is>
      </c>
      <c r="C229" t="inlineStr">
        <is>
          <t>0                      RA 0772000N  7                  B  8           1973b</t>
        </is>
      </c>
      <c r="D229" t="inlineStr">
        <is>
          <t>Noise and man.</t>
        </is>
      </c>
      <c r="F229" t="inlineStr">
        <is>
          <t>No</t>
        </is>
      </c>
      <c r="G229" t="inlineStr">
        <is>
          <t>1</t>
        </is>
      </c>
      <c r="H229" t="inlineStr">
        <is>
          <t>No</t>
        </is>
      </c>
      <c r="I229" t="inlineStr">
        <is>
          <t>No</t>
        </is>
      </c>
      <c r="J229" t="inlineStr">
        <is>
          <t>0</t>
        </is>
      </c>
      <c r="K229" t="inlineStr">
        <is>
          <t>Burns, William, 1909-2004.</t>
        </is>
      </c>
      <c r="L229" t="inlineStr">
        <is>
          <t>Philadelphia : Lippincott, [1973]</t>
        </is>
      </c>
      <c r="M229" t="inlineStr">
        <is>
          <t>1973</t>
        </is>
      </c>
      <c r="N229" t="inlineStr">
        <is>
          <t>[2d ed.]</t>
        </is>
      </c>
      <c r="O229" t="inlineStr">
        <is>
          <t>eng</t>
        </is>
      </c>
      <c r="P229" t="inlineStr">
        <is>
          <t>pau</t>
        </is>
      </c>
      <c r="R229" t="inlineStr">
        <is>
          <t xml:space="preserve">RA </t>
        </is>
      </c>
      <c r="S229" t="n">
        <v>4</v>
      </c>
      <c r="T229" t="n">
        <v>4</v>
      </c>
      <c r="U229" t="inlineStr">
        <is>
          <t>2002-06-11</t>
        </is>
      </c>
      <c r="V229" t="inlineStr">
        <is>
          <t>2002-06-11</t>
        </is>
      </c>
      <c r="W229" t="inlineStr">
        <is>
          <t>1993-05-21</t>
        </is>
      </c>
      <c r="X229" t="inlineStr">
        <is>
          <t>1993-05-21</t>
        </is>
      </c>
      <c r="Y229" t="n">
        <v>297</v>
      </c>
      <c r="Z229" t="n">
        <v>275</v>
      </c>
      <c r="AA229" t="n">
        <v>548</v>
      </c>
      <c r="AB229" t="n">
        <v>1</v>
      </c>
      <c r="AC229" t="n">
        <v>4</v>
      </c>
      <c r="AD229" t="n">
        <v>10</v>
      </c>
      <c r="AE229" t="n">
        <v>16</v>
      </c>
      <c r="AF229" t="n">
        <v>3</v>
      </c>
      <c r="AG229" t="n">
        <v>3</v>
      </c>
      <c r="AH229" t="n">
        <v>2</v>
      </c>
      <c r="AI229" t="n">
        <v>3</v>
      </c>
      <c r="AJ229" t="n">
        <v>5</v>
      </c>
      <c r="AK229" t="n">
        <v>7</v>
      </c>
      <c r="AL229" t="n">
        <v>0</v>
      </c>
      <c r="AM229" t="n">
        <v>3</v>
      </c>
      <c r="AN229" t="n">
        <v>1</v>
      </c>
      <c r="AO229" t="n">
        <v>2</v>
      </c>
      <c r="AP229" t="inlineStr">
        <is>
          <t>No</t>
        </is>
      </c>
      <c r="AQ229" t="inlineStr">
        <is>
          <t>Yes</t>
        </is>
      </c>
      <c r="AR229">
        <f>HYPERLINK("http://catalog.hathitrust.org/Record/001577485","HathiTrust Record")</f>
        <v/>
      </c>
      <c r="AS229">
        <f>HYPERLINK("https://creighton-primo.hosted.exlibrisgroup.com/primo-explore/search?tab=default_tab&amp;search_scope=EVERYTHING&amp;vid=01CRU&amp;lang=en_US&amp;offset=0&amp;query=any,contains,991003261159702656","Catalog Record")</f>
        <v/>
      </c>
      <c r="AT229">
        <f>HYPERLINK("http://www.worldcat.org/oclc/787458","WorldCat Record")</f>
        <v/>
      </c>
      <c r="AU229" t="inlineStr">
        <is>
          <t>66003414:eng</t>
        </is>
      </c>
      <c r="AV229" t="inlineStr">
        <is>
          <t>787458</t>
        </is>
      </c>
      <c r="AW229" t="inlineStr">
        <is>
          <t>991003261159702656</t>
        </is>
      </c>
      <c r="AX229" t="inlineStr">
        <is>
          <t>991003261159702656</t>
        </is>
      </c>
      <c r="AY229" t="inlineStr">
        <is>
          <t>2264735570002656</t>
        </is>
      </c>
      <c r="AZ229" t="inlineStr">
        <is>
          <t>BOOK</t>
        </is>
      </c>
      <c r="BB229" t="inlineStr">
        <is>
          <t>9780397580989</t>
        </is>
      </c>
      <c r="BC229" t="inlineStr">
        <is>
          <t>32285001690451</t>
        </is>
      </c>
      <c r="BD229" t="inlineStr">
        <is>
          <t>893410095</t>
        </is>
      </c>
    </row>
    <row r="230">
      <c r="A230" t="inlineStr">
        <is>
          <t>No</t>
        </is>
      </c>
      <c r="B230" t="inlineStr">
        <is>
          <t>RA772.N7 E3</t>
        </is>
      </c>
      <c r="C230" t="inlineStr">
        <is>
          <t>0                      RA 0772000N  7                  E  3</t>
        </is>
      </c>
      <c r="D230" t="inlineStr">
        <is>
          <t>Effects of noise on hearing / edited by Donald Henderson ... [et al.].</t>
        </is>
      </c>
      <c r="F230" t="inlineStr">
        <is>
          <t>No</t>
        </is>
      </c>
      <c r="G230" t="inlineStr">
        <is>
          <t>1</t>
        </is>
      </c>
      <c r="H230" t="inlineStr">
        <is>
          <t>No</t>
        </is>
      </c>
      <c r="I230" t="inlineStr">
        <is>
          <t>No</t>
        </is>
      </c>
      <c r="J230" t="inlineStr">
        <is>
          <t>0</t>
        </is>
      </c>
      <c r="L230" t="inlineStr">
        <is>
          <t>New York : Raven Press, c1976.</t>
        </is>
      </c>
      <c r="M230" t="inlineStr">
        <is>
          <t>1976</t>
        </is>
      </c>
      <c r="O230" t="inlineStr">
        <is>
          <t>eng</t>
        </is>
      </c>
      <c r="P230" t="inlineStr">
        <is>
          <t>nyu</t>
        </is>
      </c>
      <c r="R230" t="inlineStr">
        <is>
          <t xml:space="preserve">RA </t>
        </is>
      </c>
      <c r="S230" t="n">
        <v>5</v>
      </c>
      <c r="T230" t="n">
        <v>5</v>
      </c>
      <c r="U230" t="inlineStr">
        <is>
          <t>2003-09-30</t>
        </is>
      </c>
      <c r="V230" t="inlineStr">
        <is>
          <t>2003-09-30</t>
        </is>
      </c>
      <c r="W230" t="inlineStr">
        <is>
          <t>1993-05-21</t>
        </is>
      </c>
      <c r="X230" t="inlineStr">
        <is>
          <t>1993-05-21</t>
        </is>
      </c>
      <c r="Y230" t="n">
        <v>298</v>
      </c>
      <c r="Z230" t="n">
        <v>236</v>
      </c>
      <c r="AA230" t="n">
        <v>243</v>
      </c>
      <c r="AB230" t="n">
        <v>3</v>
      </c>
      <c r="AC230" t="n">
        <v>3</v>
      </c>
      <c r="AD230" t="n">
        <v>3</v>
      </c>
      <c r="AE230" t="n">
        <v>3</v>
      </c>
      <c r="AF230" t="n">
        <v>2</v>
      </c>
      <c r="AG230" t="n">
        <v>2</v>
      </c>
      <c r="AH230" t="n">
        <v>1</v>
      </c>
      <c r="AI230" t="n">
        <v>1</v>
      </c>
      <c r="AJ230" t="n">
        <v>1</v>
      </c>
      <c r="AK230" t="n">
        <v>1</v>
      </c>
      <c r="AL230" t="n">
        <v>0</v>
      </c>
      <c r="AM230" t="n">
        <v>0</v>
      </c>
      <c r="AN230" t="n">
        <v>0</v>
      </c>
      <c r="AO230" t="n">
        <v>0</v>
      </c>
      <c r="AP230" t="inlineStr">
        <is>
          <t>No</t>
        </is>
      </c>
      <c r="AQ230" t="inlineStr">
        <is>
          <t>Yes</t>
        </is>
      </c>
      <c r="AR230">
        <f>HYPERLINK("http://catalog.hathitrust.org/Record/000734233","HathiTrust Record")</f>
        <v/>
      </c>
      <c r="AS230">
        <f>HYPERLINK("https://creighton-primo.hosted.exlibrisgroup.com/primo-explore/search?tab=default_tab&amp;search_scope=EVERYTHING&amp;vid=01CRU&amp;lang=en_US&amp;offset=0&amp;query=any,contains,991005253249702656","Catalog Record")</f>
        <v/>
      </c>
      <c r="AT230">
        <f>HYPERLINK("http://www.worldcat.org/oclc/2383879","WorldCat Record")</f>
        <v/>
      </c>
      <c r="AU230" t="inlineStr">
        <is>
          <t>356294444:eng</t>
        </is>
      </c>
      <c r="AV230" t="inlineStr">
        <is>
          <t>2383879</t>
        </is>
      </c>
      <c r="AW230" t="inlineStr">
        <is>
          <t>991005253249702656</t>
        </is>
      </c>
      <c r="AX230" t="inlineStr">
        <is>
          <t>991005253249702656</t>
        </is>
      </c>
      <c r="AY230" t="inlineStr">
        <is>
          <t>2254984750002656</t>
        </is>
      </c>
      <c r="AZ230" t="inlineStr">
        <is>
          <t>BOOK</t>
        </is>
      </c>
      <c r="BB230" t="inlineStr">
        <is>
          <t>9780890040126</t>
        </is>
      </c>
      <c r="BC230" t="inlineStr">
        <is>
          <t>32285001690444</t>
        </is>
      </c>
      <c r="BD230" t="inlineStr">
        <is>
          <t>893254718</t>
        </is>
      </c>
    </row>
    <row r="231">
      <c r="A231" t="inlineStr">
        <is>
          <t>No</t>
        </is>
      </c>
      <c r="B231" t="inlineStr">
        <is>
          <t>RA772.N7 R7</t>
        </is>
      </c>
      <c r="C231" t="inlineStr">
        <is>
          <t>0                      RA 0772000N  7                  R  7</t>
        </is>
      </c>
      <c r="D231" t="inlineStr">
        <is>
          <t>Noise and society [by] M. Rodda.</t>
        </is>
      </c>
      <c r="F231" t="inlineStr">
        <is>
          <t>No</t>
        </is>
      </c>
      <c r="G231" t="inlineStr">
        <is>
          <t>1</t>
        </is>
      </c>
      <c r="H231" t="inlineStr">
        <is>
          <t>No</t>
        </is>
      </c>
      <c r="I231" t="inlineStr">
        <is>
          <t>No</t>
        </is>
      </c>
      <c r="J231" t="inlineStr">
        <is>
          <t>0</t>
        </is>
      </c>
      <c r="K231" t="inlineStr">
        <is>
          <t>Rodda, Michael.</t>
        </is>
      </c>
      <c r="L231" t="inlineStr">
        <is>
          <t>Edinburgh, London, Oliver &amp; Boyd, 1967.</t>
        </is>
      </c>
      <c r="M231" t="inlineStr">
        <is>
          <t>1967</t>
        </is>
      </c>
      <c r="O231" t="inlineStr">
        <is>
          <t>eng</t>
        </is>
      </c>
      <c r="P231" t="inlineStr">
        <is>
          <t>stk</t>
        </is>
      </c>
      <c r="Q231" t="inlineStr">
        <is>
          <t>Contemporary science paperbacks ; no. 5</t>
        </is>
      </c>
      <c r="R231" t="inlineStr">
        <is>
          <t xml:space="preserve">RA </t>
        </is>
      </c>
      <c r="S231" t="n">
        <v>4</v>
      </c>
      <c r="T231" t="n">
        <v>4</v>
      </c>
      <c r="U231" t="inlineStr">
        <is>
          <t>2003-09-30</t>
        </is>
      </c>
      <c r="V231" t="inlineStr">
        <is>
          <t>2003-09-30</t>
        </is>
      </c>
      <c r="W231" t="inlineStr">
        <is>
          <t>1997-08-08</t>
        </is>
      </c>
      <c r="X231" t="inlineStr">
        <is>
          <t>1997-08-08</t>
        </is>
      </c>
      <c r="Y231" t="n">
        <v>168</v>
      </c>
      <c r="Z231" t="n">
        <v>92</v>
      </c>
      <c r="AA231" t="n">
        <v>96</v>
      </c>
      <c r="AB231" t="n">
        <v>3</v>
      </c>
      <c r="AC231" t="n">
        <v>3</v>
      </c>
      <c r="AD231" t="n">
        <v>3</v>
      </c>
      <c r="AE231" t="n">
        <v>3</v>
      </c>
      <c r="AF231" t="n">
        <v>0</v>
      </c>
      <c r="AG231" t="n">
        <v>0</v>
      </c>
      <c r="AH231" t="n">
        <v>0</v>
      </c>
      <c r="AI231" t="n">
        <v>0</v>
      </c>
      <c r="AJ231" t="n">
        <v>1</v>
      </c>
      <c r="AK231" t="n">
        <v>1</v>
      </c>
      <c r="AL231" t="n">
        <v>2</v>
      </c>
      <c r="AM231" t="n">
        <v>2</v>
      </c>
      <c r="AN231" t="n">
        <v>0</v>
      </c>
      <c r="AO231" t="n">
        <v>0</v>
      </c>
      <c r="AP231" t="inlineStr">
        <is>
          <t>No</t>
        </is>
      </c>
      <c r="AQ231" t="inlineStr">
        <is>
          <t>Yes</t>
        </is>
      </c>
      <c r="AR231">
        <f>HYPERLINK("http://catalog.hathitrust.org/Record/002079217","HathiTrust Record")</f>
        <v/>
      </c>
      <c r="AS231">
        <f>HYPERLINK("https://creighton-primo.hosted.exlibrisgroup.com/primo-explore/search?tab=default_tab&amp;search_scope=EVERYTHING&amp;vid=01CRU&amp;lang=en_US&amp;offset=0&amp;query=any,contains,991003241899702656","Catalog Record")</f>
        <v/>
      </c>
      <c r="AT231">
        <f>HYPERLINK("http://www.worldcat.org/oclc/764864","WorldCat Record")</f>
        <v/>
      </c>
      <c r="AU231" t="inlineStr">
        <is>
          <t>1655105:eng</t>
        </is>
      </c>
      <c r="AV231" t="inlineStr">
        <is>
          <t>764864</t>
        </is>
      </c>
      <c r="AW231" t="inlineStr">
        <is>
          <t>991003241899702656</t>
        </is>
      </c>
      <c r="AX231" t="inlineStr">
        <is>
          <t>991003241899702656</t>
        </is>
      </c>
      <c r="AY231" t="inlineStr">
        <is>
          <t>2268434160002656</t>
        </is>
      </c>
      <c r="AZ231" t="inlineStr">
        <is>
          <t>BOOK</t>
        </is>
      </c>
      <c r="BC231" t="inlineStr">
        <is>
          <t>32285003083713</t>
        </is>
      </c>
      <c r="BD231" t="inlineStr">
        <is>
          <t>893717460</t>
        </is>
      </c>
    </row>
    <row r="232">
      <c r="A232" t="inlineStr">
        <is>
          <t>No</t>
        </is>
      </c>
      <c r="B232" t="inlineStr">
        <is>
          <t>RA776 .A636 1982</t>
        </is>
      </c>
      <c r="C232" t="inlineStr">
        <is>
          <t>0                      RA 0776000A  636         1982</t>
        </is>
      </c>
      <c r="D232" t="inlineStr">
        <is>
          <t>Planning for wellness : a guidebook for achieving optimal health / Donald B. Ardell and Mark J. Tager ; illustrated by Nancy Olson.</t>
        </is>
      </c>
      <c r="F232" t="inlineStr">
        <is>
          <t>No</t>
        </is>
      </c>
      <c r="G232" t="inlineStr">
        <is>
          <t>1</t>
        </is>
      </c>
      <c r="H232" t="inlineStr">
        <is>
          <t>No</t>
        </is>
      </c>
      <c r="I232" t="inlineStr">
        <is>
          <t>No</t>
        </is>
      </c>
      <c r="J232" t="inlineStr">
        <is>
          <t>0</t>
        </is>
      </c>
      <c r="K232" t="inlineStr">
        <is>
          <t>Ardell, Donald B.</t>
        </is>
      </c>
      <c r="L232" t="inlineStr">
        <is>
          <t>Dubuque, Iowa : Kendall/Hunt, 1982.</t>
        </is>
      </c>
      <c r="M232" t="inlineStr">
        <is>
          <t>1982</t>
        </is>
      </c>
      <c r="N232" t="inlineStr">
        <is>
          <t>2nd ed.</t>
        </is>
      </c>
      <c r="O232" t="inlineStr">
        <is>
          <t>eng</t>
        </is>
      </c>
      <c r="P232" t="inlineStr">
        <is>
          <t>iau</t>
        </is>
      </c>
      <c r="R232" t="inlineStr">
        <is>
          <t xml:space="preserve">RA </t>
        </is>
      </c>
      <c r="S232" t="n">
        <v>14</v>
      </c>
      <c r="T232" t="n">
        <v>14</v>
      </c>
      <c r="U232" t="inlineStr">
        <is>
          <t>1996-11-05</t>
        </is>
      </c>
      <c r="V232" t="inlineStr">
        <is>
          <t>1996-11-05</t>
        </is>
      </c>
      <c r="W232" t="inlineStr">
        <is>
          <t>1992-04-07</t>
        </is>
      </c>
      <c r="X232" t="inlineStr">
        <is>
          <t>1992-04-07</t>
        </is>
      </c>
      <c r="Y232" t="n">
        <v>123</v>
      </c>
      <c r="Z232" t="n">
        <v>113</v>
      </c>
      <c r="AA232" t="n">
        <v>128</v>
      </c>
      <c r="AB232" t="n">
        <v>3</v>
      </c>
      <c r="AC232" t="n">
        <v>3</v>
      </c>
      <c r="AD232" t="n">
        <v>3</v>
      </c>
      <c r="AE232" t="n">
        <v>3</v>
      </c>
      <c r="AF232" t="n">
        <v>1</v>
      </c>
      <c r="AG232" t="n">
        <v>1</v>
      </c>
      <c r="AH232" t="n">
        <v>0</v>
      </c>
      <c r="AI232" t="n">
        <v>0</v>
      </c>
      <c r="AJ232" t="n">
        <v>0</v>
      </c>
      <c r="AK232" t="n">
        <v>0</v>
      </c>
      <c r="AL232" t="n">
        <v>2</v>
      </c>
      <c r="AM232" t="n">
        <v>2</v>
      </c>
      <c r="AN232" t="n">
        <v>0</v>
      </c>
      <c r="AO232" t="n">
        <v>0</v>
      </c>
      <c r="AP232" t="inlineStr">
        <is>
          <t>No</t>
        </is>
      </c>
      <c r="AQ232" t="inlineStr">
        <is>
          <t>Yes</t>
        </is>
      </c>
      <c r="AR232">
        <f>HYPERLINK("http://catalog.hathitrust.org/Record/006182600","HathiTrust Record")</f>
        <v/>
      </c>
      <c r="AS232">
        <f>HYPERLINK("https://creighton-primo.hosted.exlibrisgroup.com/primo-explore/search?tab=default_tab&amp;search_scope=EVERYTHING&amp;vid=01CRU&amp;lang=en_US&amp;offset=0&amp;query=any,contains,991000081579702656","Catalog Record")</f>
        <v/>
      </c>
      <c r="AT232">
        <f>HYPERLINK("http://www.worldcat.org/oclc/8841093","WorldCat Record")</f>
        <v/>
      </c>
      <c r="AU232" t="inlineStr">
        <is>
          <t>30248697:eng</t>
        </is>
      </c>
      <c r="AV232" t="inlineStr">
        <is>
          <t>8841093</t>
        </is>
      </c>
      <c r="AW232" t="inlineStr">
        <is>
          <t>991000081579702656</t>
        </is>
      </c>
      <c r="AX232" t="inlineStr">
        <is>
          <t>991000081579702656</t>
        </is>
      </c>
      <c r="AY232" t="inlineStr">
        <is>
          <t>2258520890002656</t>
        </is>
      </c>
      <c r="AZ232" t="inlineStr">
        <is>
          <t>BOOK</t>
        </is>
      </c>
      <c r="BB232" t="inlineStr">
        <is>
          <t>9780840327178</t>
        </is>
      </c>
      <c r="BC232" t="inlineStr">
        <is>
          <t>32285001055630</t>
        </is>
      </c>
      <c r="BD232" t="inlineStr">
        <is>
          <t>893896597</t>
        </is>
      </c>
    </row>
    <row r="233">
      <c r="A233" t="inlineStr">
        <is>
          <t>No</t>
        </is>
      </c>
      <c r="B233" t="inlineStr">
        <is>
          <t>RA776 .C75 1988</t>
        </is>
      </c>
      <c r="C233" t="inlineStr">
        <is>
          <t>0                      RA 0776000C  75          1988</t>
        </is>
      </c>
      <c r="D233" t="inlineStr">
        <is>
          <t>The Complete manual of fitness and well-being.</t>
        </is>
      </c>
      <c r="F233" t="inlineStr">
        <is>
          <t>No</t>
        </is>
      </c>
      <c r="G233" t="inlineStr">
        <is>
          <t>1</t>
        </is>
      </c>
      <c r="H233" t="inlineStr">
        <is>
          <t>No</t>
        </is>
      </c>
      <c r="I233" t="inlineStr">
        <is>
          <t>No</t>
        </is>
      </c>
      <c r="J233" t="inlineStr">
        <is>
          <t>0</t>
        </is>
      </c>
      <c r="L233" t="inlineStr">
        <is>
          <t>Pleasantville, N.Y. : Reader's Digest Association, c1988.</t>
        </is>
      </c>
      <c r="M233" t="inlineStr">
        <is>
          <t>1988</t>
        </is>
      </c>
      <c r="N233" t="inlineStr">
        <is>
          <t>Rev. ed.</t>
        </is>
      </c>
      <c r="O233" t="inlineStr">
        <is>
          <t>eng</t>
        </is>
      </c>
      <c r="P233" t="inlineStr">
        <is>
          <t>nyu</t>
        </is>
      </c>
      <c r="R233" t="inlineStr">
        <is>
          <t xml:space="preserve">RA </t>
        </is>
      </c>
      <c r="S233" t="n">
        <v>3</v>
      </c>
      <c r="T233" t="n">
        <v>3</v>
      </c>
      <c r="U233" t="inlineStr">
        <is>
          <t>2002-06-11</t>
        </is>
      </c>
      <c r="V233" t="inlineStr">
        <is>
          <t>2002-06-11</t>
        </is>
      </c>
      <c r="W233" t="inlineStr">
        <is>
          <t>1997-11-21</t>
        </is>
      </c>
      <c r="X233" t="inlineStr">
        <is>
          <t>1997-11-21</t>
        </is>
      </c>
      <c r="Y233" t="n">
        <v>528</v>
      </c>
      <c r="Z233" t="n">
        <v>513</v>
      </c>
      <c r="AA233" t="n">
        <v>546</v>
      </c>
      <c r="AB233" t="n">
        <v>3</v>
      </c>
      <c r="AC233" t="n">
        <v>3</v>
      </c>
      <c r="AD233" t="n">
        <v>3</v>
      </c>
      <c r="AE233" t="n">
        <v>5</v>
      </c>
      <c r="AF233" t="n">
        <v>3</v>
      </c>
      <c r="AG233" t="n">
        <v>4</v>
      </c>
      <c r="AH233" t="n">
        <v>0</v>
      </c>
      <c r="AI233" t="n">
        <v>1</v>
      </c>
      <c r="AJ233" t="n">
        <v>2</v>
      </c>
      <c r="AK233" t="n">
        <v>2</v>
      </c>
      <c r="AL233" t="n">
        <v>0</v>
      </c>
      <c r="AM233" t="n">
        <v>0</v>
      </c>
      <c r="AN233" t="n">
        <v>0</v>
      </c>
      <c r="AO233" t="n">
        <v>0</v>
      </c>
      <c r="AP233" t="inlineStr">
        <is>
          <t>No</t>
        </is>
      </c>
      <c r="AQ233" t="inlineStr">
        <is>
          <t>Yes</t>
        </is>
      </c>
      <c r="AR233">
        <f>HYPERLINK("http://catalog.hathitrust.org/Record/009818371","HathiTrust Record")</f>
        <v/>
      </c>
      <c r="AS233">
        <f>HYPERLINK("https://creighton-primo.hosted.exlibrisgroup.com/primo-explore/search?tab=default_tab&amp;search_scope=EVERYTHING&amp;vid=01CRU&amp;lang=en_US&amp;offset=0&amp;query=any,contains,991001049039702656","Catalog Record")</f>
        <v/>
      </c>
      <c r="AT233">
        <f>HYPERLINK("http://www.worldcat.org/oclc/15632073","WorldCat Record")</f>
        <v/>
      </c>
      <c r="AU233" t="inlineStr">
        <is>
          <t>54951000:eng</t>
        </is>
      </c>
      <c r="AV233" t="inlineStr">
        <is>
          <t>15632073</t>
        </is>
      </c>
      <c r="AW233" t="inlineStr">
        <is>
          <t>991001049039702656</t>
        </is>
      </c>
      <c r="AX233" t="inlineStr">
        <is>
          <t>991001049039702656</t>
        </is>
      </c>
      <c r="AY233" t="inlineStr">
        <is>
          <t>2263949000002656</t>
        </is>
      </c>
      <c r="AZ233" t="inlineStr">
        <is>
          <t>BOOK</t>
        </is>
      </c>
      <c r="BB233" t="inlineStr">
        <is>
          <t>9780895772701</t>
        </is>
      </c>
      <c r="BC233" t="inlineStr">
        <is>
          <t>32285003272506</t>
        </is>
      </c>
      <c r="BD233" t="inlineStr">
        <is>
          <t>893778510</t>
        </is>
      </c>
    </row>
    <row r="234">
      <c r="A234" t="inlineStr">
        <is>
          <t>No</t>
        </is>
      </c>
      <c r="B234" t="inlineStr">
        <is>
          <t>RA776 .Y64 1987</t>
        </is>
      </c>
      <c r="C234" t="inlineStr">
        <is>
          <t>0                      RA 0776000Y  64          1987</t>
        </is>
      </c>
      <c r="D234" t="inlineStr">
        <is>
          <t>Your good health : how to stay well, and what to do when you're not / edited by William I. Bennett, Stephen E. Goldfinger, G. Timothy Johnson.</t>
        </is>
      </c>
      <c r="F234" t="inlineStr">
        <is>
          <t>No</t>
        </is>
      </c>
      <c r="G234" t="inlineStr">
        <is>
          <t>1</t>
        </is>
      </c>
      <c r="H234" t="inlineStr">
        <is>
          <t>No</t>
        </is>
      </c>
      <c r="I234" t="inlineStr">
        <is>
          <t>No</t>
        </is>
      </c>
      <c r="J234" t="inlineStr">
        <is>
          <t>0</t>
        </is>
      </c>
      <c r="L234" t="inlineStr">
        <is>
          <t>Cambridge, Mass. : Harvard University Press, 1987.</t>
        </is>
      </c>
      <c r="M234" t="inlineStr">
        <is>
          <t>1987</t>
        </is>
      </c>
      <c r="O234" t="inlineStr">
        <is>
          <t>eng</t>
        </is>
      </c>
      <c r="P234" t="inlineStr">
        <is>
          <t>mau</t>
        </is>
      </c>
      <c r="R234" t="inlineStr">
        <is>
          <t xml:space="preserve">RA </t>
        </is>
      </c>
      <c r="S234" t="n">
        <v>5</v>
      </c>
      <c r="T234" t="n">
        <v>5</v>
      </c>
      <c r="U234" t="inlineStr">
        <is>
          <t>2005-03-03</t>
        </is>
      </c>
      <c r="V234" t="inlineStr">
        <is>
          <t>2005-03-03</t>
        </is>
      </c>
      <c r="W234" t="inlineStr">
        <is>
          <t>1993-04-21</t>
        </is>
      </c>
      <c r="X234" t="inlineStr">
        <is>
          <t>1993-04-21</t>
        </is>
      </c>
      <c r="Y234" t="n">
        <v>590</v>
      </c>
      <c r="Z234" t="n">
        <v>552</v>
      </c>
      <c r="AA234" t="n">
        <v>569</v>
      </c>
      <c r="AB234" t="n">
        <v>3</v>
      </c>
      <c r="AC234" t="n">
        <v>3</v>
      </c>
      <c r="AD234" t="n">
        <v>4</v>
      </c>
      <c r="AE234" t="n">
        <v>4</v>
      </c>
      <c r="AF234" t="n">
        <v>1</v>
      </c>
      <c r="AG234" t="n">
        <v>1</v>
      </c>
      <c r="AH234" t="n">
        <v>0</v>
      </c>
      <c r="AI234" t="n">
        <v>0</v>
      </c>
      <c r="AJ234" t="n">
        <v>2</v>
      </c>
      <c r="AK234" t="n">
        <v>2</v>
      </c>
      <c r="AL234" t="n">
        <v>2</v>
      </c>
      <c r="AM234" t="n">
        <v>2</v>
      </c>
      <c r="AN234" t="n">
        <v>0</v>
      </c>
      <c r="AO234" t="n">
        <v>0</v>
      </c>
      <c r="AP234" t="inlineStr">
        <is>
          <t>No</t>
        </is>
      </c>
      <c r="AQ234" t="inlineStr">
        <is>
          <t>No</t>
        </is>
      </c>
      <c r="AS234">
        <f>HYPERLINK("https://creighton-primo.hosted.exlibrisgroup.com/primo-explore/search?tab=default_tab&amp;search_scope=EVERYTHING&amp;vid=01CRU&amp;lang=en_US&amp;offset=0&amp;query=any,contains,991001093159702656","Catalog Record")</f>
        <v/>
      </c>
      <c r="AT234">
        <f>HYPERLINK("http://www.worldcat.org/oclc/16226742","WorldCat Record")</f>
        <v/>
      </c>
      <c r="AU234" t="inlineStr">
        <is>
          <t>430838836:eng</t>
        </is>
      </c>
      <c r="AV234" t="inlineStr">
        <is>
          <t>16226742</t>
        </is>
      </c>
      <c r="AW234" t="inlineStr">
        <is>
          <t>991001093159702656</t>
        </is>
      </c>
      <c r="AX234" t="inlineStr">
        <is>
          <t>991001093159702656</t>
        </is>
      </c>
      <c r="AY234" t="inlineStr">
        <is>
          <t>2266376790002656</t>
        </is>
      </c>
      <c r="AZ234" t="inlineStr">
        <is>
          <t>BOOK</t>
        </is>
      </c>
      <c r="BB234" t="inlineStr">
        <is>
          <t>9780674966314</t>
        </is>
      </c>
      <c r="BC234" t="inlineStr">
        <is>
          <t>32285001622975</t>
        </is>
      </c>
      <c r="BD234" t="inlineStr">
        <is>
          <t>893327871</t>
        </is>
      </c>
    </row>
    <row r="235">
      <c r="A235" t="inlineStr">
        <is>
          <t>No</t>
        </is>
      </c>
      <c r="B235" t="inlineStr">
        <is>
          <t>RA776.5 .G65</t>
        </is>
      </c>
      <c r="C235" t="inlineStr">
        <is>
          <t>0                      RA 0776500G  65</t>
        </is>
      </c>
      <c r="D235" t="inlineStr">
        <is>
          <t>Executive health : how to recognize health danger signals and manage stress successfully / by Philip Goldberg.</t>
        </is>
      </c>
      <c r="F235" t="inlineStr">
        <is>
          <t>No</t>
        </is>
      </c>
      <c r="G235" t="inlineStr">
        <is>
          <t>1</t>
        </is>
      </c>
      <c r="H235" t="inlineStr">
        <is>
          <t>No</t>
        </is>
      </c>
      <c r="I235" t="inlineStr">
        <is>
          <t>No</t>
        </is>
      </c>
      <c r="J235" t="inlineStr">
        <is>
          <t>0</t>
        </is>
      </c>
      <c r="K235" t="inlineStr">
        <is>
          <t>Goldberg, Philip, 1944-</t>
        </is>
      </c>
      <c r="L235" t="inlineStr">
        <is>
          <t>New York : Business Week, McGraw-Hill, c1978.</t>
        </is>
      </c>
      <c r="M235" t="inlineStr">
        <is>
          <t>1978</t>
        </is>
      </c>
      <c r="O235" t="inlineStr">
        <is>
          <t>eng</t>
        </is>
      </c>
      <c r="P235" t="inlineStr">
        <is>
          <t>nyu</t>
        </is>
      </c>
      <c r="R235" t="inlineStr">
        <is>
          <t xml:space="preserve">RA </t>
        </is>
      </c>
      <c r="S235" t="n">
        <v>2</v>
      </c>
      <c r="T235" t="n">
        <v>2</v>
      </c>
      <c r="U235" t="inlineStr">
        <is>
          <t>2006-03-29</t>
        </is>
      </c>
      <c r="V235" t="inlineStr">
        <is>
          <t>2006-03-29</t>
        </is>
      </c>
      <c r="W235" t="inlineStr">
        <is>
          <t>1993-03-11</t>
        </is>
      </c>
      <c r="X235" t="inlineStr">
        <is>
          <t>1993-03-11</t>
        </is>
      </c>
      <c r="Y235" t="n">
        <v>454</v>
      </c>
      <c r="Z235" t="n">
        <v>416</v>
      </c>
      <c r="AA235" t="n">
        <v>428</v>
      </c>
      <c r="AB235" t="n">
        <v>1</v>
      </c>
      <c r="AC235" t="n">
        <v>1</v>
      </c>
      <c r="AD235" t="n">
        <v>5</v>
      </c>
      <c r="AE235" t="n">
        <v>6</v>
      </c>
      <c r="AF235" t="n">
        <v>4</v>
      </c>
      <c r="AG235" t="n">
        <v>4</v>
      </c>
      <c r="AH235" t="n">
        <v>0</v>
      </c>
      <c r="AI235" t="n">
        <v>0</v>
      </c>
      <c r="AJ235" t="n">
        <v>2</v>
      </c>
      <c r="AK235" t="n">
        <v>3</v>
      </c>
      <c r="AL235" t="n">
        <v>0</v>
      </c>
      <c r="AM235" t="n">
        <v>0</v>
      </c>
      <c r="AN235" t="n">
        <v>0</v>
      </c>
      <c r="AO235" t="n">
        <v>0</v>
      </c>
      <c r="AP235" t="inlineStr">
        <is>
          <t>No</t>
        </is>
      </c>
      <c r="AQ235" t="inlineStr">
        <is>
          <t>No</t>
        </is>
      </c>
      <c r="AS235">
        <f>HYPERLINK("https://creighton-primo.hosted.exlibrisgroup.com/primo-explore/search?tab=default_tab&amp;search_scope=EVERYTHING&amp;vid=01CRU&amp;lang=en_US&amp;offset=0&amp;query=any,contains,991004525929702656","Catalog Record")</f>
        <v/>
      </c>
      <c r="AT235">
        <f>HYPERLINK("http://www.worldcat.org/oclc/3843499","WorldCat Record")</f>
        <v/>
      </c>
      <c r="AU235" t="inlineStr">
        <is>
          <t>3902620966:eng</t>
        </is>
      </c>
      <c r="AV235" t="inlineStr">
        <is>
          <t>3843499</t>
        </is>
      </c>
      <c r="AW235" t="inlineStr">
        <is>
          <t>991004525929702656</t>
        </is>
      </c>
      <c r="AX235" t="inlineStr">
        <is>
          <t>991004525929702656</t>
        </is>
      </c>
      <c r="AY235" t="inlineStr">
        <is>
          <t>2266402540002656</t>
        </is>
      </c>
      <c r="AZ235" t="inlineStr">
        <is>
          <t>BOOK</t>
        </is>
      </c>
      <c r="BB235" t="inlineStr">
        <is>
          <t>9780070236479</t>
        </is>
      </c>
      <c r="BC235" t="inlineStr">
        <is>
          <t>32285001587558</t>
        </is>
      </c>
      <c r="BD235" t="inlineStr">
        <is>
          <t>893350120</t>
        </is>
      </c>
    </row>
    <row r="236">
      <c r="A236" t="inlineStr">
        <is>
          <t>No</t>
        </is>
      </c>
      <c r="B236" t="inlineStr">
        <is>
          <t>RA776.5 .H35</t>
        </is>
      </c>
      <c r="C236" t="inlineStr">
        <is>
          <t>0                      RA 0776500H  35</t>
        </is>
      </c>
      <c r="D236" t="inlineStr">
        <is>
          <t>Everything you've always wanted to know about energy, but were too weak to ask / Naura Hayden.</t>
        </is>
      </c>
      <c r="F236" t="inlineStr">
        <is>
          <t>No</t>
        </is>
      </c>
      <c r="G236" t="inlineStr">
        <is>
          <t>1</t>
        </is>
      </c>
      <c r="H236" t="inlineStr">
        <is>
          <t>No</t>
        </is>
      </c>
      <c r="I236" t="inlineStr">
        <is>
          <t>No</t>
        </is>
      </c>
      <c r="J236" t="inlineStr">
        <is>
          <t>0</t>
        </is>
      </c>
      <c r="K236" t="inlineStr">
        <is>
          <t>Hayden, Naura.</t>
        </is>
      </c>
      <c r="L236" t="inlineStr">
        <is>
          <t>New York : Hawthorn Books, c1976.</t>
        </is>
      </c>
      <c r="M236" t="inlineStr">
        <is>
          <t>1976</t>
        </is>
      </c>
      <c r="O236" t="inlineStr">
        <is>
          <t>eng</t>
        </is>
      </c>
      <c r="P236" t="inlineStr">
        <is>
          <t>nyu</t>
        </is>
      </c>
      <c r="R236" t="inlineStr">
        <is>
          <t xml:space="preserve">RA </t>
        </is>
      </c>
      <c r="S236" t="n">
        <v>2</v>
      </c>
      <c r="T236" t="n">
        <v>2</v>
      </c>
      <c r="U236" t="inlineStr">
        <is>
          <t>1993-04-20</t>
        </is>
      </c>
      <c r="V236" t="inlineStr">
        <is>
          <t>1993-04-20</t>
        </is>
      </c>
      <c r="W236" t="inlineStr">
        <is>
          <t>1992-05-21</t>
        </is>
      </c>
      <c r="X236" t="inlineStr">
        <is>
          <t>1992-05-21</t>
        </is>
      </c>
      <c r="Y236" t="n">
        <v>256</v>
      </c>
      <c r="Z236" t="n">
        <v>251</v>
      </c>
      <c r="AA236" t="n">
        <v>314</v>
      </c>
      <c r="AB236" t="n">
        <v>4</v>
      </c>
      <c r="AC236" t="n">
        <v>4</v>
      </c>
      <c r="AD236" t="n">
        <v>2</v>
      </c>
      <c r="AE236" t="n">
        <v>4</v>
      </c>
      <c r="AF236" t="n">
        <v>0</v>
      </c>
      <c r="AG236" t="n">
        <v>1</v>
      </c>
      <c r="AH236" t="n">
        <v>1</v>
      </c>
      <c r="AI236" t="n">
        <v>2</v>
      </c>
      <c r="AJ236" t="n">
        <v>1</v>
      </c>
      <c r="AK236" t="n">
        <v>1</v>
      </c>
      <c r="AL236" t="n">
        <v>1</v>
      </c>
      <c r="AM236" t="n">
        <v>1</v>
      </c>
      <c r="AN236" t="n">
        <v>0</v>
      </c>
      <c r="AO236" t="n">
        <v>0</v>
      </c>
      <c r="AP236" t="inlineStr">
        <is>
          <t>No</t>
        </is>
      </c>
      <c r="AQ236" t="inlineStr">
        <is>
          <t>No</t>
        </is>
      </c>
      <c r="AS236">
        <f>HYPERLINK("https://creighton-primo.hosted.exlibrisgroup.com/primo-explore/search?tab=default_tab&amp;search_scope=EVERYTHING&amp;vid=01CRU&amp;lang=en_US&amp;offset=0&amp;query=any,contains,991004148209702656","Catalog Record")</f>
        <v/>
      </c>
      <c r="AT236">
        <f>HYPERLINK("http://www.worldcat.org/oclc/2517705","WorldCat Record")</f>
        <v/>
      </c>
      <c r="AU236" t="inlineStr">
        <is>
          <t>383650:eng</t>
        </is>
      </c>
      <c r="AV236" t="inlineStr">
        <is>
          <t>2517705</t>
        </is>
      </c>
      <c r="AW236" t="inlineStr">
        <is>
          <t>991004148209702656</t>
        </is>
      </c>
      <c r="AX236" t="inlineStr">
        <is>
          <t>991004148209702656</t>
        </is>
      </c>
      <c r="AY236" t="inlineStr">
        <is>
          <t>2258163920002656</t>
        </is>
      </c>
      <c r="AZ236" t="inlineStr">
        <is>
          <t>BOOK</t>
        </is>
      </c>
      <c r="BB236" t="inlineStr">
        <is>
          <t>9780801585739</t>
        </is>
      </c>
      <c r="BC236" t="inlineStr">
        <is>
          <t>32285001112738</t>
        </is>
      </c>
      <c r="BD236" t="inlineStr">
        <is>
          <t>893535833</t>
        </is>
      </c>
    </row>
    <row r="237">
      <c r="A237" t="inlineStr">
        <is>
          <t>No</t>
        </is>
      </c>
      <c r="B237" t="inlineStr">
        <is>
          <t>RA778 .B645 1994</t>
        </is>
      </c>
      <c r="C237" t="inlineStr">
        <is>
          <t>0                      RA 0778000B  645         1994</t>
        </is>
      </c>
      <c r="D237" t="inlineStr">
        <is>
          <t>The Black women's health book : speaking for ourselves / edited by Evelyn C. White.</t>
        </is>
      </c>
      <c r="F237" t="inlineStr">
        <is>
          <t>No</t>
        </is>
      </c>
      <c r="G237" t="inlineStr">
        <is>
          <t>1</t>
        </is>
      </c>
      <c r="H237" t="inlineStr">
        <is>
          <t>No</t>
        </is>
      </c>
      <c r="I237" t="inlineStr">
        <is>
          <t>No</t>
        </is>
      </c>
      <c r="J237" t="inlineStr">
        <is>
          <t>0</t>
        </is>
      </c>
      <c r="L237" t="inlineStr">
        <is>
          <t>Seattle, Wash. : Seal, c1994.</t>
        </is>
      </c>
      <c r="M237" t="inlineStr">
        <is>
          <t>1994</t>
        </is>
      </c>
      <c r="N237" t="inlineStr">
        <is>
          <t>New, expanded ed., rev. ed.</t>
        </is>
      </c>
      <c r="O237" t="inlineStr">
        <is>
          <t>eng</t>
        </is>
      </c>
      <c r="P237" t="inlineStr">
        <is>
          <t>wau</t>
        </is>
      </c>
      <c r="R237" t="inlineStr">
        <is>
          <t xml:space="preserve">RA </t>
        </is>
      </c>
      <c r="S237" t="n">
        <v>5</v>
      </c>
      <c r="T237" t="n">
        <v>5</v>
      </c>
      <c r="U237" t="inlineStr">
        <is>
          <t>1996-01-23</t>
        </is>
      </c>
      <c r="V237" t="inlineStr">
        <is>
          <t>1996-01-23</t>
        </is>
      </c>
      <c r="W237" t="inlineStr">
        <is>
          <t>1994-08-03</t>
        </is>
      </c>
      <c r="X237" t="inlineStr">
        <is>
          <t>1994-08-03</t>
        </is>
      </c>
      <c r="Y237" t="n">
        <v>447</v>
      </c>
      <c r="Z237" t="n">
        <v>431</v>
      </c>
      <c r="AA237" t="n">
        <v>435</v>
      </c>
      <c r="AB237" t="n">
        <v>1</v>
      </c>
      <c r="AC237" t="n">
        <v>1</v>
      </c>
      <c r="AD237" t="n">
        <v>5</v>
      </c>
      <c r="AE237" t="n">
        <v>5</v>
      </c>
      <c r="AF237" t="n">
        <v>2</v>
      </c>
      <c r="AG237" t="n">
        <v>2</v>
      </c>
      <c r="AH237" t="n">
        <v>1</v>
      </c>
      <c r="AI237" t="n">
        <v>1</v>
      </c>
      <c r="AJ237" t="n">
        <v>3</v>
      </c>
      <c r="AK237" t="n">
        <v>3</v>
      </c>
      <c r="AL237" t="n">
        <v>0</v>
      </c>
      <c r="AM237" t="n">
        <v>0</v>
      </c>
      <c r="AN237" t="n">
        <v>0</v>
      </c>
      <c r="AO237" t="n">
        <v>0</v>
      </c>
      <c r="AP237" t="inlineStr">
        <is>
          <t>No</t>
        </is>
      </c>
      <c r="AQ237" t="inlineStr">
        <is>
          <t>No</t>
        </is>
      </c>
      <c r="AS237">
        <f>HYPERLINK("https://creighton-primo.hosted.exlibrisgroup.com/primo-explore/search?tab=default_tab&amp;search_scope=EVERYTHING&amp;vid=01CRU&amp;lang=en_US&amp;offset=0&amp;query=any,contains,991002218539702656","Catalog Record")</f>
        <v/>
      </c>
      <c r="AT237">
        <f>HYPERLINK("http://www.worldcat.org/oclc/28583646","WorldCat Record")</f>
        <v/>
      </c>
      <c r="AU237" t="inlineStr">
        <is>
          <t>2070283057:eng</t>
        </is>
      </c>
      <c r="AV237" t="inlineStr">
        <is>
          <t>28583646</t>
        </is>
      </c>
      <c r="AW237" t="inlineStr">
        <is>
          <t>991002218539702656</t>
        </is>
      </c>
      <c r="AX237" t="inlineStr">
        <is>
          <t>991002218539702656</t>
        </is>
      </c>
      <c r="AY237" t="inlineStr">
        <is>
          <t>2258376910002656</t>
        </is>
      </c>
      <c r="AZ237" t="inlineStr">
        <is>
          <t>BOOK</t>
        </is>
      </c>
      <c r="BB237" t="inlineStr">
        <is>
          <t>9781878067401</t>
        </is>
      </c>
      <c r="BC237" t="inlineStr">
        <is>
          <t>32285001941102</t>
        </is>
      </c>
      <c r="BD237" t="inlineStr">
        <is>
          <t>893609588</t>
        </is>
      </c>
    </row>
    <row r="238">
      <c r="A238" t="inlineStr">
        <is>
          <t>No</t>
        </is>
      </c>
      <c r="B238" t="inlineStr">
        <is>
          <t>RA778 .B795</t>
        </is>
      </c>
      <c r="C238" t="inlineStr">
        <is>
          <t>0                      RA 0778000B  795</t>
        </is>
      </c>
      <c r="D238" t="inlineStr">
        <is>
          <t>Things a lady would like to know concerning health &amp; beauty / compiled, edited &amp; designed by Michael Brett.</t>
        </is>
      </c>
      <c r="F238" t="inlineStr">
        <is>
          <t>No</t>
        </is>
      </c>
      <c r="G238" t="inlineStr">
        <is>
          <t>1</t>
        </is>
      </c>
      <c r="H238" t="inlineStr">
        <is>
          <t>No</t>
        </is>
      </c>
      <c r="I238" t="inlineStr">
        <is>
          <t>No</t>
        </is>
      </c>
      <c r="J238" t="inlineStr">
        <is>
          <t>0</t>
        </is>
      </c>
      <c r="K238" t="inlineStr">
        <is>
          <t>Brett, Michael, 1907-1974.</t>
        </is>
      </c>
      <c r="L238" t="inlineStr">
        <is>
          <t>London : Hutchinson, 1970.</t>
        </is>
      </c>
      <c r="M238" t="inlineStr">
        <is>
          <t>1970</t>
        </is>
      </c>
      <c r="O238" t="inlineStr">
        <is>
          <t>eng</t>
        </is>
      </c>
      <c r="P238" t="inlineStr">
        <is>
          <t>enk</t>
        </is>
      </c>
      <c r="R238" t="inlineStr">
        <is>
          <t xml:space="preserve">RA </t>
        </is>
      </c>
      <c r="S238" t="n">
        <v>2</v>
      </c>
      <c r="T238" t="n">
        <v>2</v>
      </c>
      <c r="U238" t="inlineStr">
        <is>
          <t>1994-11-16</t>
        </is>
      </c>
      <c r="V238" t="inlineStr">
        <is>
          <t>1994-11-16</t>
        </is>
      </c>
      <c r="W238" t="inlineStr">
        <is>
          <t>1994-02-22</t>
        </is>
      </c>
      <c r="X238" t="inlineStr">
        <is>
          <t>1994-02-22</t>
        </is>
      </c>
      <c r="Y238" t="n">
        <v>19</v>
      </c>
      <c r="Z238" t="n">
        <v>11</v>
      </c>
      <c r="AA238" t="n">
        <v>11</v>
      </c>
      <c r="AB238" t="n">
        <v>1</v>
      </c>
      <c r="AC238" t="n">
        <v>1</v>
      </c>
      <c r="AD238" t="n">
        <v>0</v>
      </c>
      <c r="AE238" t="n">
        <v>0</v>
      </c>
      <c r="AF238" t="n">
        <v>0</v>
      </c>
      <c r="AG238" t="n">
        <v>0</v>
      </c>
      <c r="AH238" t="n">
        <v>0</v>
      </c>
      <c r="AI238" t="n">
        <v>0</v>
      </c>
      <c r="AJ238" t="n">
        <v>0</v>
      </c>
      <c r="AK238" t="n">
        <v>0</v>
      </c>
      <c r="AL238" t="n">
        <v>0</v>
      </c>
      <c r="AM238" t="n">
        <v>0</v>
      </c>
      <c r="AN238" t="n">
        <v>0</v>
      </c>
      <c r="AO238" t="n">
        <v>0</v>
      </c>
      <c r="AP238" t="inlineStr">
        <is>
          <t>No</t>
        </is>
      </c>
      <c r="AQ238" t="inlineStr">
        <is>
          <t>No</t>
        </is>
      </c>
      <c r="AS238">
        <f>HYPERLINK("https://creighton-primo.hosted.exlibrisgroup.com/primo-explore/search?tab=default_tab&amp;search_scope=EVERYTHING&amp;vid=01CRU&amp;lang=en_US&amp;offset=0&amp;query=any,contains,991000725289702656","Catalog Record")</f>
        <v/>
      </c>
      <c r="AT238">
        <f>HYPERLINK("http://www.worldcat.org/oclc/127458","WorldCat Record")</f>
        <v/>
      </c>
      <c r="AU238" t="inlineStr">
        <is>
          <t>5608985518:eng</t>
        </is>
      </c>
      <c r="AV238" t="inlineStr">
        <is>
          <t>127458</t>
        </is>
      </c>
      <c r="AW238" t="inlineStr">
        <is>
          <t>991000725289702656</t>
        </is>
      </c>
      <c r="AX238" t="inlineStr">
        <is>
          <t>991000725289702656</t>
        </is>
      </c>
      <c r="AY238" t="inlineStr">
        <is>
          <t>2261020870002656</t>
        </is>
      </c>
      <c r="AZ238" t="inlineStr">
        <is>
          <t>BOOK</t>
        </is>
      </c>
      <c r="BB238" t="inlineStr">
        <is>
          <t>9780091043315</t>
        </is>
      </c>
      <c r="BC238" t="inlineStr">
        <is>
          <t>32285001838993</t>
        </is>
      </c>
      <c r="BD238" t="inlineStr">
        <is>
          <t>893614448</t>
        </is>
      </c>
    </row>
    <row r="239">
      <c r="A239" t="inlineStr">
        <is>
          <t>No</t>
        </is>
      </c>
      <c r="B239" t="inlineStr">
        <is>
          <t>RA778 .C759 1996</t>
        </is>
      </c>
      <c r="C239" t="inlineStr">
        <is>
          <t>0                      RA 0778000C  759         1996</t>
        </is>
      </c>
      <c r="D239" t="inlineStr">
        <is>
          <t>First impressions : tips to enhance your image / Joni Craighead.</t>
        </is>
      </c>
      <c r="F239" t="inlineStr">
        <is>
          <t>No</t>
        </is>
      </c>
      <c r="G239" t="inlineStr">
        <is>
          <t>1</t>
        </is>
      </c>
      <c r="H239" t="inlineStr">
        <is>
          <t>No</t>
        </is>
      </c>
      <c r="I239" t="inlineStr">
        <is>
          <t>No</t>
        </is>
      </c>
      <c r="J239" t="inlineStr">
        <is>
          <t>0</t>
        </is>
      </c>
      <c r="K239" t="inlineStr">
        <is>
          <t>Craighead, Joni, 1954-</t>
        </is>
      </c>
      <c r="L239" t="inlineStr">
        <is>
          <t>Omaha, Neb. : Addicus Books, c1996.</t>
        </is>
      </c>
      <c r="M239" t="inlineStr">
        <is>
          <t>1996</t>
        </is>
      </c>
      <c r="O239" t="inlineStr">
        <is>
          <t>eng</t>
        </is>
      </c>
      <c r="P239" t="inlineStr">
        <is>
          <t>nbu</t>
        </is>
      </c>
      <c r="R239" t="inlineStr">
        <is>
          <t xml:space="preserve">RA </t>
        </is>
      </c>
      <c r="S239" t="n">
        <v>4</v>
      </c>
      <c r="T239" t="n">
        <v>4</v>
      </c>
      <c r="U239" t="inlineStr">
        <is>
          <t>2007-11-07</t>
        </is>
      </c>
      <c r="V239" t="inlineStr">
        <is>
          <t>2007-11-07</t>
        </is>
      </c>
      <c r="W239" t="inlineStr">
        <is>
          <t>2003-01-13</t>
        </is>
      </c>
      <c r="X239" t="inlineStr">
        <is>
          <t>2003-01-13</t>
        </is>
      </c>
      <c r="Y239" t="n">
        <v>53</v>
      </c>
      <c r="Z239" t="n">
        <v>53</v>
      </c>
      <c r="AA239" t="n">
        <v>196</v>
      </c>
      <c r="AB239" t="n">
        <v>1</v>
      </c>
      <c r="AC239" t="n">
        <v>2</v>
      </c>
      <c r="AD239" t="n">
        <v>0</v>
      </c>
      <c r="AE239" t="n">
        <v>4</v>
      </c>
      <c r="AF239" t="n">
        <v>0</v>
      </c>
      <c r="AG239" t="n">
        <v>3</v>
      </c>
      <c r="AH239" t="n">
        <v>0</v>
      </c>
      <c r="AI239" t="n">
        <v>1</v>
      </c>
      <c r="AJ239" t="n">
        <v>0</v>
      </c>
      <c r="AK239" t="n">
        <v>0</v>
      </c>
      <c r="AL239" t="n">
        <v>0</v>
      </c>
      <c r="AM239" t="n">
        <v>1</v>
      </c>
      <c r="AN239" t="n">
        <v>0</v>
      </c>
      <c r="AO239" t="n">
        <v>0</v>
      </c>
      <c r="AP239" t="inlineStr">
        <is>
          <t>No</t>
        </is>
      </c>
      <c r="AQ239" t="inlineStr">
        <is>
          <t>No</t>
        </is>
      </c>
      <c r="AS239">
        <f>HYPERLINK("https://creighton-primo.hosted.exlibrisgroup.com/primo-explore/search?tab=default_tab&amp;search_scope=EVERYTHING&amp;vid=01CRU&amp;lang=en_US&amp;offset=0&amp;query=any,contains,991003962019702656","Catalog Record")</f>
        <v/>
      </c>
      <c r="AT239">
        <f>HYPERLINK("http://www.worldcat.org/oclc/35121715","WorldCat Record")</f>
        <v/>
      </c>
      <c r="AU239" t="inlineStr">
        <is>
          <t>837063760:eng</t>
        </is>
      </c>
      <c r="AV239" t="inlineStr">
        <is>
          <t>35121715</t>
        </is>
      </c>
      <c r="AW239" t="inlineStr">
        <is>
          <t>991003962019702656</t>
        </is>
      </c>
      <c r="AX239" t="inlineStr">
        <is>
          <t>991003962019702656</t>
        </is>
      </c>
      <c r="AY239" t="inlineStr">
        <is>
          <t>2258605630002656</t>
        </is>
      </c>
      <c r="AZ239" t="inlineStr">
        <is>
          <t>BOOK</t>
        </is>
      </c>
      <c r="BB239" t="inlineStr">
        <is>
          <t>9781886039261</t>
        </is>
      </c>
      <c r="BC239" t="inlineStr">
        <is>
          <t>32285004693916</t>
        </is>
      </c>
      <c r="BD239" t="inlineStr">
        <is>
          <t>893875523</t>
        </is>
      </c>
    </row>
    <row r="240">
      <c r="A240" t="inlineStr">
        <is>
          <t>No</t>
        </is>
      </c>
      <c r="B240" t="inlineStr">
        <is>
          <t>RA778 .L867 1984</t>
        </is>
      </c>
      <c r="C240" t="inlineStr">
        <is>
          <t>0                      RA 0778000L  867         1984</t>
        </is>
      </c>
      <c r="D240" t="inlineStr">
        <is>
          <t>Women &amp; beauty / by Sophia Loren.</t>
        </is>
      </c>
      <c r="F240" t="inlineStr">
        <is>
          <t>No</t>
        </is>
      </c>
      <c r="G240" t="inlineStr">
        <is>
          <t>1</t>
        </is>
      </c>
      <c r="H240" t="inlineStr">
        <is>
          <t>No</t>
        </is>
      </c>
      <c r="I240" t="inlineStr">
        <is>
          <t>No</t>
        </is>
      </c>
      <c r="J240" t="inlineStr">
        <is>
          <t>0</t>
        </is>
      </c>
      <c r="K240" t="inlineStr">
        <is>
          <t>Loren, Sophia, 1934-</t>
        </is>
      </c>
      <c r="L240" t="inlineStr">
        <is>
          <t>New York : Morrow, c1984.</t>
        </is>
      </c>
      <c r="M240" t="inlineStr">
        <is>
          <t>1984</t>
        </is>
      </c>
      <c r="N240" t="inlineStr">
        <is>
          <t>1st U.S. ed.</t>
        </is>
      </c>
      <c r="O240" t="inlineStr">
        <is>
          <t>eng</t>
        </is>
      </c>
      <c r="P240" t="inlineStr">
        <is>
          <t>nyu</t>
        </is>
      </c>
      <c r="R240" t="inlineStr">
        <is>
          <t xml:space="preserve">RA </t>
        </is>
      </c>
      <c r="S240" t="n">
        <v>10</v>
      </c>
      <c r="T240" t="n">
        <v>10</v>
      </c>
      <c r="U240" t="inlineStr">
        <is>
          <t>2009-07-24</t>
        </is>
      </c>
      <c r="V240" t="inlineStr">
        <is>
          <t>2009-07-24</t>
        </is>
      </c>
      <c r="W240" t="inlineStr">
        <is>
          <t>1990-02-02</t>
        </is>
      </c>
      <c r="X240" t="inlineStr">
        <is>
          <t>1990-02-02</t>
        </is>
      </c>
      <c r="Y240" t="n">
        <v>422</v>
      </c>
      <c r="Z240" t="n">
        <v>414</v>
      </c>
      <c r="AA240" t="n">
        <v>414</v>
      </c>
      <c r="AB240" t="n">
        <v>2</v>
      </c>
      <c r="AC240" t="n">
        <v>2</v>
      </c>
      <c r="AD240" t="n">
        <v>1</v>
      </c>
      <c r="AE240" t="n">
        <v>1</v>
      </c>
      <c r="AF240" t="n">
        <v>1</v>
      </c>
      <c r="AG240" t="n">
        <v>1</v>
      </c>
      <c r="AH240" t="n">
        <v>0</v>
      </c>
      <c r="AI240" t="n">
        <v>0</v>
      </c>
      <c r="AJ240" t="n">
        <v>0</v>
      </c>
      <c r="AK240" t="n">
        <v>0</v>
      </c>
      <c r="AL240" t="n">
        <v>0</v>
      </c>
      <c r="AM240" t="n">
        <v>0</v>
      </c>
      <c r="AN240" t="n">
        <v>0</v>
      </c>
      <c r="AO240" t="n">
        <v>0</v>
      </c>
      <c r="AP240" t="inlineStr">
        <is>
          <t>No</t>
        </is>
      </c>
      <c r="AQ240" t="inlineStr">
        <is>
          <t>No</t>
        </is>
      </c>
      <c r="AS240">
        <f>HYPERLINK("https://creighton-primo.hosted.exlibrisgroup.com/primo-explore/search?tab=default_tab&amp;search_scope=EVERYTHING&amp;vid=01CRU&amp;lang=en_US&amp;offset=0&amp;query=any,contains,991000494189702656","Catalog Record")</f>
        <v/>
      </c>
      <c r="AT240">
        <f>HYPERLINK("http://www.worldcat.org/oclc/11129217","WorldCat Record")</f>
        <v/>
      </c>
      <c r="AU240" t="inlineStr">
        <is>
          <t>3987716:eng</t>
        </is>
      </c>
      <c r="AV240" t="inlineStr">
        <is>
          <t>11129217</t>
        </is>
      </c>
      <c r="AW240" t="inlineStr">
        <is>
          <t>991000494189702656</t>
        </is>
      </c>
      <c r="AX240" t="inlineStr">
        <is>
          <t>991000494189702656</t>
        </is>
      </c>
      <c r="AY240" t="inlineStr">
        <is>
          <t>2259863680002656</t>
        </is>
      </c>
      <c r="AZ240" t="inlineStr">
        <is>
          <t>BOOK</t>
        </is>
      </c>
      <c r="BB240" t="inlineStr">
        <is>
          <t>9780688013943</t>
        </is>
      </c>
      <c r="BC240" t="inlineStr">
        <is>
          <t>32285000032432</t>
        </is>
      </c>
      <c r="BD240" t="inlineStr">
        <is>
          <t>893896925</t>
        </is>
      </c>
    </row>
    <row r="241">
      <c r="A241" t="inlineStr">
        <is>
          <t>No</t>
        </is>
      </c>
      <c r="B241" t="inlineStr">
        <is>
          <t>RA778 .S48 1963</t>
        </is>
      </c>
      <c r="C241" t="inlineStr">
        <is>
          <t>0                      RA 0778000S  48          1963</t>
        </is>
      </c>
      <c r="D241" t="inlineStr">
        <is>
          <t>Over 50--so what! / by Hildegarde [pseud.] with Adele Whitely Fletcher.</t>
        </is>
      </c>
      <c r="F241" t="inlineStr">
        <is>
          <t>No</t>
        </is>
      </c>
      <c r="G241" t="inlineStr">
        <is>
          <t>1</t>
        </is>
      </c>
      <c r="H241" t="inlineStr">
        <is>
          <t>No</t>
        </is>
      </c>
      <c r="I241" t="inlineStr">
        <is>
          <t>No</t>
        </is>
      </c>
      <c r="J241" t="inlineStr">
        <is>
          <t>0</t>
        </is>
      </c>
      <c r="K241" t="inlineStr">
        <is>
          <t>Hildegarde, 1906-2005.</t>
        </is>
      </c>
      <c r="L241" t="inlineStr">
        <is>
          <t>Garden City, N. Y. : Doubleday, 1963, c1962.</t>
        </is>
      </c>
      <c r="M241" t="inlineStr">
        <is>
          <t>1963</t>
        </is>
      </c>
      <c r="N241" t="inlineStr">
        <is>
          <t>[1st ed.]</t>
        </is>
      </c>
      <c r="O241" t="inlineStr">
        <is>
          <t>eng</t>
        </is>
      </c>
      <c r="P241" t="inlineStr">
        <is>
          <t>___</t>
        </is>
      </c>
      <c r="R241" t="inlineStr">
        <is>
          <t xml:space="preserve">RA </t>
        </is>
      </c>
      <c r="S241" t="n">
        <v>2</v>
      </c>
      <c r="T241" t="n">
        <v>2</v>
      </c>
      <c r="U241" t="inlineStr">
        <is>
          <t>1994-11-16</t>
        </is>
      </c>
      <c r="V241" t="inlineStr">
        <is>
          <t>1994-11-16</t>
        </is>
      </c>
      <c r="W241" t="inlineStr">
        <is>
          <t>1993-03-11</t>
        </is>
      </c>
      <c r="X241" t="inlineStr">
        <is>
          <t>1993-03-11</t>
        </is>
      </c>
      <c r="Y241" t="n">
        <v>81</v>
      </c>
      <c r="Z241" t="n">
        <v>76</v>
      </c>
      <c r="AA241" t="n">
        <v>92</v>
      </c>
      <c r="AB241" t="n">
        <v>1</v>
      </c>
      <c r="AC241" t="n">
        <v>1</v>
      </c>
      <c r="AD241" t="n">
        <v>1</v>
      </c>
      <c r="AE241" t="n">
        <v>2</v>
      </c>
      <c r="AF241" t="n">
        <v>0</v>
      </c>
      <c r="AG241" t="n">
        <v>0</v>
      </c>
      <c r="AH241" t="n">
        <v>0</v>
      </c>
      <c r="AI241" t="n">
        <v>1</v>
      </c>
      <c r="AJ241" t="n">
        <v>1</v>
      </c>
      <c r="AK241" t="n">
        <v>2</v>
      </c>
      <c r="AL241" t="n">
        <v>0</v>
      </c>
      <c r="AM241" t="n">
        <v>0</v>
      </c>
      <c r="AN241" t="n">
        <v>0</v>
      </c>
      <c r="AO241" t="n">
        <v>0</v>
      </c>
      <c r="AP241" t="inlineStr">
        <is>
          <t>No</t>
        </is>
      </c>
      <c r="AQ241" t="inlineStr">
        <is>
          <t>No</t>
        </is>
      </c>
      <c r="AS241">
        <f>HYPERLINK("https://creighton-primo.hosted.exlibrisgroup.com/primo-explore/search?tab=default_tab&amp;search_scope=EVERYTHING&amp;vid=01CRU&amp;lang=en_US&amp;offset=0&amp;query=any,contains,991003753919702656","Catalog Record")</f>
        <v/>
      </c>
      <c r="AT241">
        <f>HYPERLINK("http://www.worldcat.org/oclc/1432951","WorldCat Record")</f>
        <v/>
      </c>
      <c r="AU241" t="inlineStr">
        <is>
          <t>49031320:eng</t>
        </is>
      </c>
      <c r="AV241" t="inlineStr">
        <is>
          <t>1432951</t>
        </is>
      </c>
      <c r="AW241" t="inlineStr">
        <is>
          <t>991003753919702656</t>
        </is>
      </c>
      <c r="AX241" t="inlineStr">
        <is>
          <t>991003753919702656</t>
        </is>
      </c>
      <c r="AY241" t="inlineStr">
        <is>
          <t>2268843240002656</t>
        </is>
      </c>
      <c r="AZ241" t="inlineStr">
        <is>
          <t>BOOK</t>
        </is>
      </c>
      <c r="BC241" t="inlineStr">
        <is>
          <t>32285001587608</t>
        </is>
      </c>
      <c r="BD241" t="inlineStr">
        <is>
          <t>893868810</t>
        </is>
      </c>
    </row>
    <row r="242">
      <c r="A242" t="inlineStr">
        <is>
          <t>No</t>
        </is>
      </c>
      <c r="B242" t="inlineStr">
        <is>
          <t>RA778 .W72 1985</t>
        </is>
      </c>
      <c r="C242" t="inlineStr">
        <is>
          <t>0                      RA 0778000W  72          1985</t>
        </is>
      </c>
      <c r="D242" t="inlineStr">
        <is>
          <t>Women, health, and healing : toward a new perspective / edited by Ellen Lewin and Virginia Olesen.</t>
        </is>
      </c>
      <c r="F242" t="inlineStr">
        <is>
          <t>No</t>
        </is>
      </c>
      <c r="G242" t="inlineStr">
        <is>
          <t>1</t>
        </is>
      </c>
      <c r="H242" t="inlineStr">
        <is>
          <t>No</t>
        </is>
      </c>
      <c r="I242" t="inlineStr">
        <is>
          <t>No</t>
        </is>
      </c>
      <c r="J242" t="inlineStr">
        <is>
          <t>0</t>
        </is>
      </c>
      <c r="L242" t="inlineStr">
        <is>
          <t>New York : Tavistock Publications, 1985.</t>
        </is>
      </c>
      <c r="M242" t="inlineStr">
        <is>
          <t>1984</t>
        </is>
      </c>
      <c r="O242" t="inlineStr">
        <is>
          <t>eng</t>
        </is>
      </c>
      <c r="P242" t="inlineStr">
        <is>
          <t>nyu</t>
        </is>
      </c>
      <c r="Q242" t="inlineStr">
        <is>
          <t>Contemporary issues in health, medicine, and social policy</t>
        </is>
      </c>
      <c r="R242" t="inlineStr">
        <is>
          <t xml:space="preserve">RA </t>
        </is>
      </c>
      <c r="S242" t="n">
        <v>6</v>
      </c>
      <c r="T242" t="n">
        <v>6</v>
      </c>
      <c r="U242" t="inlineStr">
        <is>
          <t>2002-04-17</t>
        </is>
      </c>
      <c r="V242" t="inlineStr">
        <is>
          <t>2002-04-17</t>
        </is>
      </c>
      <c r="W242" t="inlineStr">
        <is>
          <t>1992-09-03</t>
        </is>
      </c>
      <c r="X242" t="inlineStr">
        <is>
          <t>1992-09-03</t>
        </is>
      </c>
      <c r="Y242" t="n">
        <v>533</v>
      </c>
      <c r="Z242" t="n">
        <v>381</v>
      </c>
      <c r="AA242" t="n">
        <v>385</v>
      </c>
      <c r="AB242" t="n">
        <v>1</v>
      </c>
      <c r="AC242" t="n">
        <v>1</v>
      </c>
      <c r="AD242" t="n">
        <v>11</v>
      </c>
      <c r="AE242" t="n">
        <v>11</v>
      </c>
      <c r="AF242" t="n">
        <v>5</v>
      </c>
      <c r="AG242" t="n">
        <v>5</v>
      </c>
      <c r="AH242" t="n">
        <v>2</v>
      </c>
      <c r="AI242" t="n">
        <v>2</v>
      </c>
      <c r="AJ242" t="n">
        <v>7</v>
      </c>
      <c r="AK242" t="n">
        <v>7</v>
      </c>
      <c r="AL242" t="n">
        <v>0</v>
      </c>
      <c r="AM242" t="n">
        <v>0</v>
      </c>
      <c r="AN242" t="n">
        <v>0</v>
      </c>
      <c r="AO242" t="n">
        <v>0</v>
      </c>
      <c r="AP242" t="inlineStr">
        <is>
          <t>No</t>
        </is>
      </c>
      <c r="AQ242" t="inlineStr">
        <is>
          <t>Yes</t>
        </is>
      </c>
      <c r="AR242">
        <f>HYPERLINK("http://catalog.hathitrust.org/Record/000610542","HathiTrust Record")</f>
        <v/>
      </c>
      <c r="AS242">
        <f>HYPERLINK("https://creighton-primo.hosted.exlibrisgroup.com/primo-explore/search?tab=default_tab&amp;search_scope=EVERYTHING&amp;vid=01CRU&amp;lang=en_US&amp;offset=0&amp;query=any,contains,991000498199702656","Catalog Record")</f>
        <v/>
      </c>
      <c r="AT242">
        <f>HYPERLINK("http://www.worldcat.org/oclc/11158791","WorldCat Record")</f>
        <v/>
      </c>
      <c r="AU242" t="inlineStr">
        <is>
          <t>836677653:eng</t>
        </is>
      </c>
      <c r="AV242" t="inlineStr">
        <is>
          <t>11158791</t>
        </is>
      </c>
      <c r="AW242" t="inlineStr">
        <is>
          <t>991000498199702656</t>
        </is>
      </c>
      <c r="AX242" t="inlineStr">
        <is>
          <t>991000498199702656</t>
        </is>
      </c>
      <c r="AY242" t="inlineStr">
        <is>
          <t>2255197700002656</t>
        </is>
      </c>
      <c r="AZ242" t="inlineStr">
        <is>
          <t>BOOK</t>
        </is>
      </c>
      <c r="BB242" t="inlineStr">
        <is>
          <t>9780422780308</t>
        </is>
      </c>
      <c r="BC242" t="inlineStr">
        <is>
          <t>32285001279115</t>
        </is>
      </c>
      <c r="BD242" t="inlineStr">
        <is>
          <t>893702173</t>
        </is>
      </c>
    </row>
    <row r="243">
      <c r="A243" t="inlineStr">
        <is>
          <t>No</t>
        </is>
      </c>
      <c r="B243" t="inlineStr">
        <is>
          <t>RA781 .B4413 1977</t>
        </is>
      </c>
      <c r="C243" t="inlineStr">
        <is>
          <t>0                      RA 0781000B  4413        1977</t>
        </is>
      </c>
      <c r="D243" t="inlineStr">
        <is>
          <t>The body has its reasons : anti-exercises and self-awareness / Thérèse Bertherat and Carol Bernstein ; translated from the French.</t>
        </is>
      </c>
      <c r="F243" t="inlineStr">
        <is>
          <t>No</t>
        </is>
      </c>
      <c r="G243" t="inlineStr">
        <is>
          <t>1</t>
        </is>
      </c>
      <c r="H243" t="inlineStr">
        <is>
          <t>No</t>
        </is>
      </c>
      <c r="I243" t="inlineStr">
        <is>
          <t>No</t>
        </is>
      </c>
      <c r="J243" t="inlineStr">
        <is>
          <t>0</t>
        </is>
      </c>
      <c r="K243" t="inlineStr">
        <is>
          <t>Bertherat, Thérèse.</t>
        </is>
      </c>
      <c r="L243" t="inlineStr">
        <is>
          <t>New York : Pantheon Books, c1977.</t>
        </is>
      </c>
      <c r="M243" t="inlineStr">
        <is>
          <t>1977</t>
        </is>
      </c>
      <c r="N243" t="inlineStr">
        <is>
          <t>1st American ed.</t>
        </is>
      </c>
      <c r="O243" t="inlineStr">
        <is>
          <t>eng</t>
        </is>
      </c>
      <c r="P243" t="inlineStr">
        <is>
          <t>nyu</t>
        </is>
      </c>
      <c r="R243" t="inlineStr">
        <is>
          <t xml:space="preserve">RA </t>
        </is>
      </c>
      <c r="S243" t="n">
        <v>2</v>
      </c>
      <c r="T243" t="n">
        <v>2</v>
      </c>
      <c r="U243" t="inlineStr">
        <is>
          <t>1995-07-03</t>
        </is>
      </c>
      <c r="V243" t="inlineStr">
        <is>
          <t>1995-07-03</t>
        </is>
      </c>
      <c r="W243" t="inlineStr">
        <is>
          <t>1993-03-11</t>
        </is>
      </c>
      <c r="X243" t="inlineStr">
        <is>
          <t>1993-03-11</t>
        </is>
      </c>
      <c r="Y243" t="n">
        <v>175</v>
      </c>
      <c r="Z243" t="n">
        <v>153</v>
      </c>
      <c r="AA243" t="n">
        <v>173</v>
      </c>
      <c r="AB243" t="n">
        <v>2</v>
      </c>
      <c r="AC243" t="n">
        <v>2</v>
      </c>
      <c r="AD243" t="n">
        <v>2</v>
      </c>
      <c r="AE243" t="n">
        <v>2</v>
      </c>
      <c r="AF243" t="n">
        <v>0</v>
      </c>
      <c r="AG243" t="n">
        <v>0</v>
      </c>
      <c r="AH243" t="n">
        <v>0</v>
      </c>
      <c r="AI243" t="n">
        <v>0</v>
      </c>
      <c r="AJ243" t="n">
        <v>1</v>
      </c>
      <c r="AK243" t="n">
        <v>1</v>
      </c>
      <c r="AL243" t="n">
        <v>1</v>
      </c>
      <c r="AM243" t="n">
        <v>1</v>
      </c>
      <c r="AN243" t="n">
        <v>0</v>
      </c>
      <c r="AO243" t="n">
        <v>0</v>
      </c>
      <c r="AP243" t="inlineStr">
        <is>
          <t>No</t>
        </is>
      </c>
      <c r="AQ243" t="inlineStr">
        <is>
          <t>Yes</t>
        </is>
      </c>
      <c r="AR243">
        <f>HYPERLINK("http://catalog.hathitrust.org/Record/012284940","HathiTrust Record")</f>
        <v/>
      </c>
      <c r="AS243">
        <f>HYPERLINK("https://creighton-primo.hosted.exlibrisgroup.com/primo-explore/search?tab=default_tab&amp;search_scope=EVERYTHING&amp;vid=01CRU&amp;lang=en_US&amp;offset=0&amp;query=any,contains,991004307909702656","Catalog Record")</f>
        <v/>
      </c>
      <c r="AT243">
        <f>HYPERLINK("http://www.worldcat.org/oclc/2984657","WorldCat Record")</f>
        <v/>
      </c>
      <c r="AU243" t="inlineStr">
        <is>
          <t>1150908914:eng</t>
        </is>
      </c>
      <c r="AV243" t="inlineStr">
        <is>
          <t>2984657</t>
        </is>
      </c>
      <c r="AW243" t="inlineStr">
        <is>
          <t>991004307909702656</t>
        </is>
      </c>
      <c r="AX243" t="inlineStr">
        <is>
          <t>991004307909702656</t>
        </is>
      </c>
      <c r="AY243" t="inlineStr">
        <is>
          <t>2258368790002656</t>
        </is>
      </c>
      <c r="AZ243" t="inlineStr">
        <is>
          <t>BOOK</t>
        </is>
      </c>
      <c r="BB243" t="inlineStr">
        <is>
          <t>9780394411347</t>
        </is>
      </c>
      <c r="BC243" t="inlineStr">
        <is>
          <t>32285001587616</t>
        </is>
      </c>
      <c r="BD243" t="inlineStr">
        <is>
          <t>893442467</t>
        </is>
      </c>
    </row>
    <row r="244">
      <c r="A244" t="inlineStr">
        <is>
          <t>No</t>
        </is>
      </c>
      <c r="B244" t="inlineStr">
        <is>
          <t>RA781 .G36</t>
        </is>
      </c>
      <c r="C244" t="inlineStr">
        <is>
          <t>0                      RA 0781000G  36</t>
        </is>
      </c>
      <c r="D244" t="inlineStr">
        <is>
          <t>Fitness and figure control : the creation of you / Linda Garrison, Phyllis Leslie, Deborah Blackmore.</t>
        </is>
      </c>
      <c r="F244" t="inlineStr">
        <is>
          <t>No</t>
        </is>
      </c>
      <c r="G244" t="inlineStr">
        <is>
          <t>1</t>
        </is>
      </c>
      <c r="H244" t="inlineStr">
        <is>
          <t>No</t>
        </is>
      </c>
      <c r="I244" t="inlineStr">
        <is>
          <t>No</t>
        </is>
      </c>
      <c r="J244" t="inlineStr">
        <is>
          <t>0</t>
        </is>
      </c>
      <c r="K244" t="inlineStr">
        <is>
          <t>Garrison, Linda.</t>
        </is>
      </c>
      <c r="L244" t="inlineStr">
        <is>
          <t>Palo Alto, Calif. : Mayfield Pub. Co., 1974.</t>
        </is>
      </c>
      <c r="M244" t="inlineStr">
        <is>
          <t>1974</t>
        </is>
      </c>
      <c r="N244" t="inlineStr">
        <is>
          <t>1st ed.</t>
        </is>
      </c>
      <c r="O244" t="inlineStr">
        <is>
          <t>eng</t>
        </is>
      </c>
      <c r="P244" t="inlineStr">
        <is>
          <t>cau</t>
        </is>
      </c>
      <c r="R244" t="inlineStr">
        <is>
          <t xml:space="preserve">RA </t>
        </is>
      </c>
      <c r="S244" t="n">
        <v>13</v>
      </c>
      <c r="T244" t="n">
        <v>13</v>
      </c>
      <c r="U244" t="inlineStr">
        <is>
          <t>2006-04-23</t>
        </is>
      </c>
      <c r="V244" t="inlineStr">
        <is>
          <t>2006-04-23</t>
        </is>
      </c>
      <c r="W244" t="inlineStr">
        <is>
          <t>1992-04-06</t>
        </is>
      </c>
      <c r="X244" t="inlineStr">
        <is>
          <t>1992-04-06</t>
        </is>
      </c>
      <c r="Y244" t="n">
        <v>121</v>
      </c>
      <c r="Z244" t="n">
        <v>107</v>
      </c>
      <c r="AA244" t="n">
        <v>178</v>
      </c>
      <c r="AB244" t="n">
        <v>1</v>
      </c>
      <c r="AC244" t="n">
        <v>1</v>
      </c>
      <c r="AD244" t="n">
        <v>2</v>
      </c>
      <c r="AE244" t="n">
        <v>3</v>
      </c>
      <c r="AF244" t="n">
        <v>1</v>
      </c>
      <c r="AG244" t="n">
        <v>2</v>
      </c>
      <c r="AH244" t="n">
        <v>1</v>
      </c>
      <c r="AI244" t="n">
        <v>1</v>
      </c>
      <c r="AJ244" t="n">
        <v>1</v>
      </c>
      <c r="AK244" t="n">
        <v>2</v>
      </c>
      <c r="AL244" t="n">
        <v>0</v>
      </c>
      <c r="AM244" t="n">
        <v>0</v>
      </c>
      <c r="AN244" t="n">
        <v>0</v>
      </c>
      <c r="AO244" t="n">
        <v>0</v>
      </c>
      <c r="AP244" t="inlineStr">
        <is>
          <t>No</t>
        </is>
      </c>
      <c r="AQ244" t="inlineStr">
        <is>
          <t>No</t>
        </is>
      </c>
      <c r="AS244">
        <f>HYPERLINK("https://creighton-primo.hosted.exlibrisgroup.com/primo-explore/search?tab=default_tab&amp;search_scope=EVERYTHING&amp;vid=01CRU&amp;lang=en_US&amp;offset=0&amp;query=any,contains,991003600299702656","Catalog Record")</f>
        <v/>
      </c>
      <c r="AT244">
        <f>HYPERLINK("http://www.worldcat.org/oclc/1177238","WorldCat Record")</f>
        <v/>
      </c>
      <c r="AU244" t="inlineStr">
        <is>
          <t>2124461:eng</t>
        </is>
      </c>
      <c r="AV244" t="inlineStr">
        <is>
          <t>1177238</t>
        </is>
      </c>
      <c r="AW244" t="inlineStr">
        <is>
          <t>991003600299702656</t>
        </is>
      </c>
      <c r="AX244" t="inlineStr">
        <is>
          <t>991003600299702656</t>
        </is>
      </c>
      <c r="AY244" t="inlineStr">
        <is>
          <t>2264696310002656</t>
        </is>
      </c>
      <c r="AZ244" t="inlineStr">
        <is>
          <t>BOOK</t>
        </is>
      </c>
      <c r="BB244" t="inlineStr">
        <is>
          <t>9780874842463</t>
        </is>
      </c>
      <c r="BC244" t="inlineStr">
        <is>
          <t>32285001049609</t>
        </is>
      </c>
      <c r="BD244" t="inlineStr">
        <is>
          <t>893330541</t>
        </is>
      </c>
    </row>
    <row r="245">
      <c r="A245" t="inlineStr">
        <is>
          <t>No</t>
        </is>
      </c>
      <c r="B245" t="inlineStr">
        <is>
          <t>RA781 .H476</t>
        </is>
      </c>
      <c r="C245" t="inlineStr">
        <is>
          <t>0                      RA 0781000H  476</t>
        </is>
      </c>
      <c r="D245" t="inlineStr">
        <is>
          <t>The articulate body / Sidi Hessel ; designed and illustrated by the author ; photos. by Jack Mitchell.</t>
        </is>
      </c>
      <c r="F245" t="inlineStr">
        <is>
          <t>No</t>
        </is>
      </c>
      <c r="G245" t="inlineStr">
        <is>
          <t>1</t>
        </is>
      </c>
      <c r="H245" t="inlineStr">
        <is>
          <t>No</t>
        </is>
      </c>
      <c r="I245" t="inlineStr">
        <is>
          <t>No</t>
        </is>
      </c>
      <c r="J245" t="inlineStr">
        <is>
          <t>0</t>
        </is>
      </c>
      <c r="K245" t="inlineStr">
        <is>
          <t>Hessel, Sidi.</t>
        </is>
      </c>
      <c r="L245" t="inlineStr">
        <is>
          <t>New York : St. Martin's Press, c1978.</t>
        </is>
      </c>
      <c r="M245" t="inlineStr">
        <is>
          <t>1978</t>
        </is>
      </c>
      <c r="O245" t="inlineStr">
        <is>
          <t>eng</t>
        </is>
      </c>
      <c r="P245" t="inlineStr">
        <is>
          <t>nyu</t>
        </is>
      </c>
      <c r="R245" t="inlineStr">
        <is>
          <t xml:space="preserve">RA </t>
        </is>
      </c>
      <c r="S245" t="n">
        <v>5</v>
      </c>
      <c r="T245" t="n">
        <v>5</v>
      </c>
      <c r="U245" t="inlineStr">
        <is>
          <t>1994-09-28</t>
        </is>
      </c>
      <c r="V245" t="inlineStr">
        <is>
          <t>1994-09-28</t>
        </is>
      </c>
      <c r="W245" t="inlineStr">
        <is>
          <t>1992-11-10</t>
        </is>
      </c>
      <c r="X245" t="inlineStr">
        <is>
          <t>1992-11-10</t>
        </is>
      </c>
      <c r="Y245" t="n">
        <v>168</v>
      </c>
      <c r="Z245" t="n">
        <v>159</v>
      </c>
      <c r="AA245" t="n">
        <v>159</v>
      </c>
      <c r="AB245" t="n">
        <v>3</v>
      </c>
      <c r="AC245" t="n">
        <v>3</v>
      </c>
      <c r="AD245" t="n">
        <v>4</v>
      </c>
      <c r="AE245" t="n">
        <v>4</v>
      </c>
      <c r="AF245" t="n">
        <v>2</v>
      </c>
      <c r="AG245" t="n">
        <v>2</v>
      </c>
      <c r="AH245" t="n">
        <v>0</v>
      </c>
      <c r="AI245" t="n">
        <v>0</v>
      </c>
      <c r="AJ245" t="n">
        <v>2</v>
      </c>
      <c r="AK245" t="n">
        <v>2</v>
      </c>
      <c r="AL245" t="n">
        <v>2</v>
      </c>
      <c r="AM245" t="n">
        <v>2</v>
      </c>
      <c r="AN245" t="n">
        <v>0</v>
      </c>
      <c r="AO245" t="n">
        <v>0</v>
      </c>
      <c r="AP245" t="inlineStr">
        <is>
          <t>No</t>
        </is>
      </c>
      <c r="AQ245" t="inlineStr">
        <is>
          <t>No</t>
        </is>
      </c>
      <c r="AS245">
        <f>HYPERLINK("https://creighton-primo.hosted.exlibrisgroup.com/primo-explore/search?tab=default_tab&amp;search_scope=EVERYTHING&amp;vid=01CRU&amp;lang=en_US&amp;offset=0&amp;query=any,contains,991004500049702656","Catalog Record")</f>
        <v/>
      </c>
      <c r="AT245">
        <f>HYPERLINK("http://www.worldcat.org/oclc/3711045","WorldCat Record")</f>
        <v/>
      </c>
      <c r="AU245" t="inlineStr">
        <is>
          <t>441601:eng</t>
        </is>
      </c>
      <c r="AV245" t="inlineStr">
        <is>
          <t>3711045</t>
        </is>
      </c>
      <c r="AW245" t="inlineStr">
        <is>
          <t>991004500049702656</t>
        </is>
      </c>
      <c r="AX245" t="inlineStr">
        <is>
          <t>991004500049702656</t>
        </is>
      </c>
      <c r="AY245" t="inlineStr">
        <is>
          <t>2263493550002656</t>
        </is>
      </c>
      <c r="AZ245" t="inlineStr">
        <is>
          <t>BOOK</t>
        </is>
      </c>
      <c r="BB245" t="inlineStr">
        <is>
          <t>9780312054830</t>
        </is>
      </c>
      <c r="BC245" t="inlineStr">
        <is>
          <t>32285001383941</t>
        </is>
      </c>
      <c r="BD245" t="inlineStr">
        <is>
          <t>893343908</t>
        </is>
      </c>
    </row>
    <row r="246">
      <c r="A246" t="inlineStr">
        <is>
          <t>No</t>
        </is>
      </c>
      <c r="B246" t="inlineStr">
        <is>
          <t>RA781 .I78 1978</t>
        </is>
      </c>
      <c r="C246" t="inlineStr">
        <is>
          <t>0                      RA 0781000I  78          1978</t>
        </is>
      </c>
      <c r="D246" t="inlineStr">
        <is>
          <t>What it takes to feel good : the Nickolaus technique / Benno Isaacs and Jay Kobler ; introd. by Richard Nickolaus ; foreword by Leon Root.</t>
        </is>
      </c>
      <c r="F246" t="inlineStr">
        <is>
          <t>No</t>
        </is>
      </c>
      <c r="G246" t="inlineStr">
        <is>
          <t>1</t>
        </is>
      </c>
      <c r="H246" t="inlineStr">
        <is>
          <t>No</t>
        </is>
      </c>
      <c r="I246" t="inlineStr">
        <is>
          <t>No</t>
        </is>
      </c>
      <c r="J246" t="inlineStr">
        <is>
          <t>0</t>
        </is>
      </c>
      <c r="K246" t="inlineStr">
        <is>
          <t>Isaacs, Benno.</t>
        </is>
      </c>
      <c r="L246" t="inlineStr">
        <is>
          <t>New York : Viking Press, 1978.</t>
        </is>
      </c>
      <c r="M246" t="inlineStr">
        <is>
          <t>1978</t>
        </is>
      </c>
      <c r="O246" t="inlineStr">
        <is>
          <t>eng</t>
        </is>
      </c>
      <c r="P246" t="inlineStr">
        <is>
          <t>nyu</t>
        </is>
      </c>
      <c r="R246" t="inlineStr">
        <is>
          <t xml:space="preserve">RA </t>
        </is>
      </c>
      <c r="S246" t="n">
        <v>1</v>
      </c>
      <c r="T246" t="n">
        <v>1</v>
      </c>
      <c r="U246" t="inlineStr">
        <is>
          <t>2002-12-10</t>
        </is>
      </c>
      <c r="V246" t="inlineStr">
        <is>
          <t>2002-12-10</t>
        </is>
      </c>
      <c r="W246" t="inlineStr">
        <is>
          <t>2002-12-10</t>
        </is>
      </c>
      <c r="X246" t="inlineStr">
        <is>
          <t>2002-12-10</t>
        </is>
      </c>
      <c r="Y246" t="n">
        <v>263</v>
      </c>
      <c r="Z246" t="n">
        <v>254</v>
      </c>
      <c r="AA246" t="n">
        <v>283</v>
      </c>
      <c r="AB246" t="n">
        <v>2</v>
      </c>
      <c r="AC246" t="n">
        <v>2</v>
      </c>
      <c r="AD246" t="n">
        <v>0</v>
      </c>
      <c r="AE246" t="n">
        <v>0</v>
      </c>
      <c r="AF246" t="n">
        <v>0</v>
      </c>
      <c r="AG246" t="n">
        <v>0</v>
      </c>
      <c r="AH246" t="n">
        <v>0</v>
      </c>
      <c r="AI246" t="n">
        <v>0</v>
      </c>
      <c r="AJ246" t="n">
        <v>0</v>
      </c>
      <c r="AK246" t="n">
        <v>0</v>
      </c>
      <c r="AL246" t="n">
        <v>0</v>
      </c>
      <c r="AM246" t="n">
        <v>0</v>
      </c>
      <c r="AN246" t="n">
        <v>0</v>
      </c>
      <c r="AO246" t="n">
        <v>0</v>
      </c>
      <c r="AP246" t="inlineStr">
        <is>
          <t>No</t>
        </is>
      </c>
      <c r="AQ246" t="inlineStr">
        <is>
          <t>Yes</t>
        </is>
      </c>
      <c r="AR246">
        <f>HYPERLINK("http://catalog.hathitrust.org/Record/012275758","HathiTrust Record")</f>
        <v/>
      </c>
      <c r="AS246">
        <f>HYPERLINK("https://creighton-primo.hosted.exlibrisgroup.com/primo-explore/search?tab=default_tab&amp;search_scope=EVERYTHING&amp;vid=01CRU&amp;lang=en_US&amp;offset=0&amp;query=any,contains,991003958569702656","Catalog Record")</f>
        <v/>
      </c>
      <c r="AT246">
        <f>HYPERLINK("http://www.worldcat.org/oclc/3845127","WorldCat Record")</f>
        <v/>
      </c>
      <c r="AU246" t="inlineStr">
        <is>
          <t>13348509:eng</t>
        </is>
      </c>
      <c r="AV246" t="inlineStr">
        <is>
          <t>3845127</t>
        </is>
      </c>
      <c r="AW246" t="inlineStr">
        <is>
          <t>991003958569702656</t>
        </is>
      </c>
      <c r="AX246" t="inlineStr">
        <is>
          <t>991003958569702656</t>
        </is>
      </c>
      <c r="AY246" t="inlineStr">
        <is>
          <t>2262607730002656</t>
        </is>
      </c>
      <c r="AZ246" t="inlineStr">
        <is>
          <t>BOOK</t>
        </is>
      </c>
      <c r="BB246" t="inlineStr">
        <is>
          <t>9780670758241</t>
        </is>
      </c>
      <c r="BC246" t="inlineStr">
        <is>
          <t>32285004669460</t>
        </is>
      </c>
      <c r="BD246" t="inlineStr">
        <is>
          <t>893705832</t>
        </is>
      </c>
    </row>
    <row r="247">
      <c r="A247" t="inlineStr">
        <is>
          <t>No</t>
        </is>
      </c>
      <c r="B247" t="inlineStr">
        <is>
          <t>RA781 .J28 1982</t>
        </is>
      </c>
      <c r="C247" t="inlineStr">
        <is>
          <t>0                      RA 0781000J  28          1982</t>
        </is>
      </c>
      <c r="D247" t="inlineStr">
        <is>
          <t>Exercises for the elderly / Robert H. Jamieson.</t>
        </is>
      </c>
      <c r="F247" t="inlineStr">
        <is>
          <t>No</t>
        </is>
      </c>
      <c r="G247" t="inlineStr">
        <is>
          <t>1</t>
        </is>
      </c>
      <c r="H247" t="inlineStr">
        <is>
          <t>No</t>
        </is>
      </c>
      <c r="I247" t="inlineStr">
        <is>
          <t>No</t>
        </is>
      </c>
      <c r="J247" t="inlineStr">
        <is>
          <t>0</t>
        </is>
      </c>
      <c r="K247" t="inlineStr">
        <is>
          <t>Jamieson, Robert H.</t>
        </is>
      </c>
      <c r="L247" t="inlineStr">
        <is>
          <t>Verplanck, N.Y. : Emerson Books, 1982.</t>
        </is>
      </c>
      <c r="M247" t="inlineStr">
        <is>
          <t>1982</t>
        </is>
      </c>
      <c r="O247" t="inlineStr">
        <is>
          <t>eng</t>
        </is>
      </c>
      <c r="P247" t="inlineStr">
        <is>
          <t>nyu</t>
        </is>
      </c>
      <c r="R247" t="inlineStr">
        <is>
          <t xml:space="preserve">RA </t>
        </is>
      </c>
      <c r="S247" t="n">
        <v>3</v>
      </c>
      <c r="T247" t="n">
        <v>3</v>
      </c>
      <c r="U247" t="inlineStr">
        <is>
          <t>1994-11-19</t>
        </is>
      </c>
      <c r="V247" t="inlineStr">
        <is>
          <t>1994-11-19</t>
        </is>
      </c>
      <c r="W247" t="inlineStr">
        <is>
          <t>1993-03-16</t>
        </is>
      </c>
      <c r="X247" t="inlineStr">
        <is>
          <t>1993-03-16</t>
        </is>
      </c>
      <c r="Y247" t="n">
        <v>400</v>
      </c>
      <c r="Z247" t="n">
        <v>375</v>
      </c>
      <c r="AA247" t="n">
        <v>428</v>
      </c>
      <c r="AB247" t="n">
        <v>3</v>
      </c>
      <c r="AC247" t="n">
        <v>4</v>
      </c>
      <c r="AD247" t="n">
        <v>2</v>
      </c>
      <c r="AE247" t="n">
        <v>2</v>
      </c>
      <c r="AF247" t="n">
        <v>1</v>
      </c>
      <c r="AG247" t="n">
        <v>1</v>
      </c>
      <c r="AH247" t="n">
        <v>0</v>
      </c>
      <c r="AI247" t="n">
        <v>0</v>
      </c>
      <c r="AJ247" t="n">
        <v>0</v>
      </c>
      <c r="AK247" t="n">
        <v>0</v>
      </c>
      <c r="AL247" t="n">
        <v>1</v>
      </c>
      <c r="AM247" t="n">
        <v>1</v>
      </c>
      <c r="AN247" t="n">
        <v>0</v>
      </c>
      <c r="AO247" t="n">
        <v>0</v>
      </c>
      <c r="AP247" t="inlineStr">
        <is>
          <t>No</t>
        </is>
      </c>
      <c r="AQ247" t="inlineStr">
        <is>
          <t>No</t>
        </is>
      </c>
      <c r="AS247">
        <f>HYPERLINK("https://creighton-primo.hosted.exlibrisgroup.com/primo-explore/search?tab=default_tab&amp;search_scope=EVERYTHING&amp;vid=01CRU&amp;lang=en_US&amp;offset=0&amp;query=any,contains,991005235759702656","Catalog Record")</f>
        <v/>
      </c>
      <c r="AT247">
        <f>HYPERLINK("http://www.worldcat.org/oclc/8379362","WorldCat Record")</f>
        <v/>
      </c>
      <c r="AU247" t="inlineStr">
        <is>
          <t>531547:eng</t>
        </is>
      </c>
      <c r="AV247" t="inlineStr">
        <is>
          <t>8379362</t>
        </is>
      </c>
      <c r="AW247" t="inlineStr">
        <is>
          <t>991005235759702656</t>
        </is>
      </c>
      <c r="AX247" t="inlineStr">
        <is>
          <t>991005235759702656</t>
        </is>
      </c>
      <c r="AY247" t="inlineStr">
        <is>
          <t>2262306000002656</t>
        </is>
      </c>
      <c r="AZ247" t="inlineStr">
        <is>
          <t>BOOK</t>
        </is>
      </c>
      <c r="BB247" t="inlineStr">
        <is>
          <t>9780875231983</t>
        </is>
      </c>
      <c r="BC247" t="inlineStr">
        <is>
          <t>32285001587863</t>
        </is>
      </c>
      <c r="BD247" t="inlineStr">
        <is>
          <t>893808049</t>
        </is>
      </c>
    </row>
    <row r="248">
      <c r="A248" t="inlineStr">
        <is>
          <t>No</t>
        </is>
      </c>
      <c r="B248" t="inlineStr">
        <is>
          <t>RA781 .K598 1971</t>
        </is>
      </c>
      <c r="C248" t="inlineStr">
        <is>
          <t>0                      RA 0781000K  598         1971</t>
        </is>
      </c>
      <c r="D248" t="inlineStr">
        <is>
          <t>The joy of feeling fit [by] Nicholas Kounovsky.</t>
        </is>
      </c>
      <c r="F248" t="inlineStr">
        <is>
          <t>No</t>
        </is>
      </c>
      <c r="G248" t="inlineStr">
        <is>
          <t>1</t>
        </is>
      </c>
      <c r="H248" t="inlineStr">
        <is>
          <t>No</t>
        </is>
      </c>
      <c r="I248" t="inlineStr">
        <is>
          <t>No</t>
        </is>
      </c>
      <c r="J248" t="inlineStr">
        <is>
          <t>0</t>
        </is>
      </c>
      <c r="K248" t="inlineStr">
        <is>
          <t>Kounovsky, Nicholas Alexis, 1913-</t>
        </is>
      </c>
      <c r="L248" t="inlineStr">
        <is>
          <t>New York, E. P. Dutton, 1971.</t>
        </is>
      </c>
      <c r="M248" t="inlineStr">
        <is>
          <t>1971</t>
        </is>
      </c>
      <c r="N248" t="inlineStr">
        <is>
          <t>[1st ed.]</t>
        </is>
      </c>
      <c r="O248" t="inlineStr">
        <is>
          <t>eng</t>
        </is>
      </c>
      <c r="P248" t="inlineStr">
        <is>
          <t>nyu</t>
        </is>
      </c>
      <c r="R248" t="inlineStr">
        <is>
          <t xml:space="preserve">RA </t>
        </is>
      </c>
      <c r="S248" t="n">
        <v>3</v>
      </c>
      <c r="T248" t="n">
        <v>3</v>
      </c>
      <c r="U248" t="inlineStr">
        <is>
          <t>1995-07-03</t>
        </is>
      </c>
      <c r="V248" t="inlineStr">
        <is>
          <t>1995-07-03</t>
        </is>
      </c>
      <c r="W248" t="inlineStr">
        <is>
          <t>1992-04-22</t>
        </is>
      </c>
      <c r="X248" t="inlineStr">
        <is>
          <t>1992-04-22</t>
        </is>
      </c>
      <c r="Y248" t="n">
        <v>214</v>
      </c>
      <c r="Z248" t="n">
        <v>207</v>
      </c>
      <c r="AA248" t="n">
        <v>222</v>
      </c>
      <c r="AB248" t="n">
        <v>1</v>
      </c>
      <c r="AC248" t="n">
        <v>1</v>
      </c>
      <c r="AD248" t="n">
        <v>0</v>
      </c>
      <c r="AE248" t="n">
        <v>0</v>
      </c>
      <c r="AF248" t="n">
        <v>0</v>
      </c>
      <c r="AG248" t="n">
        <v>0</v>
      </c>
      <c r="AH248" t="n">
        <v>0</v>
      </c>
      <c r="AI248" t="n">
        <v>0</v>
      </c>
      <c r="AJ248" t="n">
        <v>0</v>
      </c>
      <c r="AK248" t="n">
        <v>0</v>
      </c>
      <c r="AL248" t="n">
        <v>0</v>
      </c>
      <c r="AM248" t="n">
        <v>0</v>
      </c>
      <c r="AN248" t="n">
        <v>0</v>
      </c>
      <c r="AO248" t="n">
        <v>0</v>
      </c>
      <c r="AP248" t="inlineStr">
        <is>
          <t>No</t>
        </is>
      </c>
      <c r="AQ248" t="inlineStr">
        <is>
          <t>No</t>
        </is>
      </c>
      <c r="AS248">
        <f>HYPERLINK("https://creighton-primo.hosted.exlibrisgroup.com/primo-explore/search?tab=default_tab&amp;search_scope=EVERYTHING&amp;vid=01CRU&amp;lang=en_US&amp;offset=0&amp;query=any,contains,991000818079702656","Catalog Record")</f>
        <v/>
      </c>
      <c r="AT248">
        <f>HYPERLINK("http://www.worldcat.org/oclc/143543","WorldCat Record")</f>
        <v/>
      </c>
      <c r="AU248" t="inlineStr">
        <is>
          <t>1315177:eng</t>
        </is>
      </c>
      <c r="AV248" t="inlineStr">
        <is>
          <t>143543</t>
        </is>
      </c>
      <c r="AW248" t="inlineStr">
        <is>
          <t>991000818079702656</t>
        </is>
      </c>
      <c r="AX248" t="inlineStr">
        <is>
          <t>991000818079702656</t>
        </is>
      </c>
      <c r="AY248" t="inlineStr">
        <is>
          <t>2256612200002656</t>
        </is>
      </c>
      <c r="AZ248" t="inlineStr">
        <is>
          <t>BOOK</t>
        </is>
      </c>
      <c r="BB248" t="inlineStr">
        <is>
          <t>9780525137627</t>
        </is>
      </c>
      <c r="BC248" t="inlineStr">
        <is>
          <t>32285001069326</t>
        </is>
      </c>
      <c r="BD248" t="inlineStr">
        <is>
          <t>893231437</t>
        </is>
      </c>
    </row>
    <row r="249">
      <c r="A249" t="inlineStr">
        <is>
          <t>No</t>
        </is>
      </c>
      <c r="B249" t="inlineStr">
        <is>
          <t>RA781 .L63 1977</t>
        </is>
      </c>
      <c r="C249" t="inlineStr">
        <is>
          <t>0                      RA 0781000L  63          1977</t>
        </is>
      </c>
      <c r="D249" t="inlineStr">
        <is>
          <t>The way to vibrant health : a manual of bioenergetic exercises / Alexander Lowen, Leslie Lowen ; ill. by Walter Skalecki.</t>
        </is>
      </c>
      <c r="F249" t="inlineStr">
        <is>
          <t>No</t>
        </is>
      </c>
      <c r="G249" t="inlineStr">
        <is>
          <t>1</t>
        </is>
      </c>
      <c r="H249" t="inlineStr">
        <is>
          <t>No</t>
        </is>
      </c>
      <c r="I249" t="inlineStr">
        <is>
          <t>No</t>
        </is>
      </c>
      <c r="J249" t="inlineStr">
        <is>
          <t>0</t>
        </is>
      </c>
      <c r="K249" t="inlineStr">
        <is>
          <t>Lowen, Alexander, 1910-2008.</t>
        </is>
      </c>
      <c r="L249" t="inlineStr">
        <is>
          <t>New York : Harper &amp; Row, 1977.</t>
        </is>
      </c>
      <c r="M249" t="inlineStr">
        <is>
          <t>1977</t>
        </is>
      </c>
      <c r="O249" t="inlineStr">
        <is>
          <t>eng</t>
        </is>
      </c>
      <c r="P249" t="inlineStr">
        <is>
          <t>nyu</t>
        </is>
      </c>
      <c r="Q249" t="inlineStr">
        <is>
          <t>Harper colophon books ; CN 542</t>
        </is>
      </c>
      <c r="R249" t="inlineStr">
        <is>
          <t xml:space="preserve">RA </t>
        </is>
      </c>
      <c r="S249" t="n">
        <v>2</v>
      </c>
      <c r="T249" t="n">
        <v>2</v>
      </c>
      <c r="U249" t="inlineStr">
        <is>
          <t>2005-01-13</t>
        </is>
      </c>
      <c r="V249" t="inlineStr">
        <is>
          <t>2005-01-13</t>
        </is>
      </c>
      <c r="W249" t="inlineStr">
        <is>
          <t>1997-08-08</t>
        </is>
      </c>
      <c r="X249" t="inlineStr">
        <is>
          <t>1997-08-08</t>
        </is>
      </c>
      <c r="Y249" t="n">
        <v>137</v>
      </c>
      <c r="Z249" t="n">
        <v>111</v>
      </c>
      <c r="AA249" t="n">
        <v>124</v>
      </c>
      <c r="AB249" t="n">
        <v>4</v>
      </c>
      <c r="AC249" t="n">
        <v>4</v>
      </c>
      <c r="AD249" t="n">
        <v>9</v>
      </c>
      <c r="AE249" t="n">
        <v>10</v>
      </c>
      <c r="AF249" t="n">
        <v>2</v>
      </c>
      <c r="AG249" t="n">
        <v>2</v>
      </c>
      <c r="AH249" t="n">
        <v>1</v>
      </c>
      <c r="AI249" t="n">
        <v>2</v>
      </c>
      <c r="AJ249" t="n">
        <v>5</v>
      </c>
      <c r="AK249" t="n">
        <v>6</v>
      </c>
      <c r="AL249" t="n">
        <v>3</v>
      </c>
      <c r="AM249" t="n">
        <v>3</v>
      </c>
      <c r="AN249" t="n">
        <v>0</v>
      </c>
      <c r="AO249" t="n">
        <v>0</v>
      </c>
      <c r="AP249" t="inlineStr">
        <is>
          <t>No</t>
        </is>
      </c>
      <c r="AQ249" t="inlineStr">
        <is>
          <t>No</t>
        </is>
      </c>
      <c r="AS249">
        <f>HYPERLINK("https://creighton-primo.hosted.exlibrisgroup.com/primo-explore/search?tab=default_tab&amp;search_scope=EVERYTHING&amp;vid=01CRU&amp;lang=en_US&amp;offset=0&amp;query=any,contains,991004365769702656","Catalog Record")</f>
        <v/>
      </c>
      <c r="AT249">
        <f>HYPERLINK("http://www.worldcat.org/oclc/3169440","WorldCat Record")</f>
        <v/>
      </c>
      <c r="AU249" t="inlineStr">
        <is>
          <t>881537:eng</t>
        </is>
      </c>
      <c r="AV249" t="inlineStr">
        <is>
          <t>3169440</t>
        </is>
      </c>
      <c r="AW249" t="inlineStr">
        <is>
          <t>991004365769702656</t>
        </is>
      </c>
      <c r="AX249" t="inlineStr">
        <is>
          <t>991004365769702656</t>
        </is>
      </c>
      <c r="AY249" t="inlineStr">
        <is>
          <t>2263240330002656</t>
        </is>
      </c>
      <c r="AZ249" t="inlineStr">
        <is>
          <t>BOOK</t>
        </is>
      </c>
      <c r="BB249" t="inlineStr">
        <is>
          <t>9780060905422</t>
        </is>
      </c>
      <c r="BC249" t="inlineStr">
        <is>
          <t>32285003083739</t>
        </is>
      </c>
      <c r="BD249" t="inlineStr">
        <is>
          <t>893800894</t>
        </is>
      </c>
    </row>
    <row r="250">
      <c r="A250" t="inlineStr">
        <is>
          <t>No</t>
        </is>
      </c>
      <c r="B250" t="inlineStr">
        <is>
          <t>RA781 .M399 1985</t>
        </is>
      </c>
      <c r="C250" t="inlineStr">
        <is>
          <t>0                      RA 0781000M  399         1985</t>
        </is>
      </c>
      <c r="D250" t="inlineStr">
        <is>
          <t>A commitment to fitness / Karen S. Mazzeo.</t>
        </is>
      </c>
      <c r="F250" t="inlineStr">
        <is>
          <t>No</t>
        </is>
      </c>
      <c r="G250" t="inlineStr">
        <is>
          <t>1</t>
        </is>
      </c>
      <c r="H250" t="inlineStr">
        <is>
          <t>No</t>
        </is>
      </c>
      <c r="I250" t="inlineStr">
        <is>
          <t>No</t>
        </is>
      </c>
      <c r="J250" t="inlineStr">
        <is>
          <t>0</t>
        </is>
      </c>
      <c r="K250" t="inlineStr">
        <is>
          <t>Mazzeo, Karen S.</t>
        </is>
      </c>
      <c r="L250" t="inlineStr">
        <is>
          <t>Englewood, Colo. : Morton, c1985.</t>
        </is>
      </c>
      <c r="M250" t="inlineStr">
        <is>
          <t>1985</t>
        </is>
      </c>
      <c r="O250" t="inlineStr">
        <is>
          <t>eng</t>
        </is>
      </c>
      <c r="P250" t="inlineStr">
        <is>
          <t>cou</t>
        </is>
      </c>
      <c r="R250" t="inlineStr">
        <is>
          <t xml:space="preserve">RA </t>
        </is>
      </c>
      <c r="S250" t="n">
        <v>16</v>
      </c>
      <c r="T250" t="n">
        <v>16</v>
      </c>
      <c r="U250" t="inlineStr">
        <is>
          <t>2004-09-27</t>
        </is>
      </c>
      <c r="V250" t="inlineStr">
        <is>
          <t>2004-09-27</t>
        </is>
      </c>
      <c r="W250" t="inlineStr">
        <is>
          <t>1990-04-04</t>
        </is>
      </c>
      <c r="X250" t="inlineStr">
        <is>
          <t>1990-04-04</t>
        </is>
      </c>
      <c r="Y250" t="n">
        <v>86</v>
      </c>
      <c r="Z250" t="n">
        <v>80</v>
      </c>
      <c r="AA250" t="n">
        <v>80</v>
      </c>
      <c r="AB250" t="n">
        <v>1</v>
      </c>
      <c r="AC250" t="n">
        <v>1</v>
      </c>
      <c r="AD250" t="n">
        <v>0</v>
      </c>
      <c r="AE250" t="n">
        <v>0</v>
      </c>
      <c r="AF250" t="n">
        <v>0</v>
      </c>
      <c r="AG250" t="n">
        <v>0</v>
      </c>
      <c r="AH250" t="n">
        <v>0</v>
      </c>
      <c r="AI250" t="n">
        <v>0</v>
      </c>
      <c r="AJ250" t="n">
        <v>0</v>
      </c>
      <c r="AK250" t="n">
        <v>0</v>
      </c>
      <c r="AL250" t="n">
        <v>0</v>
      </c>
      <c r="AM250" t="n">
        <v>0</v>
      </c>
      <c r="AN250" t="n">
        <v>0</v>
      </c>
      <c r="AO250" t="n">
        <v>0</v>
      </c>
      <c r="AP250" t="inlineStr">
        <is>
          <t>No</t>
        </is>
      </c>
      <c r="AQ250" t="inlineStr">
        <is>
          <t>No</t>
        </is>
      </c>
      <c r="AS250">
        <f>HYPERLINK("https://creighton-primo.hosted.exlibrisgroup.com/primo-explore/search?tab=default_tab&amp;search_scope=EVERYTHING&amp;vid=01CRU&amp;lang=en_US&amp;offset=0&amp;query=any,contains,991000661969702656","Catalog Record")</f>
        <v/>
      </c>
      <c r="AT250">
        <f>HYPERLINK("http://www.worldcat.org/oclc/12254863","WorldCat Record")</f>
        <v/>
      </c>
      <c r="AU250" t="inlineStr">
        <is>
          <t>4826712:eng</t>
        </is>
      </c>
      <c r="AV250" t="inlineStr">
        <is>
          <t>12254863</t>
        </is>
      </c>
      <c r="AW250" t="inlineStr">
        <is>
          <t>991000661969702656</t>
        </is>
      </c>
      <c r="AX250" t="inlineStr">
        <is>
          <t>991000661969702656</t>
        </is>
      </c>
      <c r="AY250" t="inlineStr">
        <is>
          <t>2270178470002656</t>
        </is>
      </c>
      <c r="AZ250" t="inlineStr">
        <is>
          <t>BOOK</t>
        </is>
      </c>
      <c r="BB250" t="inlineStr">
        <is>
          <t>9780895821317</t>
        </is>
      </c>
      <c r="BC250" t="inlineStr">
        <is>
          <t>32285000110048</t>
        </is>
      </c>
      <c r="BD250" t="inlineStr">
        <is>
          <t>893620677</t>
        </is>
      </c>
    </row>
    <row r="251">
      <c r="A251" t="inlineStr">
        <is>
          <t>No</t>
        </is>
      </c>
      <c r="B251" t="inlineStr">
        <is>
          <t>RA781 .M453 1988</t>
        </is>
      </c>
      <c r="C251" t="inlineStr">
        <is>
          <t>0                      RA 0781000M  453         1988</t>
        </is>
      </c>
      <c r="D251" t="inlineStr">
        <is>
          <t>Exercise and physical fitness : a personalized approach / by Christopher L. Melby, Gerald C. Hyner.</t>
        </is>
      </c>
      <c r="F251" t="inlineStr">
        <is>
          <t>No</t>
        </is>
      </c>
      <c r="G251" t="inlineStr">
        <is>
          <t>1</t>
        </is>
      </c>
      <c r="H251" t="inlineStr">
        <is>
          <t>No</t>
        </is>
      </c>
      <c r="I251" t="inlineStr">
        <is>
          <t>No</t>
        </is>
      </c>
      <c r="J251" t="inlineStr">
        <is>
          <t>0</t>
        </is>
      </c>
      <c r="K251" t="inlineStr">
        <is>
          <t>Melby, Christopher L.</t>
        </is>
      </c>
      <c r="L251" t="inlineStr">
        <is>
          <t>Dubuque, Iowa : Eddie Bowers, c1988.</t>
        </is>
      </c>
      <c r="M251" t="inlineStr">
        <is>
          <t>1988</t>
        </is>
      </c>
      <c r="O251" t="inlineStr">
        <is>
          <t>eng</t>
        </is>
      </c>
      <c r="P251" t="inlineStr">
        <is>
          <t>iau</t>
        </is>
      </c>
      <c r="R251" t="inlineStr">
        <is>
          <t xml:space="preserve">RA </t>
        </is>
      </c>
      <c r="S251" t="n">
        <v>11</v>
      </c>
      <c r="T251" t="n">
        <v>11</v>
      </c>
      <c r="U251" t="inlineStr">
        <is>
          <t>1998-03-28</t>
        </is>
      </c>
      <c r="V251" t="inlineStr">
        <is>
          <t>1998-03-28</t>
        </is>
      </c>
      <c r="W251" t="inlineStr">
        <is>
          <t>1990-02-21</t>
        </is>
      </c>
      <c r="X251" t="inlineStr">
        <is>
          <t>1990-02-21</t>
        </is>
      </c>
      <c r="Y251" t="n">
        <v>56</v>
      </c>
      <c r="Z251" t="n">
        <v>54</v>
      </c>
      <c r="AA251" t="n">
        <v>54</v>
      </c>
      <c r="AB251" t="n">
        <v>1</v>
      </c>
      <c r="AC251" t="n">
        <v>1</v>
      </c>
      <c r="AD251" t="n">
        <v>0</v>
      </c>
      <c r="AE251" t="n">
        <v>0</v>
      </c>
      <c r="AF251" t="n">
        <v>0</v>
      </c>
      <c r="AG251" t="n">
        <v>0</v>
      </c>
      <c r="AH251" t="n">
        <v>0</v>
      </c>
      <c r="AI251" t="n">
        <v>0</v>
      </c>
      <c r="AJ251" t="n">
        <v>0</v>
      </c>
      <c r="AK251" t="n">
        <v>0</v>
      </c>
      <c r="AL251" t="n">
        <v>0</v>
      </c>
      <c r="AM251" t="n">
        <v>0</v>
      </c>
      <c r="AN251" t="n">
        <v>0</v>
      </c>
      <c r="AO251" t="n">
        <v>0</v>
      </c>
      <c r="AP251" t="inlineStr">
        <is>
          <t>No</t>
        </is>
      </c>
      <c r="AQ251" t="inlineStr">
        <is>
          <t>No</t>
        </is>
      </c>
      <c r="AS251">
        <f>HYPERLINK("https://creighton-primo.hosted.exlibrisgroup.com/primo-explore/search?tab=default_tab&amp;search_scope=EVERYTHING&amp;vid=01CRU&amp;lang=en_US&amp;offset=0&amp;query=any,contains,991001253649702656","Catalog Record")</f>
        <v/>
      </c>
      <c r="AT251">
        <f>HYPERLINK("http://www.worldcat.org/oclc/17723355","WorldCat Record")</f>
        <v/>
      </c>
      <c r="AU251" t="inlineStr">
        <is>
          <t>16587902:eng</t>
        </is>
      </c>
      <c r="AV251" t="inlineStr">
        <is>
          <t>17723355</t>
        </is>
      </c>
      <c r="AW251" t="inlineStr">
        <is>
          <t>991001253649702656</t>
        </is>
      </c>
      <c r="AX251" t="inlineStr">
        <is>
          <t>991001253649702656</t>
        </is>
      </c>
      <c r="AY251" t="inlineStr">
        <is>
          <t>2270338280002656</t>
        </is>
      </c>
      <c r="AZ251" t="inlineStr">
        <is>
          <t>BOOK</t>
        </is>
      </c>
      <c r="BB251" t="inlineStr">
        <is>
          <t>9780912855837</t>
        </is>
      </c>
      <c r="BC251" t="inlineStr">
        <is>
          <t>32285000058585</t>
        </is>
      </c>
      <c r="BD251" t="inlineStr">
        <is>
          <t>893439007</t>
        </is>
      </c>
    </row>
    <row r="252">
      <c r="A252" t="inlineStr">
        <is>
          <t>No</t>
        </is>
      </c>
      <c r="B252" t="inlineStr">
        <is>
          <t>RA781 .P64 1986</t>
        </is>
      </c>
      <c r="C252" t="inlineStr">
        <is>
          <t>0                      RA 0781000P  64          1986</t>
        </is>
      </c>
      <c r="D252" t="inlineStr">
        <is>
          <t>Lifetime fitness for lifetime activities / Virginia Politino, Mickie R. McCormick, and James E. Klein, Jr.</t>
        </is>
      </c>
      <c r="F252" t="inlineStr">
        <is>
          <t>No</t>
        </is>
      </c>
      <c r="G252" t="inlineStr">
        <is>
          <t>1</t>
        </is>
      </c>
      <c r="H252" t="inlineStr">
        <is>
          <t>No</t>
        </is>
      </c>
      <c r="I252" t="inlineStr">
        <is>
          <t>No</t>
        </is>
      </c>
      <c r="J252" t="inlineStr">
        <is>
          <t>0</t>
        </is>
      </c>
      <c r="K252" t="inlineStr">
        <is>
          <t>Politano, Virginia, 1941-</t>
        </is>
      </c>
      <c r="L252" t="inlineStr">
        <is>
          <t>Dubuque, Iowa : Kendall/Hunt, c1986.</t>
        </is>
      </c>
      <c r="M252" t="inlineStr">
        <is>
          <t>1986</t>
        </is>
      </c>
      <c r="O252" t="inlineStr">
        <is>
          <t>eng</t>
        </is>
      </c>
      <c r="P252" t="inlineStr">
        <is>
          <t>iau</t>
        </is>
      </c>
      <c r="R252" t="inlineStr">
        <is>
          <t xml:space="preserve">RA </t>
        </is>
      </c>
      <c r="S252" t="n">
        <v>7</v>
      </c>
      <c r="T252" t="n">
        <v>7</v>
      </c>
      <c r="U252" t="inlineStr">
        <is>
          <t>1996-10-26</t>
        </is>
      </c>
      <c r="V252" t="inlineStr">
        <is>
          <t>1996-10-26</t>
        </is>
      </c>
      <c r="W252" t="inlineStr">
        <is>
          <t>1990-06-18</t>
        </is>
      </c>
      <c r="X252" t="inlineStr">
        <is>
          <t>1990-06-18</t>
        </is>
      </c>
      <c r="Y252" t="n">
        <v>11</v>
      </c>
      <c r="Z252" t="n">
        <v>6</v>
      </c>
      <c r="AA252" t="n">
        <v>7</v>
      </c>
      <c r="AB252" t="n">
        <v>1</v>
      </c>
      <c r="AC252" t="n">
        <v>1</v>
      </c>
      <c r="AD252" t="n">
        <v>0</v>
      </c>
      <c r="AE252" t="n">
        <v>0</v>
      </c>
      <c r="AF252" t="n">
        <v>0</v>
      </c>
      <c r="AG252" t="n">
        <v>0</v>
      </c>
      <c r="AH252" t="n">
        <v>0</v>
      </c>
      <c r="AI252" t="n">
        <v>0</v>
      </c>
      <c r="AJ252" t="n">
        <v>0</v>
      </c>
      <c r="AK252" t="n">
        <v>0</v>
      </c>
      <c r="AL252" t="n">
        <v>0</v>
      </c>
      <c r="AM252" t="n">
        <v>0</v>
      </c>
      <c r="AN252" t="n">
        <v>0</v>
      </c>
      <c r="AO252" t="n">
        <v>0</v>
      </c>
      <c r="AP252" t="inlineStr">
        <is>
          <t>No</t>
        </is>
      </c>
      <c r="AQ252" t="inlineStr">
        <is>
          <t>Yes</t>
        </is>
      </c>
      <c r="AR252">
        <f>HYPERLINK("http://catalog.hathitrust.org/Record/007062000","HathiTrust Record")</f>
        <v/>
      </c>
      <c r="AS252">
        <f>HYPERLINK("https://creighton-primo.hosted.exlibrisgroup.com/primo-explore/search?tab=default_tab&amp;search_scope=EVERYTHING&amp;vid=01CRU&amp;lang=en_US&amp;offset=0&amp;query=any,contains,991000962679702656","Catalog Record")</f>
        <v/>
      </c>
      <c r="AT252">
        <f>HYPERLINK("http://www.worldcat.org/oclc/14867855","WorldCat Record")</f>
        <v/>
      </c>
      <c r="AU252" t="inlineStr">
        <is>
          <t>2219523215:eng</t>
        </is>
      </c>
      <c r="AV252" t="inlineStr">
        <is>
          <t>14867855</t>
        </is>
      </c>
      <c r="AW252" t="inlineStr">
        <is>
          <t>991000962679702656</t>
        </is>
      </c>
      <c r="AX252" t="inlineStr">
        <is>
          <t>991000962679702656</t>
        </is>
      </c>
      <c r="AY252" t="inlineStr">
        <is>
          <t>2262091350002656</t>
        </is>
      </c>
      <c r="AZ252" t="inlineStr">
        <is>
          <t>BOOK</t>
        </is>
      </c>
      <c r="BB252" t="inlineStr">
        <is>
          <t>9780840339119</t>
        </is>
      </c>
      <c r="BC252" t="inlineStr">
        <is>
          <t>32285000198506</t>
        </is>
      </c>
      <c r="BD252" t="inlineStr">
        <is>
          <t>893791035</t>
        </is>
      </c>
    </row>
    <row r="253">
      <c r="A253" t="inlineStr">
        <is>
          <t>No</t>
        </is>
      </c>
      <c r="B253" t="inlineStr">
        <is>
          <t>RA781 .R67 1990</t>
        </is>
      </c>
      <c r="C253" t="inlineStr">
        <is>
          <t>0                      RA 0781000R  67          1990</t>
        </is>
      </c>
      <c r="D253" t="inlineStr">
        <is>
          <t>Exercise concepts, calculations, and computer applications / Robert M. Ross, Andrew S. Jackson.</t>
        </is>
      </c>
      <c r="F253" t="inlineStr">
        <is>
          <t>No</t>
        </is>
      </c>
      <c r="G253" t="inlineStr">
        <is>
          <t>1</t>
        </is>
      </c>
      <c r="H253" t="inlineStr">
        <is>
          <t>No</t>
        </is>
      </c>
      <c r="I253" t="inlineStr">
        <is>
          <t>No</t>
        </is>
      </c>
      <c r="J253" t="inlineStr">
        <is>
          <t>0</t>
        </is>
      </c>
      <c r="K253" t="inlineStr">
        <is>
          <t>Ross, Robert M., 1946-</t>
        </is>
      </c>
      <c r="L253" t="inlineStr">
        <is>
          <t>Carmel, IN. : Benchmark Press, Inc., 1990.</t>
        </is>
      </c>
      <c r="M253" t="inlineStr">
        <is>
          <t>1990</t>
        </is>
      </c>
      <c r="O253" t="inlineStr">
        <is>
          <t>eng</t>
        </is>
      </c>
      <c r="P253" t="inlineStr">
        <is>
          <t xml:space="preserve">xx </t>
        </is>
      </c>
      <c r="R253" t="inlineStr">
        <is>
          <t xml:space="preserve">RA </t>
        </is>
      </c>
      <c r="S253" t="n">
        <v>13</v>
      </c>
      <c r="T253" t="n">
        <v>13</v>
      </c>
      <c r="U253" t="inlineStr">
        <is>
          <t>1998-12-03</t>
        </is>
      </c>
      <c r="V253" t="inlineStr">
        <is>
          <t>1998-12-03</t>
        </is>
      </c>
      <c r="W253" t="inlineStr">
        <is>
          <t>1990-10-09</t>
        </is>
      </c>
      <c r="X253" t="inlineStr">
        <is>
          <t>1990-10-09</t>
        </is>
      </c>
      <c r="Y253" t="n">
        <v>170</v>
      </c>
      <c r="Z253" t="n">
        <v>140</v>
      </c>
      <c r="AA253" t="n">
        <v>143</v>
      </c>
      <c r="AB253" t="n">
        <v>2</v>
      </c>
      <c r="AC253" t="n">
        <v>2</v>
      </c>
      <c r="AD253" t="n">
        <v>2</v>
      </c>
      <c r="AE253" t="n">
        <v>2</v>
      </c>
      <c r="AF253" t="n">
        <v>1</v>
      </c>
      <c r="AG253" t="n">
        <v>1</v>
      </c>
      <c r="AH253" t="n">
        <v>0</v>
      </c>
      <c r="AI253" t="n">
        <v>0</v>
      </c>
      <c r="AJ253" t="n">
        <v>1</v>
      </c>
      <c r="AK253" t="n">
        <v>1</v>
      </c>
      <c r="AL253" t="n">
        <v>1</v>
      </c>
      <c r="AM253" t="n">
        <v>1</v>
      </c>
      <c r="AN253" t="n">
        <v>0</v>
      </c>
      <c r="AO253" t="n">
        <v>0</v>
      </c>
      <c r="AP253" t="inlineStr">
        <is>
          <t>No</t>
        </is>
      </c>
      <c r="AQ253" t="inlineStr">
        <is>
          <t>Yes</t>
        </is>
      </c>
      <c r="AR253">
        <f>HYPERLINK("http://catalog.hathitrust.org/Record/004489146","HathiTrust Record")</f>
        <v/>
      </c>
      <c r="AS253">
        <f>HYPERLINK("https://creighton-primo.hosted.exlibrisgroup.com/primo-explore/search?tab=default_tab&amp;search_scope=EVERYTHING&amp;vid=01CRU&amp;lang=en_US&amp;offset=0&amp;query=any,contains,991001743509702656","Catalog Record")</f>
        <v/>
      </c>
      <c r="AT253">
        <f>HYPERLINK("http://www.worldcat.org/oclc/22106429","WorldCat Record")</f>
        <v/>
      </c>
      <c r="AU253" t="inlineStr">
        <is>
          <t>22991469:eng</t>
        </is>
      </c>
      <c r="AV253" t="inlineStr">
        <is>
          <t>22106429</t>
        </is>
      </c>
      <c r="AW253" t="inlineStr">
        <is>
          <t>991001743509702656</t>
        </is>
      </c>
      <c r="AX253" t="inlineStr">
        <is>
          <t>991001743509702656</t>
        </is>
      </c>
      <c r="AY253" t="inlineStr">
        <is>
          <t>2262641950002656</t>
        </is>
      </c>
      <c r="AZ253" t="inlineStr">
        <is>
          <t>BOOK</t>
        </is>
      </c>
      <c r="BB253" t="inlineStr">
        <is>
          <t>9780936157511</t>
        </is>
      </c>
      <c r="BC253" t="inlineStr">
        <is>
          <t>32285000279934</t>
        </is>
      </c>
      <c r="BD253" t="inlineStr">
        <is>
          <t>893803845</t>
        </is>
      </c>
    </row>
    <row r="254">
      <c r="A254" t="inlineStr">
        <is>
          <t>No</t>
        </is>
      </c>
      <c r="B254" t="inlineStr">
        <is>
          <t>RA781 .S44 1986</t>
        </is>
      </c>
      <c r="C254" t="inlineStr">
        <is>
          <t>0                      RA 0781000S  44          1986</t>
        </is>
      </c>
      <c r="D254" t="inlineStr">
        <is>
          <t>The value of physical activity / Vern Seefeldt and Paul Vogel.</t>
        </is>
      </c>
      <c r="F254" t="inlineStr">
        <is>
          <t>No</t>
        </is>
      </c>
      <c r="G254" t="inlineStr">
        <is>
          <t>1</t>
        </is>
      </c>
      <c r="H254" t="inlineStr">
        <is>
          <t>No</t>
        </is>
      </c>
      <c r="I254" t="inlineStr">
        <is>
          <t>No</t>
        </is>
      </c>
      <c r="J254" t="inlineStr">
        <is>
          <t>0</t>
        </is>
      </c>
      <c r="K254" t="inlineStr">
        <is>
          <t>Seefeldt, Vern.</t>
        </is>
      </c>
      <c r="L254" t="inlineStr">
        <is>
          <t>Reston, Va. : American Alliance for Health, Physical Education, Recreation, and Dance, c1986.</t>
        </is>
      </c>
      <c r="M254" t="inlineStr">
        <is>
          <t>1986</t>
        </is>
      </c>
      <c r="O254" t="inlineStr">
        <is>
          <t>eng</t>
        </is>
      </c>
      <c r="P254" t="inlineStr">
        <is>
          <t>vau</t>
        </is>
      </c>
      <c r="R254" t="inlineStr">
        <is>
          <t xml:space="preserve">RA </t>
        </is>
      </c>
      <c r="S254" t="n">
        <v>16</v>
      </c>
      <c r="T254" t="n">
        <v>16</v>
      </c>
      <c r="U254" t="inlineStr">
        <is>
          <t>2003-04-03</t>
        </is>
      </c>
      <c r="V254" t="inlineStr">
        <is>
          <t>2003-04-03</t>
        </is>
      </c>
      <c r="W254" t="inlineStr">
        <is>
          <t>1992-12-22</t>
        </is>
      </c>
      <c r="X254" t="inlineStr">
        <is>
          <t>1992-12-22</t>
        </is>
      </c>
      <c r="Y254" t="n">
        <v>207</v>
      </c>
      <c r="Z254" t="n">
        <v>180</v>
      </c>
      <c r="AA254" t="n">
        <v>181</v>
      </c>
      <c r="AB254" t="n">
        <v>3</v>
      </c>
      <c r="AC254" t="n">
        <v>3</v>
      </c>
      <c r="AD254" t="n">
        <v>5</v>
      </c>
      <c r="AE254" t="n">
        <v>5</v>
      </c>
      <c r="AF254" t="n">
        <v>2</v>
      </c>
      <c r="AG254" t="n">
        <v>2</v>
      </c>
      <c r="AH254" t="n">
        <v>0</v>
      </c>
      <c r="AI254" t="n">
        <v>0</v>
      </c>
      <c r="AJ254" t="n">
        <v>1</v>
      </c>
      <c r="AK254" t="n">
        <v>1</v>
      </c>
      <c r="AL254" t="n">
        <v>2</v>
      </c>
      <c r="AM254" t="n">
        <v>2</v>
      </c>
      <c r="AN254" t="n">
        <v>0</v>
      </c>
      <c r="AO254" t="n">
        <v>0</v>
      </c>
      <c r="AP254" t="inlineStr">
        <is>
          <t>No</t>
        </is>
      </c>
      <c r="AQ254" t="inlineStr">
        <is>
          <t>No</t>
        </is>
      </c>
      <c r="AS254">
        <f>HYPERLINK("https://creighton-primo.hosted.exlibrisgroup.com/primo-explore/search?tab=default_tab&amp;search_scope=EVERYTHING&amp;vid=01CRU&amp;lang=en_US&amp;offset=0&amp;query=any,contains,991000962769702656","Catalog Record")</f>
        <v/>
      </c>
      <c r="AT254">
        <f>HYPERLINK("http://www.worldcat.org/oclc/14868177","WorldCat Record")</f>
        <v/>
      </c>
      <c r="AU254" t="inlineStr">
        <is>
          <t>8514544:eng</t>
        </is>
      </c>
      <c r="AV254" t="inlineStr">
        <is>
          <t>14868177</t>
        </is>
      </c>
      <c r="AW254" t="inlineStr">
        <is>
          <t>991000962769702656</t>
        </is>
      </c>
      <c r="AX254" t="inlineStr">
        <is>
          <t>991000962769702656</t>
        </is>
      </c>
      <c r="AY254" t="inlineStr">
        <is>
          <t>2255037880002656</t>
        </is>
      </c>
      <c r="AZ254" t="inlineStr">
        <is>
          <t>BOOK</t>
        </is>
      </c>
      <c r="BB254" t="inlineStr">
        <is>
          <t>9780883143360</t>
        </is>
      </c>
      <c r="BC254" t="inlineStr">
        <is>
          <t>32285001469104</t>
        </is>
      </c>
      <c r="BD254" t="inlineStr">
        <is>
          <t>893522163</t>
        </is>
      </c>
    </row>
    <row r="255">
      <c r="A255" t="inlineStr">
        <is>
          <t>No</t>
        </is>
      </c>
      <c r="B255" t="inlineStr">
        <is>
          <t>RA781 .S55</t>
        </is>
      </c>
      <c r="C255" t="inlineStr">
        <is>
          <t>0                      RA 0781000S  55</t>
        </is>
      </c>
      <c r="D255" t="inlineStr">
        <is>
          <t>Total woman's fitness guide / by Gail Shierman &amp; Christine Haycock.</t>
        </is>
      </c>
      <c r="F255" t="inlineStr">
        <is>
          <t>No</t>
        </is>
      </c>
      <c r="G255" t="inlineStr">
        <is>
          <t>1</t>
        </is>
      </c>
      <c r="H255" t="inlineStr">
        <is>
          <t>No</t>
        </is>
      </c>
      <c r="I255" t="inlineStr">
        <is>
          <t>No</t>
        </is>
      </c>
      <c r="J255" t="inlineStr">
        <is>
          <t>0</t>
        </is>
      </c>
      <c r="K255" t="inlineStr">
        <is>
          <t>Shierman, Gail.</t>
        </is>
      </c>
      <c r="L255" t="inlineStr">
        <is>
          <t>Mountain View, Calif. : World Publications, c1979.</t>
        </is>
      </c>
      <c r="M255" t="inlineStr">
        <is>
          <t>1979</t>
        </is>
      </c>
      <c r="O255" t="inlineStr">
        <is>
          <t>eng</t>
        </is>
      </c>
      <c r="P255" t="inlineStr">
        <is>
          <t>cau</t>
        </is>
      </c>
      <c r="R255" t="inlineStr">
        <is>
          <t xml:space="preserve">RA </t>
        </is>
      </c>
      <c r="S255" t="n">
        <v>7</v>
      </c>
      <c r="T255" t="n">
        <v>7</v>
      </c>
      <c r="U255" t="inlineStr">
        <is>
          <t>1997-12-01</t>
        </is>
      </c>
      <c r="V255" t="inlineStr">
        <is>
          <t>1997-12-01</t>
        </is>
      </c>
      <c r="W255" t="inlineStr">
        <is>
          <t>1993-03-16</t>
        </is>
      </c>
      <c r="X255" t="inlineStr">
        <is>
          <t>1993-03-16</t>
        </is>
      </c>
      <c r="Y255" t="n">
        <v>149</v>
      </c>
      <c r="Z255" t="n">
        <v>133</v>
      </c>
      <c r="AA255" t="n">
        <v>139</v>
      </c>
      <c r="AB255" t="n">
        <v>3</v>
      </c>
      <c r="AC255" t="n">
        <v>3</v>
      </c>
      <c r="AD255" t="n">
        <v>1</v>
      </c>
      <c r="AE255" t="n">
        <v>1</v>
      </c>
      <c r="AF255" t="n">
        <v>0</v>
      </c>
      <c r="AG255" t="n">
        <v>0</v>
      </c>
      <c r="AH255" t="n">
        <v>0</v>
      </c>
      <c r="AI255" t="n">
        <v>0</v>
      </c>
      <c r="AJ255" t="n">
        <v>0</v>
      </c>
      <c r="AK255" t="n">
        <v>0</v>
      </c>
      <c r="AL255" t="n">
        <v>1</v>
      </c>
      <c r="AM255" t="n">
        <v>1</v>
      </c>
      <c r="AN255" t="n">
        <v>0</v>
      </c>
      <c r="AO255" t="n">
        <v>0</v>
      </c>
      <c r="AP255" t="inlineStr">
        <is>
          <t>No</t>
        </is>
      </c>
      <c r="AQ255" t="inlineStr">
        <is>
          <t>No</t>
        </is>
      </c>
      <c r="AS255">
        <f>HYPERLINK("https://creighton-primo.hosted.exlibrisgroup.com/primo-explore/search?tab=default_tab&amp;search_scope=EVERYTHING&amp;vid=01CRU&amp;lang=en_US&amp;offset=0&amp;query=any,contains,991004651899702656","Catalog Record")</f>
        <v/>
      </c>
      <c r="AT255">
        <f>HYPERLINK("http://www.worldcat.org/oclc/4494292","WorldCat Record")</f>
        <v/>
      </c>
      <c r="AU255" t="inlineStr">
        <is>
          <t>4714431003:eng</t>
        </is>
      </c>
      <c r="AV255" t="inlineStr">
        <is>
          <t>4494292</t>
        </is>
      </c>
      <c r="AW255" t="inlineStr">
        <is>
          <t>991004651899702656</t>
        </is>
      </c>
      <c r="AX255" t="inlineStr">
        <is>
          <t>991004651899702656</t>
        </is>
      </c>
      <c r="AY255" t="inlineStr">
        <is>
          <t>2265465330002656</t>
        </is>
      </c>
      <c r="AZ255" t="inlineStr">
        <is>
          <t>BOOK</t>
        </is>
      </c>
      <c r="BB255" t="inlineStr">
        <is>
          <t>9780890371633</t>
        </is>
      </c>
      <c r="BC255" t="inlineStr">
        <is>
          <t>32285001587889</t>
        </is>
      </c>
      <c r="BD255" t="inlineStr">
        <is>
          <t>893247818</t>
        </is>
      </c>
    </row>
    <row r="256">
      <c r="A256" t="inlineStr">
        <is>
          <t>No</t>
        </is>
      </c>
      <c r="B256" t="inlineStr">
        <is>
          <t>RA781 .S857 1988</t>
        </is>
      </c>
      <c r="C256" t="inlineStr">
        <is>
          <t>0                      RA 0781000S  857         1988</t>
        </is>
      </c>
      <c r="D256" t="inlineStr">
        <is>
          <t>Fitness, the new wave / Roberta Stokes, Alan C. Moore, Clancy Moore.</t>
        </is>
      </c>
      <c r="F256" t="inlineStr">
        <is>
          <t>No</t>
        </is>
      </c>
      <c r="G256" t="inlineStr">
        <is>
          <t>1</t>
        </is>
      </c>
      <c r="H256" t="inlineStr">
        <is>
          <t>No</t>
        </is>
      </c>
      <c r="I256" t="inlineStr">
        <is>
          <t>No</t>
        </is>
      </c>
      <c r="J256" t="inlineStr">
        <is>
          <t>0</t>
        </is>
      </c>
      <c r="K256" t="inlineStr">
        <is>
          <t>Stokes, Roberta.</t>
        </is>
      </c>
      <c r="L256" t="inlineStr">
        <is>
          <t>Winston-Salem, N.C. : Hunter Textbooks, c1988.</t>
        </is>
      </c>
      <c r="M256" t="inlineStr">
        <is>
          <t>1988</t>
        </is>
      </c>
      <c r="N256" t="inlineStr">
        <is>
          <t>Rev. 2nd ed.</t>
        </is>
      </c>
      <c r="O256" t="inlineStr">
        <is>
          <t>eng</t>
        </is>
      </c>
      <c r="P256" t="inlineStr">
        <is>
          <t>ncu</t>
        </is>
      </c>
      <c r="R256" t="inlineStr">
        <is>
          <t xml:space="preserve">RA </t>
        </is>
      </c>
      <c r="S256" t="n">
        <v>8</v>
      </c>
      <c r="T256" t="n">
        <v>8</v>
      </c>
      <c r="U256" t="inlineStr">
        <is>
          <t>1997-02-05</t>
        </is>
      </c>
      <c r="V256" t="inlineStr">
        <is>
          <t>1997-02-05</t>
        </is>
      </c>
      <c r="W256" t="inlineStr">
        <is>
          <t>1990-05-03</t>
        </is>
      </c>
      <c r="X256" t="inlineStr">
        <is>
          <t>1990-05-03</t>
        </is>
      </c>
      <c r="Y256" t="n">
        <v>31</v>
      </c>
      <c r="Z256" t="n">
        <v>28</v>
      </c>
      <c r="AA256" t="n">
        <v>120</v>
      </c>
      <c r="AB256" t="n">
        <v>2</v>
      </c>
      <c r="AC256" t="n">
        <v>2</v>
      </c>
      <c r="AD256" t="n">
        <v>0</v>
      </c>
      <c r="AE256" t="n">
        <v>0</v>
      </c>
      <c r="AF256" t="n">
        <v>0</v>
      </c>
      <c r="AG256" t="n">
        <v>0</v>
      </c>
      <c r="AH256" t="n">
        <v>0</v>
      </c>
      <c r="AI256" t="n">
        <v>0</v>
      </c>
      <c r="AJ256" t="n">
        <v>0</v>
      </c>
      <c r="AK256" t="n">
        <v>0</v>
      </c>
      <c r="AL256" t="n">
        <v>0</v>
      </c>
      <c r="AM256" t="n">
        <v>0</v>
      </c>
      <c r="AN256" t="n">
        <v>0</v>
      </c>
      <c r="AO256" t="n">
        <v>0</v>
      </c>
      <c r="AP256" t="inlineStr">
        <is>
          <t>No</t>
        </is>
      </c>
      <c r="AQ256" t="inlineStr">
        <is>
          <t>No</t>
        </is>
      </c>
      <c r="AS256">
        <f>HYPERLINK("https://creighton-primo.hosted.exlibrisgroup.com/primo-explore/search?tab=default_tab&amp;search_scope=EVERYTHING&amp;vid=01CRU&amp;lang=en_US&amp;offset=0&amp;query=any,contains,991001548799702656","Catalog Record")</f>
        <v/>
      </c>
      <c r="AT256">
        <f>HYPERLINK("http://www.worldcat.org/oclc/20191365","WorldCat Record")</f>
        <v/>
      </c>
      <c r="AU256" t="inlineStr">
        <is>
          <t>54519718:eng</t>
        </is>
      </c>
      <c r="AV256" t="inlineStr">
        <is>
          <t>20191365</t>
        </is>
      </c>
      <c r="AW256" t="inlineStr">
        <is>
          <t>991001548799702656</t>
        </is>
      </c>
      <c r="AX256" t="inlineStr">
        <is>
          <t>991001548799702656</t>
        </is>
      </c>
      <c r="AY256" t="inlineStr">
        <is>
          <t>2260717650002656</t>
        </is>
      </c>
      <c r="AZ256" t="inlineStr">
        <is>
          <t>BOOK</t>
        </is>
      </c>
      <c r="BB256" t="inlineStr">
        <is>
          <t>9780887250941</t>
        </is>
      </c>
      <c r="BC256" t="inlineStr">
        <is>
          <t>32285000117811</t>
        </is>
      </c>
      <c r="BD256" t="inlineStr">
        <is>
          <t>893503485</t>
        </is>
      </c>
    </row>
    <row r="257">
      <c r="A257" t="inlineStr">
        <is>
          <t>No</t>
        </is>
      </c>
      <c r="B257" t="inlineStr">
        <is>
          <t>RA781 .S86 1986</t>
        </is>
      </c>
      <c r="C257" t="inlineStr">
        <is>
          <t>0                      RA 0781000S  86          1986</t>
        </is>
      </c>
      <c r="D257" t="inlineStr">
        <is>
          <t>The University fitness program : aerobics, lifting, diet and nutrition / Sharon Stoll.</t>
        </is>
      </c>
      <c r="F257" t="inlineStr">
        <is>
          <t>No</t>
        </is>
      </c>
      <c r="G257" t="inlineStr">
        <is>
          <t>1</t>
        </is>
      </c>
      <c r="H257" t="inlineStr">
        <is>
          <t>No</t>
        </is>
      </c>
      <c r="I257" t="inlineStr">
        <is>
          <t>No</t>
        </is>
      </c>
      <c r="J257" t="inlineStr">
        <is>
          <t>0</t>
        </is>
      </c>
      <c r="K257" t="inlineStr">
        <is>
          <t>Stoll, Sharon Kay.</t>
        </is>
      </c>
      <c r="L257" t="inlineStr">
        <is>
          <t>Moscow, Idaho : University of Idaho Press, 1986.</t>
        </is>
      </c>
      <c r="M257" t="inlineStr">
        <is>
          <t>1986</t>
        </is>
      </c>
      <c r="O257" t="inlineStr">
        <is>
          <t>eng</t>
        </is>
      </c>
      <c r="P257" t="inlineStr">
        <is>
          <t>idu</t>
        </is>
      </c>
      <c r="R257" t="inlineStr">
        <is>
          <t xml:space="preserve">RA </t>
        </is>
      </c>
      <c r="S257" t="n">
        <v>11</v>
      </c>
      <c r="T257" t="n">
        <v>11</v>
      </c>
      <c r="U257" t="inlineStr">
        <is>
          <t>1996-07-23</t>
        </is>
      </c>
      <c r="V257" t="inlineStr">
        <is>
          <t>1996-07-23</t>
        </is>
      </c>
      <c r="W257" t="inlineStr">
        <is>
          <t>1991-12-09</t>
        </is>
      </c>
      <c r="X257" t="inlineStr">
        <is>
          <t>1991-12-09</t>
        </is>
      </c>
      <c r="Y257" t="n">
        <v>120</v>
      </c>
      <c r="Z257" t="n">
        <v>110</v>
      </c>
      <c r="AA257" t="n">
        <v>116</v>
      </c>
      <c r="AB257" t="n">
        <v>2</v>
      </c>
      <c r="AC257" t="n">
        <v>2</v>
      </c>
      <c r="AD257" t="n">
        <v>2</v>
      </c>
      <c r="AE257" t="n">
        <v>2</v>
      </c>
      <c r="AF257" t="n">
        <v>1</v>
      </c>
      <c r="AG257" t="n">
        <v>1</v>
      </c>
      <c r="AH257" t="n">
        <v>0</v>
      </c>
      <c r="AI257" t="n">
        <v>0</v>
      </c>
      <c r="AJ257" t="n">
        <v>1</v>
      </c>
      <c r="AK257" t="n">
        <v>1</v>
      </c>
      <c r="AL257" t="n">
        <v>1</v>
      </c>
      <c r="AM257" t="n">
        <v>1</v>
      </c>
      <c r="AN257" t="n">
        <v>0</v>
      </c>
      <c r="AO257" t="n">
        <v>0</v>
      </c>
      <c r="AP257" t="inlineStr">
        <is>
          <t>No</t>
        </is>
      </c>
      <c r="AQ257" t="inlineStr">
        <is>
          <t>Yes</t>
        </is>
      </c>
      <c r="AR257">
        <f>HYPERLINK("http://catalog.hathitrust.org/Record/102084381","HathiTrust Record")</f>
        <v/>
      </c>
      <c r="AS257">
        <f>HYPERLINK("https://creighton-primo.hosted.exlibrisgroup.com/primo-explore/search?tab=default_tab&amp;search_scope=EVERYTHING&amp;vid=01CRU&amp;lang=en_US&amp;offset=0&amp;query=any,contains,991001001449702656","Catalog Record")</f>
        <v/>
      </c>
      <c r="AT257">
        <f>HYPERLINK("http://www.worldcat.org/oclc/15202393","WorldCat Record")</f>
        <v/>
      </c>
      <c r="AU257" t="inlineStr">
        <is>
          <t>9795333:eng</t>
        </is>
      </c>
      <c r="AV257" t="inlineStr">
        <is>
          <t>15202393</t>
        </is>
      </c>
      <c r="AW257" t="inlineStr">
        <is>
          <t>991001001449702656</t>
        </is>
      </c>
      <c r="AX257" t="inlineStr">
        <is>
          <t>991001001449702656</t>
        </is>
      </c>
      <c r="AY257" t="inlineStr">
        <is>
          <t>2254792330002656</t>
        </is>
      </c>
      <c r="AZ257" t="inlineStr">
        <is>
          <t>BOOK</t>
        </is>
      </c>
      <c r="BB257" t="inlineStr">
        <is>
          <t>9780893011062</t>
        </is>
      </c>
      <c r="BC257" t="inlineStr">
        <is>
          <t>32285000838499</t>
        </is>
      </c>
      <c r="BD257" t="inlineStr">
        <is>
          <t>893589934</t>
        </is>
      </c>
    </row>
    <row r="258">
      <c r="A258" t="inlineStr">
        <is>
          <t>No</t>
        </is>
      </c>
      <c r="B258" t="inlineStr">
        <is>
          <t>RA781.15 .K86</t>
        </is>
      </c>
      <c r="C258" t="inlineStr">
        <is>
          <t>0                      RA 0781150K  86</t>
        </is>
      </c>
      <c r="D258" t="inlineStr">
        <is>
          <t>The complete guide to aerobic dancing / by Beth A. Kuntzleman and the editors of Consumer guide.</t>
        </is>
      </c>
      <c r="F258" t="inlineStr">
        <is>
          <t>No</t>
        </is>
      </c>
      <c r="G258" t="inlineStr">
        <is>
          <t>1</t>
        </is>
      </c>
      <c r="H258" t="inlineStr">
        <is>
          <t>No</t>
        </is>
      </c>
      <c r="I258" t="inlineStr">
        <is>
          <t>No</t>
        </is>
      </c>
      <c r="J258" t="inlineStr">
        <is>
          <t>0</t>
        </is>
      </c>
      <c r="K258" t="inlineStr">
        <is>
          <t>Kuntzleman, Beth A.</t>
        </is>
      </c>
      <c r="L258" t="inlineStr">
        <is>
          <t>New York : Beekman House, c1979.</t>
        </is>
      </c>
      <c r="M258" t="inlineStr">
        <is>
          <t>1979</t>
        </is>
      </c>
      <c r="O258" t="inlineStr">
        <is>
          <t>eng</t>
        </is>
      </c>
      <c r="P258" t="inlineStr">
        <is>
          <t>nyu</t>
        </is>
      </c>
      <c r="R258" t="inlineStr">
        <is>
          <t xml:space="preserve">RA </t>
        </is>
      </c>
      <c r="S258" t="n">
        <v>7</v>
      </c>
      <c r="T258" t="n">
        <v>7</v>
      </c>
      <c r="U258" t="inlineStr">
        <is>
          <t>2005-04-07</t>
        </is>
      </c>
      <c r="V258" t="inlineStr">
        <is>
          <t>2005-04-07</t>
        </is>
      </c>
      <c r="W258" t="inlineStr">
        <is>
          <t>1991-11-25</t>
        </is>
      </c>
      <c r="X258" t="inlineStr">
        <is>
          <t>1991-11-25</t>
        </is>
      </c>
      <c r="Y258" t="n">
        <v>217</v>
      </c>
      <c r="Z258" t="n">
        <v>209</v>
      </c>
      <c r="AA258" t="n">
        <v>361</v>
      </c>
      <c r="AB258" t="n">
        <v>3</v>
      </c>
      <c r="AC258" t="n">
        <v>5</v>
      </c>
      <c r="AD258" t="n">
        <v>2</v>
      </c>
      <c r="AE258" t="n">
        <v>2</v>
      </c>
      <c r="AF258" t="n">
        <v>2</v>
      </c>
      <c r="AG258" t="n">
        <v>2</v>
      </c>
      <c r="AH258" t="n">
        <v>1</v>
      </c>
      <c r="AI258" t="n">
        <v>1</v>
      </c>
      <c r="AJ258" t="n">
        <v>0</v>
      </c>
      <c r="AK258" t="n">
        <v>0</v>
      </c>
      <c r="AL258" t="n">
        <v>0</v>
      </c>
      <c r="AM258" t="n">
        <v>0</v>
      </c>
      <c r="AN258" t="n">
        <v>0</v>
      </c>
      <c r="AO258" t="n">
        <v>0</v>
      </c>
      <c r="AP258" t="inlineStr">
        <is>
          <t>No</t>
        </is>
      </c>
      <c r="AQ258" t="inlineStr">
        <is>
          <t>No</t>
        </is>
      </c>
      <c r="AS258">
        <f>HYPERLINK("https://creighton-primo.hosted.exlibrisgroup.com/primo-explore/search?tab=default_tab&amp;search_scope=EVERYTHING&amp;vid=01CRU&amp;lang=en_US&amp;offset=0&amp;query=any,contains,991004921839702656","Catalog Record")</f>
        <v/>
      </c>
      <c r="AT258">
        <f>HYPERLINK("http://www.worldcat.org/oclc/6051195","WorldCat Record")</f>
        <v/>
      </c>
      <c r="AU258" t="inlineStr">
        <is>
          <t>17587445:eng</t>
        </is>
      </c>
      <c r="AV258" t="inlineStr">
        <is>
          <t>6051195</t>
        </is>
      </c>
      <c r="AW258" t="inlineStr">
        <is>
          <t>991004921839702656</t>
        </is>
      </c>
      <c r="AX258" t="inlineStr">
        <is>
          <t>991004921839702656</t>
        </is>
      </c>
      <c r="AY258" t="inlineStr">
        <is>
          <t>2270118350002656</t>
        </is>
      </c>
      <c r="AZ258" t="inlineStr">
        <is>
          <t>BOOK</t>
        </is>
      </c>
      <c r="BB258" t="inlineStr">
        <is>
          <t>9780517294567</t>
        </is>
      </c>
      <c r="BC258" t="inlineStr">
        <is>
          <t>32285000845445</t>
        </is>
      </c>
      <c r="BD258" t="inlineStr">
        <is>
          <t>893443194</t>
        </is>
      </c>
    </row>
    <row r="259">
      <c r="A259" t="inlineStr">
        <is>
          <t>No</t>
        </is>
      </c>
      <c r="B259" t="inlineStr">
        <is>
          <t>RA781.15 .Y68 1987</t>
        </is>
      </c>
      <c r="C259" t="inlineStr">
        <is>
          <t>0                      RA 0781150Y  68          1987</t>
        </is>
      </c>
      <c r="D259" t="inlineStr">
        <is>
          <t>Let's train! / Lynda Young.</t>
        </is>
      </c>
      <c r="F259" t="inlineStr">
        <is>
          <t>No</t>
        </is>
      </c>
      <c r="G259" t="inlineStr">
        <is>
          <t>1</t>
        </is>
      </c>
      <c r="H259" t="inlineStr">
        <is>
          <t>No</t>
        </is>
      </c>
      <c r="I259" t="inlineStr">
        <is>
          <t>No</t>
        </is>
      </c>
      <c r="J259" t="inlineStr">
        <is>
          <t>0</t>
        </is>
      </c>
      <c r="K259" t="inlineStr">
        <is>
          <t>Young, Lynda.</t>
        </is>
      </c>
      <c r="L259" t="inlineStr">
        <is>
          <t>Winston-Salem, N.C. : Hunter Textbooks, c1987.</t>
        </is>
      </c>
      <c r="M259" t="inlineStr">
        <is>
          <t>1987</t>
        </is>
      </c>
      <c r="O259" t="inlineStr">
        <is>
          <t>eng</t>
        </is>
      </c>
      <c r="P259" t="inlineStr">
        <is>
          <t>ncu</t>
        </is>
      </c>
      <c r="R259" t="inlineStr">
        <is>
          <t xml:space="preserve">RA </t>
        </is>
      </c>
      <c r="S259" t="n">
        <v>2</v>
      </c>
      <c r="T259" t="n">
        <v>2</v>
      </c>
      <c r="U259" t="inlineStr">
        <is>
          <t>1992-10-09</t>
        </is>
      </c>
      <c r="V259" t="inlineStr">
        <is>
          <t>1992-10-09</t>
        </is>
      </c>
      <c r="W259" t="inlineStr">
        <is>
          <t>1990-08-06</t>
        </is>
      </c>
      <c r="X259" t="inlineStr">
        <is>
          <t>1990-08-06</t>
        </is>
      </c>
      <c r="Y259" t="n">
        <v>35</v>
      </c>
      <c r="Z259" t="n">
        <v>34</v>
      </c>
      <c r="AA259" t="n">
        <v>34</v>
      </c>
      <c r="AB259" t="n">
        <v>2</v>
      </c>
      <c r="AC259" t="n">
        <v>2</v>
      </c>
      <c r="AD259" t="n">
        <v>1</v>
      </c>
      <c r="AE259" t="n">
        <v>1</v>
      </c>
      <c r="AF259" t="n">
        <v>0</v>
      </c>
      <c r="AG259" t="n">
        <v>0</v>
      </c>
      <c r="AH259" t="n">
        <v>0</v>
      </c>
      <c r="AI259" t="n">
        <v>0</v>
      </c>
      <c r="AJ259" t="n">
        <v>0</v>
      </c>
      <c r="AK259" t="n">
        <v>0</v>
      </c>
      <c r="AL259" t="n">
        <v>1</v>
      </c>
      <c r="AM259" t="n">
        <v>1</v>
      </c>
      <c r="AN259" t="n">
        <v>0</v>
      </c>
      <c r="AO259" t="n">
        <v>0</v>
      </c>
      <c r="AP259" t="inlineStr">
        <is>
          <t>No</t>
        </is>
      </c>
      <c r="AQ259" t="inlineStr">
        <is>
          <t>No</t>
        </is>
      </c>
      <c r="AS259">
        <f>HYPERLINK("https://creighton-primo.hosted.exlibrisgroup.com/primo-explore/search?tab=default_tab&amp;search_scope=EVERYTHING&amp;vid=01CRU&amp;lang=en_US&amp;offset=0&amp;query=any,contains,991001141959702656","Catalog Record")</f>
        <v/>
      </c>
      <c r="AT259">
        <f>HYPERLINK("http://www.worldcat.org/oclc/16750072","WorldCat Record")</f>
        <v/>
      </c>
      <c r="AU259" t="inlineStr">
        <is>
          <t>13060070:eng</t>
        </is>
      </c>
      <c r="AV259" t="inlineStr">
        <is>
          <t>16750072</t>
        </is>
      </c>
      <c r="AW259" t="inlineStr">
        <is>
          <t>991001141959702656</t>
        </is>
      </c>
      <c r="AX259" t="inlineStr">
        <is>
          <t>991001141959702656</t>
        </is>
      </c>
      <c r="AY259" t="inlineStr">
        <is>
          <t>2255318060002656</t>
        </is>
      </c>
      <c r="AZ259" t="inlineStr">
        <is>
          <t>BOOK</t>
        </is>
      </c>
      <c r="BB259" t="inlineStr">
        <is>
          <t>9780887250804</t>
        </is>
      </c>
      <c r="BC259" t="inlineStr">
        <is>
          <t>32285000242049</t>
        </is>
      </c>
      <c r="BD259" t="inlineStr">
        <is>
          <t>893897561</t>
        </is>
      </c>
    </row>
    <row r="260">
      <c r="A260" t="inlineStr">
        <is>
          <t>No</t>
        </is>
      </c>
      <c r="B260" t="inlineStr">
        <is>
          <t>RA781.17 .K73 1985</t>
        </is>
      </c>
      <c r="C260" t="inlineStr">
        <is>
          <t>0                      RA 0781170K  73          1985</t>
        </is>
      </c>
      <c r="D260" t="inlineStr">
        <is>
          <t>HydroRobics : a water exercise program for individuals of all ages and fitness levels / Joseph A. Krasevec, Diane C. Grimes.</t>
        </is>
      </c>
      <c r="F260" t="inlineStr">
        <is>
          <t>No</t>
        </is>
      </c>
      <c r="G260" t="inlineStr">
        <is>
          <t>1</t>
        </is>
      </c>
      <c r="H260" t="inlineStr">
        <is>
          <t>No</t>
        </is>
      </c>
      <c r="I260" t="inlineStr">
        <is>
          <t>No</t>
        </is>
      </c>
      <c r="J260" t="inlineStr">
        <is>
          <t>0</t>
        </is>
      </c>
      <c r="K260" t="inlineStr">
        <is>
          <t>Krasevec, Joseph A.</t>
        </is>
      </c>
      <c r="L260" t="inlineStr">
        <is>
          <t>Champaign, Ill. : Leisure Press, c1985.</t>
        </is>
      </c>
      <c r="M260" t="inlineStr">
        <is>
          <t>1985</t>
        </is>
      </c>
      <c r="N260" t="inlineStr">
        <is>
          <t>2nd ed.</t>
        </is>
      </c>
      <c r="O260" t="inlineStr">
        <is>
          <t>eng</t>
        </is>
      </c>
      <c r="P260" t="inlineStr">
        <is>
          <t>nyu</t>
        </is>
      </c>
      <c r="R260" t="inlineStr">
        <is>
          <t xml:space="preserve">RA </t>
        </is>
      </c>
      <c r="S260" t="n">
        <v>8</v>
      </c>
      <c r="T260" t="n">
        <v>8</v>
      </c>
      <c r="U260" t="inlineStr">
        <is>
          <t>1999-09-15</t>
        </is>
      </c>
      <c r="V260" t="inlineStr">
        <is>
          <t>1999-09-15</t>
        </is>
      </c>
      <c r="W260" t="inlineStr">
        <is>
          <t>1992-03-20</t>
        </is>
      </c>
      <c r="X260" t="inlineStr">
        <is>
          <t>1992-03-20</t>
        </is>
      </c>
      <c r="Y260" t="n">
        <v>501</v>
      </c>
      <c r="Z260" t="n">
        <v>422</v>
      </c>
      <c r="AA260" t="n">
        <v>445</v>
      </c>
      <c r="AB260" t="n">
        <v>5</v>
      </c>
      <c r="AC260" t="n">
        <v>5</v>
      </c>
      <c r="AD260" t="n">
        <v>9</v>
      </c>
      <c r="AE260" t="n">
        <v>9</v>
      </c>
      <c r="AF260" t="n">
        <v>5</v>
      </c>
      <c r="AG260" t="n">
        <v>5</v>
      </c>
      <c r="AH260" t="n">
        <v>0</v>
      </c>
      <c r="AI260" t="n">
        <v>0</v>
      </c>
      <c r="AJ260" t="n">
        <v>1</v>
      </c>
      <c r="AK260" t="n">
        <v>1</v>
      </c>
      <c r="AL260" t="n">
        <v>4</v>
      </c>
      <c r="AM260" t="n">
        <v>4</v>
      </c>
      <c r="AN260" t="n">
        <v>0</v>
      </c>
      <c r="AO260" t="n">
        <v>0</v>
      </c>
      <c r="AP260" t="inlineStr">
        <is>
          <t>No</t>
        </is>
      </c>
      <c r="AQ260" t="inlineStr">
        <is>
          <t>Yes</t>
        </is>
      </c>
      <c r="AR260">
        <f>HYPERLINK("http://catalog.hathitrust.org/Record/101876726","HathiTrust Record")</f>
        <v/>
      </c>
      <c r="AS260">
        <f>HYPERLINK("https://creighton-primo.hosted.exlibrisgroup.com/primo-explore/search?tab=default_tab&amp;search_scope=EVERYTHING&amp;vid=01CRU&amp;lang=en_US&amp;offset=0&amp;query=any,contains,991000369329702656","Catalog Record")</f>
        <v/>
      </c>
      <c r="AT260">
        <f>HYPERLINK("http://www.worldcat.org/oclc/10422655","WorldCat Record")</f>
        <v/>
      </c>
      <c r="AU260" t="inlineStr">
        <is>
          <t>3202467:eng</t>
        </is>
      </c>
      <c r="AV260" t="inlineStr">
        <is>
          <t>10422655</t>
        </is>
      </c>
      <c r="AW260" t="inlineStr">
        <is>
          <t>991000369329702656</t>
        </is>
      </c>
      <c r="AX260" t="inlineStr">
        <is>
          <t>991000369329702656</t>
        </is>
      </c>
      <c r="AY260" t="inlineStr">
        <is>
          <t>2272261180002656</t>
        </is>
      </c>
      <c r="AZ260" t="inlineStr">
        <is>
          <t>BOOK</t>
        </is>
      </c>
      <c r="BB260" t="inlineStr">
        <is>
          <t>9780880112666</t>
        </is>
      </c>
      <c r="BC260" t="inlineStr">
        <is>
          <t>32285001003036</t>
        </is>
      </c>
      <c r="BD260" t="inlineStr">
        <is>
          <t>893695775</t>
        </is>
      </c>
    </row>
    <row r="261">
      <c r="A261" t="inlineStr">
        <is>
          <t>No</t>
        </is>
      </c>
      <c r="B261" t="inlineStr">
        <is>
          <t>RA781.17 .K74 1989</t>
        </is>
      </c>
      <c r="C261" t="inlineStr">
        <is>
          <t>0                      RA 0781170K  74          1989</t>
        </is>
      </c>
      <c r="D261" t="inlineStr">
        <is>
          <t>Y's way to water exercise instructor's guide / Joseph A. Krasevec.</t>
        </is>
      </c>
      <c r="F261" t="inlineStr">
        <is>
          <t>No</t>
        </is>
      </c>
      <c r="G261" t="inlineStr">
        <is>
          <t>1</t>
        </is>
      </c>
      <c r="H261" t="inlineStr">
        <is>
          <t>No</t>
        </is>
      </c>
      <c r="I261" t="inlineStr">
        <is>
          <t>No</t>
        </is>
      </c>
      <c r="J261" t="inlineStr">
        <is>
          <t>0</t>
        </is>
      </c>
      <c r="K261" t="inlineStr">
        <is>
          <t>Krasevec, Joseph A.</t>
        </is>
      </c>
      <c r="L261" t="inlineStr">
        <is>
          <t>Champaign, IL : Published for YMCA of the USA by Human Kinetics Publishers : May be purchased from the YMCA Program Store, c1989.</t>
        </is>
      </c>
      <c r="M261" t="inlineStr">
        <is>
          <t>1989</t>
        </is>
      </c>
      <c r="O261" t="inlineStr">
        <is>
          <t>eng</t>
        </is>
      </c>
      <c r="P261" t="inlineStr">
        <is>
          <t>ilu</t>
        </is>
      </c>
      <c r="R261" t="inlineStr">
        <is>
          <t xml:space="preserve">RA </t>
        </is>
      </c>
      <c r="S261" t="n">
        <v>6</v>
      </c>
      <c r="T261" t="n">
        <v>6</v>
      </c>
      <c r="U261" t="inlineStr">
        <is>
          <t>1998-12-03</t>
        </is>
      </c>
      <c r="V261" t="inlineStr">
        <is>
          <t>1998-12-03</t>
        </is>
      </c>
      <c r="W261" t="inlineStr">
        <is>
          <t>1992-03-20</t>
        </is>
      </c>
      <c r="X261" t="inlineStr">
        <is>
          <t>1992-03-20</t>
        </is>
      </c>
      <c r="Y261" t="n">
        <v>100</v>
      </c>
      <c r="Z261" t="n">
        <v>79</v>
      </c>
      <c r="AA261" t="n">
        <v>82</v>
      </c>
      <c r="AB261" t="n">
        <v>3</v>
      </c>
      <c r="AC261" t="n">
        <v>3</v>
      </c>
      <c r="AD261" t="n">
        <v>2</v>
      </c>
      <c r="AE261" t="n">
        <v>2</v>
      </c>
      <c r="AF261" t="n">
        <v>0</v>
      </c>
      <c r="AG261" t="n">
        <v>0</v>
      </c>
      <c r="AH261" t="n">
        <v>0</v>
      </c>
      <c r="AI261" t="n">
        <v>0</v>
      </c>
      <c r="AJ261" t="n">
        <v>0</v>
      </c>
      <c r="AK261" t="n">
        <v>0</v>
      </c>
      <c r="AL261" t="n">
        <v>2</v>
      </c>
      <c r="AM261" t="n">
        <v>2</v>
      </c>
      <c r="AN261" t="n">
        <v>0</v>
      </c>
      <c r="AO261" t="n">
        <v>0</v>
      </c>
      <c r="AP261" t="inlineStr">
        <is>
          <t>No</t>
        </is>
      </c>
      <c r="AQ261" t="inlineStr">
        <is>
          <t>Yes</t>
        </is>
      </c>
      <c r="AR261">
        <f>HYPERLINK("http://catalog.hathitrust.org/Record/004513688","HathiTrust Record")</f>
        <v/>
      </c>
      <c r="AS261">
        <f>HYPERLINK("https://creighton-primo.hosted.exlibrisgroup.com/primo-explore/search?tab=default_tab&amp;search_scope=EVERYTHING&amp;vid=01CRU&amp;lang=en_US&amp;offset=0&amp;query=any,contains,991001393269702656","Catalog Record")</f>
        <v/>
      </c>
      <c r="AT261">
        <f>HYPERLINK("http://www.worldcat.org/oclc/18779601","WorldCat Record")</f>
        <v/>
      </c>
      <c r="AU261" t="inlineStr">
        <is>
          <t>18846032:eng</t>
        </is>
      </c>
      <c r="AV261" t="inlineStr">
        <is>
          <t>18779601</t>
        </is>
      </c>
      <c r="AW261" t="inlineStr">
        <is>
          <t>991001393269702656</t>
        </is>
      </c>
      <c r="AX261" t="inlineStr">
        <is>
          <t>991001393269702656</t>
        </is>
      </c>
      <c r="AY261" t="inlineStr">
        <is>
          <t>2256510850002656</t>
        </is>
      </c>
      <c r="AZ261" t="inlineStr">
        <is>
          <t>BOOK</t>
        </is>
      </c>
      <c r="BB261" t="inlineStr">
        <is>
          <t>9780873222211</t>
        </is>
      </c>
      <c r="BC261" t="inlineStr">
        <is>
          <t>32285001003028</t>
        </is>
      </c>
      <c r="BD261" t="inlineStr">
        <is>
          <t>893432833</t>
        </is>
      </c>
    </row>
    <row r="262">
      <c r="A262" t="inlineStr">
        <is>
          <t>No</t>
        </is>
      </c>
      <c r="B262" t="inlineStr">
        <is>
          <t>RA784 .S36 1985</t>
        </is>
      </c>
      <c r="C262" t="inlineStr">
        <is>
          <t>0                      RA 0784000S  36          1985</t>
        </is>
      </c>
      <c r="D262" t="inlineStr">
        <is>
          <t>Living well naturally / Anthony J. Sattilaro with Tom Monte.</t>
        </is>
      </c>
      <c r="F262" t="inlineStr">
        <is>
          <t>No</t>
        </is>
      </c>
      <c r="G262" t="inlineStr">
        <is>
          <t>1</t>
        </is>
      </c>
      <c r="H262" t="inlineStr">
        <is>
          <t>No</t>
        </is>
      </c>
      <c r="I262" t="inlineStr">
        <is>
          <t>No</t>
        </is>
      </c>
      <c r="J262" t="inlineStr">
        <is>
          <t>0</t>
        </is>
      </c>
      <c r="K262" t="inlineStr">
        <is>
          <t>Sattilaro, Anthony J.</t>
        </is>
      </c>
      <c r="L262" t="inlineStr">
        <is>
          <t>Boston : Houghton Mifflin, 1985, c1984.</t>
        </is>
      </c>
      <c r="M262" t="inlineStr">
        <is>
          <t>1985</t>
        </is>
      </c>
      <c r="O262" t="inlineStr">
        <is>
          <t>eng</t>
        </is>
      </c>
      <c r="P262" t="inlineStr">
        <is>
          <t>mau</t>
        </is>
      </c>
      <c r="R262" t="inlineStr">
        <is>
          <t xml:space="preserve">RA </t>
        </is>
      </c>
      <c r="S262" t="n">
        <v>6</v>
      </c>
      <c r="T262" t="n">
        <v>6</v>
      </c>
      <c r="U262" t="inlineStr">
        <is>
          <t>1997-08-07</t>
        </is>
      </c>
      <c r="V262" t="inlineStr">
        <is>
          <t>1997-08-07</t>
        </is>
      </c>
      <c r="W262" t="inlineStr">
        <is>
          <t>1991-03-11</t>
        </is>
      </c>
      <c r="X262" t="inlineStr">
        <is>
          <t>1991-03-11</t>
        </is>
      </c>
      <c r="Y262" t="n">
        <v>16</v>
      </c>
      <c r="Z262" t="n">
        <v>16</v>
      </c>
      <c r="AA262" t="n">
        <v>290</v>
      </c>
      <c r="AB262" t="n">
        <v>1</v>
      </c>
      <c r="AC262" t="n">
        <v>3</v>
      </c>
      <c r="AD262" t="n">
        <v>0</v>
      </c>
      <c r="AE262" t="n">
        <v>1</v>
      </c>
      <c r="AF262" t="n">
        <v>0</v>
      </c>
      <c r="AG262" t="n">
        <v>1</v>
      </c>
      <c r="AH262" t="n">
        <v>0</v>
      </c>
      <c r="AI262" t="n">
        <v>0</v>
      </c>
      <c r="AJ262" t="n">
        <v>0</v>
      </c>
      <c r="AK262" t="n">
        <v>0</v>
      </c>
      <c r="AL262" t="n">
        <v>0</v>
      </c>
      <c r="AM262" t="n">
        <v>0</v>
      </c>
      <c r="AN262" t="n">
        <v>0</v>
      </c>
      <c r="AO262" t="n">
        <v>0</v>
      </c>
      <c r="AP262" t="inlineStr">
        <is>
          <t>No</t>
        </is>
      </c>
      <c r="AQ262" t="inlineStr">
        <is>
          <t>No</t>
        </is>
      </c>
      <c r="AS262">
        <f>HYPERLINK("https://creighton-primo.hosted.exlibrisgroup.com/primo-explore/search?tab=default_tab&amp;search_scope=EVERYTHING&amp;vid=01CRU&amp;lang=en_US&amp;offset=0&amp;query=any,contains,991000771689702656","Catalog Record")</f>
        <v/>
      </c>
      <c r="AT262">
        <f>HYPERLINK("http://www.worldcat.org/oclc/13017672","WorldCat Record")</f>
        <v/>
      </c>
      <c r="AU262" t="inlineStr">
        <is>
          <t>3560717:eng</t>
        </is>
      </c>
      <c r="AV262" t="inlineStr">
        <is>
          <t>13017672</t>
        </is>
      </c>
      <c r="AW262" t="inlineStr">
        <is>
          <t>991000771689702656</t>
        </is>
      </c>
      <c r="AX262" t="inlineStr">
        <is>
          <t>991000771689702656</t>
        </is>
      </c>
      <c r="AY262" t="inlineStr">
        <is>
          <t>2265070640002656</t>
        </is>
      </c>
      <c r="AZ262" t="inlineStr">
        <is>
          <t>BOOK</t>
        </is>
      </c>
      <c r="BB262" t="inlineStr">
        <is>
          <t>9780395344224</t>
        </is>
      </c>
      <c r="BC262" t="inlineStr">
        <is>
          <t>32285000535244</t>
        </is>
      </c>
      <c r="BD262" t="inlineStr">
        <is>
          <t>893602055</t>
        </is>
      </c>
    </row>
    <row r="263">
      <c r="A263" t="inlineStr">
        <is>
          <t>No</t>
        </is>
      </c>
      <c r="B263" t="inlineStr">
        <is>
          <t>RA785 .B46 1976</t>
        </is>
      </c>
      <c r="C263" t="inlineStr">
        <is>
          <t>0                      RA 0785000B  46          1976</t>
        </is>
      </c>
      <c r="D263" t="inlineStr">
        <is>
          <t>The relaxation response / by Herbert Benson with Miriam Z. Klipper.</t>
        </is>
      </c>
      <c r="F263" t="inlineStr">
        <is>
          <t>No</t>
        </is>
      </c>
      <c r="G263" t="inlineStr">
        <is>
          <t>1</t>
        </is>
      </c>
      <c r="H263" t="inlineStr">
        <is>
          <t>No</t>
        </is>
      </c>
      <c r="I263" t="inlineStr">
        <is>
          <t>Yes</t>
        </is>
      </c>
      <c r="J263" t="inlineStr">
        <is>
          <t>0</t>
        </is>
      </c>
      <c r="K263" t="inlineStr">
        <is>
          <t>Benson, Herbert, 1935-</t>
        </is>
      </c>
      <c r="L263" t="inlineStr">
        <is>
          <t>New York : Avon, [1976], c1975.</t>
        </is>
      </c>
      <c r="M263" t="inlineStr">
        <is>
          <t>1976</t>
        </is>
      </c>
      <c r="O263" t="inlineStr">
        <is>
          <t>eng</t>
        </is>
      </c>
      <c r="P263" t="inlineStr">
        <is>
          <t>nyu</t>
        </is>
      </c>
      <c r="R263" t="inlineStr">
        <is>
          <t xml:space="preserve">RA </t>
        </is>
      </c>
      <c r="S263" t="n">
        <v>28</v>
      </c>
      <c r="T263" t="n">
        <v>28</v>
      </c>
      <c r="U263" t="inlineStr">
        <is>
          <t>2002-10-04</t>
        </is>
      </c>
      <c r="V263" t="inlineStr">
        <is>
          <t>2002-10-04</t>
        </is>
      </c>
      <c r="W263" t="inlineStr">
        <is>
          <t>1991-03-08</t>
        </is>
      </c>
      <c r="X263" t="inlineStr">
        <is>
          <t>1991-03-08</t>
        </is>
      </c>
      <c r="Y263" t="n">
        <v>425</v>
      </c>
      <c r="Z263" t="n">
        <v>374</v>
      </c>
      <c r="AA263" t="n">
        <v>1947</v>
      </c>
      <c r="AB263" t="n">
        <v>2</v>
      </c>
      <c r="AC263" t="n">
        <v>15</v>
      </c>
      <c r="AD263" t="n">
        <v>7</v>
      </c>
      <c r="AE263" t="n">
        <v>27</v>
      </c>
      <c r="AF263" t="n">
        <v>4</v>
      </c>
      <c r="AG263" t="n">
        <v>12</v>
      </c>
      <c r="AH263" t="n">
        <v>1</v>
      </c>
      <c r="AI263" t="n">
        <v>5</v>
      </c>
      <c r="AJ263" t="n">
        <v>4</v>
      </c>
      <c r="AK263" t="n">
        <v>17</v>
      </c>
      <c r="AL263" t="n">
        <v>0</v>
      </c>
      <c r="AM263" t="n">
        <v>2</v>
      </c>
      <c r="AN263" t="n">
        <v>0</v>
      </c>
      <c r="AO263" t="n">
        <v>0</v>
      </c>
      <c r="AP263" t="inlineStr">
        <is>
          <t>No</t>
        </is>
      </c>
      <c r="AQ263" t="inlineStr">
        <is>
          <t>No</t>
        </is>
      </c>
      <c r="AS263">
        <f>HYPERLINK("https://creighton-primo.hosted.exlibrisgroup.com/primo-explore/search?tab=default_tab&amp;search_scope=EVERYTHING&amp;vid=01CRU&amp;lang=en_US&amp;offset=0&amp;query=any,contains,991001005259702656","Catalog Record")</f>
        <v/>
      </c>
      <c r="AT263">
        <f>HYPERLINK("http://www.worldcat.org/oclc/12882170","WorldCat Record")</f>
        <v/>
      </c>
      <c r="AU263" t="inlineStr">
        <is>
          <t>341992:eng</t>
        </is>
      </c>
      <c r="AV263" t="inlineStr">
        <is>
          <t>12882170</t>
        </is>
      </c>
      <c r="AW263" t="inlineStr">
        <is>
          <t>991001005259702656</t>
        </is>
      </c>
      <c r="AX263" t="inlineStr">
        <is>
          <t>991001005259702656</t>
        </is>
      </c>
      <c r="AY263" t="inlineStr">
        <is>
          <t>2268867820002656</t>
        </is>
      </c>
      <c r="AZ263" t="inlineStr">
        <is>
          <t>BOOK</t>
        </is>
      </c>
      <c r="BC263" t="inlineStr">
        <is>
          <t>32285000535343</t>
        </is>
      </c>
      <c r="BD263" t="inlineStr">
        <is>
          <t>893351741</t>
        </is>
      </c>
    </row>
    <row r="264">
      <c r="A264" t="inlineStr">
        <is>
          <t>No</t>
        </is>
      </c>
      <c r="B264" t="inlineStr">
        <is>
          <t>RA785 .M39 1992</t>
        </is>
      </c>
      <c r="C264" t="inlineStr">
        <is>
          <t>0                      RA 0785000M  39          1992</t>
        </is>
      </c>
      <c r="D264" t="inlineStr">
        <is>
          <t>Calm down : a guide to stress and tension control / F.J. McGuigan.</t>
        </is>
      </c>
      <c r="F264" t="inlineStr">
        <is>
          <t>No</t>
        </is>
      </c>
      <c r="G264" t="inlineStr">
        <is>
          <t>1</t>
        </is>
      </c>
      <c r="H264" t="inlineStr">
        <is>
          <t>No</t>
        </is>
      </c>
      <c r="I264" t="inlineStr">
        <is>
          <t>No</t>
        </is>
      </c>
      <c r="J264" t="inlineStr">
        <is>
          <t>0</t>
        </is>
      </c>
      <c r="K264" t="inlineStr">
        <is>
          <t>McGuigan, F. J. (Frank Joseph), 1924-1998.</t>
        </is>
      </c>
      <c r="L264" t="inlineStr">
        <is>
          <t>Dubugue, Iowa : Kendall/Hunt Pub., c1992.</t>
        </is>
      </c>
      <c r="M264" t="inlineStr">
        <is>
          <t>1992</t>
        </is>
      </c>
      <c r="N264" t="inlineStr">
        <is>
          <t>2nd ed.</t>
        </is>
      </c>
      <c r="O264" t="inlineStr">
        <is>
          <t>eng</t>
        </is>
      </c>
      <c r="P264" t="inlineStr">
        <is>
          <t>iau</t>
        </is>
      </c>
      <c r="R264" t="inlineStr">
        <is>
          <t xml:space="preserve">RA </t>
        </is>
      </c>
      <c r="S264" t="n">
        <v>6</v>
      </c>
      <c r="T264" t="n">
        <v>6</v>
      </c>
      <c r="U264" t="inlineStr">
        <is>
          <t>2009-03-25</t>
        </is>
      </c>
      <c r="V264" t="inlineStr">
        <is>
          <t>2009-03-25</t>
        </is>
      </c>
      <c r="W264" t="inlineStr">
        <is>
          <t>2000-07-18</t>
        </is>
      </c>
      <c r="X264" t="inlineStr">
        <is>
          <t>2000-07-18</t>
        </is>
      </c>
      <c r="Y264" t="n">
        <v>49</v>
      </c>
      <c r="Z264" t="n">
        <v>48</v>
      </c>
      <c r="AA264" t="n">
        <v>168</v>
      </c>
      <c r="AB264" t="n">
        <v>1</v>
      </c>
      <c r="AC264" t="n">
        <v>2</v>
      </c>
      <c r="AD264" t="n">
        <v>1</v>
      </c>
      <c r="AE264" t="n">
        <v>2</v>
      </c>
      <c r="AF264" t="n">
        <v>0</v>
      </c>
      <c r="AG264" t="n">
        <v>0</v>
      </c>
      <c r="AH264" t="n">
        <v>0</v>
      </c>
      <c r="AI264" t="n">
        <v>0</v>
      </c>
      <c r="AJ264" t="n">
        <v>1</v>
      </c>
      <c r="AK264" t="n">
        <v>1</v>
      </c>
      <c r="AL264" t="n">
        <v>0</v>
      </c>
      <c r="AM264" t="n">
        <v>1</v>
      </c>
      <c r="AN264" t="n">
        <v>0</v>
      </c>
      <c r="AO264" t="n">
        <v>0</v>
      </c>
      <c r="AP264" t="inlineStr">
        <is>
          <t>No</t>
        </is>
      </c>
      <c r="AQ264" t="inlineStr">
        <is>
          <t>No</t>
        </is>
      </c>
      <c r="AS264">
        <f>HYPERLINK("https://creighton-primo.hosted.exlibrisgroup.com/primo-explore/search?tab=default_tab&amp;search_scope=EVERYTHING&amp;vid=01CRU&amp;lang=en_US&amp;offset=0&amp;query=any,contains,991003206029702656","Catalog Record")</f>
        <v/>
      </c>
      <c r="AT264">
        <f>HYPERLINK("http://www.worldcat.org/oclc/28586984","WorldCat Record")</f>
        <v/>
      </c>
      <c r="AU264" t="inlineStr">
        <is>
          <t>28568454:eng</t>
        </is>
      </c>
      <c r="AV264" t="inlineStr">
        <is>
          <t>28586984</t>
        </is>
      </c>
      <c r="AW264" t="inlineStr">
        <is>
          <t>991003206029702656</t>
        </is>
      </c>
      <c r="AX264" t="inlineStr">
        <is>
          <t>991003206029702656</t>
        </is>
      </c>
      <c r="AY264" t="inlineStr">
        <is>
          <t>2263456950002656</t>
        </is>
      </c>
      <c r="AZ264" t="inlineStr">
        <is>
          <t>BOOK</t>
        </is>
      </c>
      <c r="BB264" t="inlineStr">
        <is>
          <t>9780840371720</t>
        </is>
      </c>
      <c r="BC264" t="inlineStr">
        <is>
          <t>32285003689238</t>
        </is>
      </c>
      <c r="BD264" t="inlineStr">
        <is>
          <t>893705010</t>
        </is>
      </c>
    </row>
    <row r="265">
      <c r="A265" t="inlineStr">
        <is>
          <t>No</t>
        </is>
      </c>
      <c r="B265" t="inlineStr">
        <is>
          <t>RA790 .B487 1983</t>
        </is>
      </c>
      <c r="C265" t="inlineStr">
        <is>
          <t>0                      RA 0790000B  487         1983</t>
        </is>
      </c>
      <c r="D265" t="inlineStr">
        <is>
          <t>Beyond health and normality : explorations of exceptional psychological well-being / edited by Roger Walsh, Deane H. Shapiro, Jr.</t>
        </is>
      </c>
      <c r="F265" t="inlineStr">
        <is>
          <t>No</t>
        </is>
      </c>
      <c r="G265" t="inlineStr">
        <is>
          <t>1</t>
        </is>
      </c>
      <c r="H265" t="inlineStr">
        <is>
          <t>No</t>
        </is>
      </c>
      <c r="I265" t="inlineStr">
        <is>
          <t>No</t>
        </is>
      </c>
      <c r="J265" t="inlineStr">
        <is>
          <t>0</t>
        </is>
      </c>
      <c r="L265" t="inlineStr">
        <is>
          <t>New York : Van Nostrand Reinhold, c1983.</t>
        </is>
      </c>
      <c r="M265" t="inlineStr">
        <is>
          <t>1983</t>
        </is>
      </c>
      <c r="O265" t="inlineStr">
        <is>
          <t>eng</t>
        </is>
      </c>
      <c r="P265" t="inlineStr">
        <is>
          <t>nyu</t>
        </is>
      </c>
      <c r="R265" t="inlineStr">
        <is>
          <t xml:space="preserve">RA </t>
        </is>
      </c>
      <c r="S265" t="n">
        <v>2</v>
      </c>
      <c r="T265" t="n">
        <v>2</v>
      </c>
      <c r="U265" t="inlineStr">
        <is>
          <t>1993-10-04</t>
        </is>
      </c>
      <c r="V265" t="inlineStr">
        <is>
          <t>1993-10-04</t>
        </is>
      </c>
      <c r="W265" t="inlineStr">
        <is>
          <t>1992-01-17</t>
        </is>
      </c>
      <c r="X265" t="inlineStr">
        <is>
          <t>1992-01-17</t>
        </is>
      </c>
      <c r="Y265" t="n">
        <v>344</v>
      </c>
      <c r="Z265" t="n">
        <v>301</v>
      </c>
      <c r="AA265" t="n">
        <v>314</v>
      </c>
      <c r="AB265" t="n">
        <v>5</v>
      </c>
      <c r="AC265" t="n">
        <v>5</v>
      </c>
      <c r="AD265" t="n">
        <v>15</v>
      </c>
      <c r="AE265" t="n">
        <v>15</v>
      </c>
      <c r="AF265" t="n">
        <v>4</v>
      </c>
      <c r="AG265" t="n">
        <v>4</v>
      </c>
      <c r="AH265" t="n">
        <v>3</v>
      </c>
      <c r="AI265" t="n">
        <v>3</v>
      </c>
      <c r="AJ265" t="n">
        <v>6</v>
      </c>
      <c r="AK265" t="n">
        <v>6</v>
      </c>
      <c r="AL265" t="n">
        <v>4</v>
      </c>
      <c r="AM265" t="n">
        <v>4</v>
      </c>
      <c r="AN265" t="n">
        <v>0</v>
      </c>
      <c r="AO265" t="n">
        <v>0</v>
      </c>
      <c r="AP265" t="inlineStr">
        <is>
          <t>No</t>
        </is>
      </c>
      <c r="AQ265" t="inlineStr">
        <is>
          <t>Yes</t>
        </is>
      </c>
      <c r="AR265">
        <f>HYPERLINK("http://catalog.hathitrust.org/Record/000236532","HathiTrust Record")</f>
        <v/>
      </c>
      <c r="AS265">
        <f>HYPERLINK("https://creighton-primo.hosted.exlibrisgroup.com/primo-explore/search?tab=default_tab&amp;search_scope=EVERYTHING&amp;vid=01CRU&amp;lang=en_US&amp;offset=0&amp;query=any,contains,991005245449702656","Catalog Record")</f>
        <v/>
      </c>
      <c r="AT265">
        <f>HYPERLINK("http://www.worldcat.org/oclc/8452114","WorldCat Record")</f>
        <v/>
      </c>
      <c r="AU265" t="inlineStr">
        <is>
          <t>1363348186:eng</t>
        </is>
      </c>
      <c r="AV265" t="inlineStr">
        <is>
          <t>8452114</t>
        </is>
      </c>
      <c r="AW265" t="inlineStr">
        <is>
          <t>991005245449702656</t>
        </is>
      </c>
      <c r="AX265" t="inlineStr">
        <is>
          <t>991005245449702656</t>
        </is>
      </c>
      <c r="AY265" t="inlineStr">
        <is>
          <t>2263024370002656</t>
        </is>
      </c>
      <c r="AZ265" t="inlineStr">
        <is>
          <t>BOOK</t>
        </is>
      </c>
      <c r="BB265" t="inlineStr">
        <is>
          <t>9780442291730</t>
        </is>
      </c>
      <c r="BC265" t="inlineStr">
        <is>
          <t>32285000915123</t>
        </is>
      </c>
      <c r="BD265" t="inlineStr">
        <is>
          <t>893694976</t>
        </is>
      </c>
    </row>
    <row r="266">
      <c r="A266" t="inlineStr">
        <is>
          <t>No</t>
        </is>
      </c>
      <c r="B266" t="inlineStr">
        <is>
          <t>RA790 .C55</t>
        </is>
      </c>
      <c r="C266" t="inlineStr">
        <is>
          <t>0                      RA 0790000C  55</t>
        </is>
      </c>
      <c r="D266" t="inlineStr">
        <is>
          <t>Relaxation : a comprehensive manual for adults, children, and children with special needs / Joseph R. Cautela, June Groden ; illustrations by Phyllis Hawkes.</t>
        </is>
      </c>
      <c r="F266" t="inlineStr">
        <is>
          <t>No</t>
        </is>
      </c>
      <c r="G266" t="inlineStr">
        <is>
          <t>1</t>
        </is>
      </c>
      <c r="H266" t="inlineStr">
        <is>
          <t>No</t>
        </is>
      </c>
      <c r="I266" t="inlineStr">
        <is>
          <t>No</t>
        </is>
      </c>
      <c r="J266" t="inlineStr">
        <is>
          <t>0</t>
        </is>
      </c>
      <c r="K266" t="inlineStr">
        <is>
          <t>Cautela, Joseph R.</t>
        </is>
      </c>
      <c r="L266" t="inlineStr">
        <is>
          <t>Champaign : Research Press Company, c1978.</t>
        </is>
      </c>
      <c r="M266" t="inlineStr">
        <is>
          <t>1978</t>
        </is>
      </c>
      <c r="O266" t="inlineStr">
        <is>
          <t>eng</t>
        </is>
      </c>
      <c r="P266" t="inlineStr">
        <is>
          <t>ilu</t>
        </is>
      </c>
      <c r="R266" t="inlineStr">
        <is>
          <t xml:space="preserve">RA </t>
        </is>
      </c>
      <c r="S266" t="n">
        <v>3</v>
      </c>
      <c r="T266" t="n">
        <v>3</v>
      </c>
      <c r="U266" t="inlineStr">
        <is>
          <t>2006-09-28</t>
        </is>
      </c>
      <c r="V266" t="inlineStr">
        <is>
          <t>2006-09-28</t>
        </is>
      </c>
      <c r="W266" t="inlineStr">
        <is>
          <t>1990-02-28</t>
        </is>
      </c>
      <c r="X266" t="inlineStr">
        <is>
          <t>1990-02-28</t>
        </is>
      </c>
      <c r="Y266" t="n">
        <v>360</v>
      </c>
      <c r="Z266" t="n">
        <v>286</v>
      </c>
      <c r="AA266" t="n">
        <v>291</v>
      </c>
      <c r="AB266" t="n">
        <v>2</v>
      </c>
      <c r="AC266" t="n">
        <v>2</v>
      </c>
      <c r="AD266" t="n">
        <v>9</v>
      </c>
      <c r="AE266" t="n">
        <v>9</v>
      </c>
      <c r="AF266" t="n">
        <v>6</v>
      </c>
      <c r="AG266" t="n">
        <v>6</v>
      </c>
      <c r="AH266" t="n">
        <v>1</v>
      </c>
      <c r="AI266" t="n">
        <v>1</v>
      </c>
      <c r="AJ266" t="n">
        <v>5</v>
      </c>
      <c r="AK266" t="n">
        <v>5</v>
      </c>
      <c r="AL266" t="n">
        <v>1</v>
      </c>
      <c r="AM266" t="n">
        <v>1</v>
      </c>
      <c r="AN266" t="n">
        <v>0</v>
      </c>
      <c r="AO266" t="n">
        <v>0</v>
      </c>
      <c r="AP266" t="inlineStr">
        <is>
          <t>No</t>
        </is>
      </c>
      <c r="AQ266" t="inlineStr">
        <is>
          <t>Yes</t>
        </is>
      </c>
      <c r="AR266">
        <f>HYPERLINK("http://catalog.hathitrust.org/Record/000261208","HathiTrust Record")</f>
        <v/>
      </c>
      <c r="AS266">
        <f>HYPERLINK("https://creighton-primo.hosted.exlibrisgroup.com/primo-explore/search?tab=default_tab&amp;search_scope=EVERYTHING&amp;vid=01CRU&amp;lang=en_US&amp;offset=0&amp;query=any,contains,991004705409702656","Catalog Record")</f>
        <v/>
      </c>
      <c r="AT266">
        <f>HYPERLINK("http://www.worldcat.org/oclc/4708246","WorldCat Record")</f>
        <v/>
      </c>
      <c r="AU266" t="inlineStr">
        <is>
          <t>4495059420:eng</t>
        </is>
      </c>
      <c r="AV266" t="inlineStr">
        <is>
          <t>4708246</t>
        </is>
      </c>
      <c r="AW266" t="inlineStr">
        <is>
          <t>991004705409702656</t>
        </is>
      </c>
      <c r="AX266" t="inlineStr">
        <is>
          <t>991004705409702656</t>
        </is>
      </c>
      <c r="AY266" t="inlineStr">
        <is>
          <t>2269513980002656</t>
        </is>
      </c>
      <c r="AZ266" t="inlineStr">
        <is>
          <t>BOOK</t>
        </is>
      </c>
      <c r="BB266" t="inlineStr">
        <is>
          <t>9780878221868</t>
        </is>
      </c>
      <c r="BC266" t="inlineStr">
        <is>
          <t>32285000072354</t>
        </is>
      </c>
      <c r="BD266" t="inlineStr">
        <is>
          <t>893254012</t>
        </is>
      </c>
    </row>
    <row r="267">
      <c r="A267" t="inlineStr">
        <is>
          <t>No</t>
        </is>
      </c>
      <c r="B267" t="inlineStr">
        <is>
          <t>RA790 .C663</t>
        </is>
      </c>
      <c r="C267" t="inlineStr">
        <is>
          <t>0                      RA 0790000C  663</t>
        </is>
      </c>
      <c r="D267" t="inlineStr">
        <is>
          <t>Hero, artist, sage, or saint? : A survey of views on what is variously called mental health, normality, maturity, self-actualization, and human fulfillment / Richard W. Coan.</t>
        </is>
      </c>
      <c r="F267" t="inlineStr">
        <is>
          <t>No</t>
        </is>
      </c>
      <c r="G267" t="inlineStr">
        <is>
          <t>1</t>
        </is>
      </c>
      <c r="H267" t="inlineStr">
        <is>
          <t>No</t>
        </is>
      </c>
      <c r="I267" t="inlineStr">
        <is>
          <t>No</t>
        </is>
      </c>
      <c r="J267" t="inlineStr">
        <is>
          <t>0</t>
        </is>
      </c>
      <c r="K267" t="inlineStr">
        <is>
          <t>Coan, Richard W.</t>
        </is>
      </c>
      <c r="L267" t="inlineStr">
        <is>
          <t>New York : Columbia University Press, 1977.</t>
        </is>
      </c>
      <c r="M267" t="inlineStr">
        <is>
          <t>1977</t>
        </is>
      </c>
      <c r="O267" t="inlineStr">
        <is>
          <t>eng</t>
        </is>
      </c>
      <c r="P267" t="inlineStr">
        <is>
          <t>nyu</t>
        </is>
      </c>
      <c r="R267" t="inlineStr">
        <is>
          <t xml:space="preserve">RA </t>
        </is>
      </c>
      <c r="S267" t="n">
        <v>8</v>
      </c>
      <c r="T267" t="n">
        <v>8</v>
      </c>
      <c r="U267" t="inlineStr">
        <is>
          <t>1996-04-13</t>
        </is>
      </c>
      <c r="V267" t="inlineStr">
        <is>
          <t>1996-04-13</t>
        </is>
      </c>
      <c r="W267" t="inlineStr">
        <is>
          <t>1993-03-16</t>
        </is>
      </c>
      <c r="X267" t="inlineStr">
        <is>
          <t>1993-03-16</t>
        </is>
      </c>
      <c r="Y267" t="n">
        <v>634</v>
      </c>
      <c r="Z267" t="n">
        <v>545</v>
      </c>
      <c r="AA267" t="n">
        <v>549</v>
      </c>
      <c r="AB267" t="n">
        <v>7</v>
      </c>
      <c r="AC267" t="n">
        <v>7</v>
      </c>
      <c r="AD267" t="n">
        <v>23</v>
      </c>
      <c r="AE267" t="n">
        <v>23</v>
      </c>
      <c r="AF267" t="n">
        <v>5</v>
      </c>
      <c r="AG267" t="n">
        <v>5</v>
      </c>
      <c r="AH267" t="n">
        <v>6</v>
      </c>
      <c r="AI267" t="n">
        <v>6</v>
      </c>
      <c r="AJ267" t="n">
        <v>12</v>
      </c>
      <c r="AK267" t="n">
        <v>12</v>
      </c>
      <c r="AL267" t="n">
        <v>6</v>
      </c>
      <c r="AM267" t="n">
        <v>6</v>
      </c>
      <c r="AN267" t="n">
        <v>0</v>
      </c>
      <c r="AO267" t="n">
        <v>0</v>
      </c>
      <c r="AP267" t="inlineStr">
        <is>
          <t>No</t>
        </is>
      </c>
      <c r="AQ267" t="inlineStr">
        <is>
          <t>No</t>
        </is>
      </c>
      <c r="AS267">
        <f>HYPERLINK("https://creighton-primo.hosted.exlibrisgroup.com/primo-explore/search?tab=default_tab&amp;search_scope=EVERYTHING&amp;vid=01CRU&amp;lang=en_US&amp;offset=0&amp;query=any,contains,991004215019702656","Catalog Record")</f>
        <v/>
      </c>
      <c r="AT267">
        <f>HYPERLINK("http://www.worldcat.org/oclc/2695039","WorldCat Record")</f>
        <v/>
      </c>
      <c r="AU267" t="inlineStr">
        <is>
          <t>866643346:eng</t>
        </is>
      </c>
      <c r="AV267" t="inlineStr">
        <is>
          <t>2695039</t>
        </is>
      </c>
      <c r="AW267" t="inlineStr">
        <is>
          <t>991004215019702656</t>
        </is>
      </c>
      <c r="AX267" t="inlineStr">
        <is>
          <t>991004215019702656</t>
        </is>
      </c>
      <c r="AY267" t="inlineStr">
        <is>
          <t>2264547030002656</t>
        </is>
      </c>
      <c r="AZ267" t="inlineStr">
        <is>
          <t>BOOK</t>
        </is>
      </c>
      <c r="BB267" t="inlineStr">
        <is>
          <t>9780231038065</t>
        </is>
      </c>
      <c r="BC267" t="inlineStr">
        <is>
          <t>32285001587988</t>
        </is>
      </c>
      <c r="BD267" t="inlineStr">
        <is>
          <t>893229068</t>
        </is>
      </c>
    </row>
    <row r="268">
      <c r="A268" t="inlineStr">
        <is>
          <t>No</t>
        </is>
      </c>
      <c r="B268" t="inlineStr">
        <is>
          <t>RA790 .G58</t>
        </is>
      </c>
      <c r="C268" t="inlineStr">
        <is>
          <t>0                      RA 0790000G  58</t>
        </is>
      </c>
      <c r="D268" t="inlineStr">
        <is>
          <t>Handbook of community mental health. Edited by Stuart E. Golann and Carl Eisdorfer.</t>
        </is>
      </c>
      <c r="F268" t="inlineStr">
        <is>
          <t>No</t>
        </is>
      </c>
      <c r="G268" t="inlineStr">
        <is>
          <t>1</t>
        </is>
      </c>
      <c r="H268" t="inlineStr">
        <is>
          <t>No</t>
        </is>
      </c>
      <c r="I268" t="inlineStr">
        <is>
          <t>No</t>
        </is>
      </c>
      <c r="J268" t="inlineStr">
        <is>
          <t>0</t>
        </is>
      </c>
      <c r="K268" t="inlineStr">
        <is>
          <t>Golann, Stuart E. editor.</t>
        </is>
      </c>
      <c r="L268" t="inlineStr">
        <is>
          <t>New York, Appleton-Century-Crofts [c1972]</t>
        </is>
      </c>
      <c r="M268" t="inlineStr">
        <is>
          <t>1972</t>
        </is>
      </c>
      <c r="O268" t="inlineStr">
        <is>
          <t>eng</t>
        </is>
      </c>
      <c r="P268" t="inlineStr">
        <is>
          <t xml:space="preserve">xx </t>
        </is>
      </c>
      <c r="Q268" t="inlineStr">
        <is>
          <t>Century psychology series</t>
        </is>
      </c>
      <c r="R268" t="inlineStr">
        <is>
          <t xml:space="preserve">RA </t>
        </is>
      </c>
      <c r="S268" t="n">
        <v>1</v>
      </c>
      <c r="T268" t="n">
        <v>1</v>
      </c>
      <c r="U268" t="inlineStr">
        <is>
          <t>2004-01-14</t>
        </is>
      </c>
      <c r="V268" t="inlineStr">
        <is>
          <t>2004-01-14</t>
        </is>
      </c>
      <c r="W268" t="inlineStr">
        <is>
          <t>1997-08-08</t>
        </is>
      </c>
      <c r="X268" t="inlineStr">
        <is>
          <t>1997-08-08</t>
        </is>
      </c>
      <c r="Y268" t="n">
        <v>354</v>
      </c>
      <c r="Z268" t="n">
        <v>287</v>
      </c>
      <c r="AA268" t="n">
        <v>314</v>
      </c>
      <c r="AB268" t="n">
        <v>3</v>
      </c>
      <c r="AC268" t="n">
        <v>3</v>
      </c>
      <c r="AD268" t="n">
        <v>11</v>
      </c>
      <c r="AE268" t="n">
        <v>14</v>
      </c>
      <c r="AF268" t="n">
        <v>3</v>
      </c>
      <c r="AG268" t="n">
        <v>6</v>
      </c>
      <c r="AH268" t="n">
        <v>3</v>
      </c>
      <c r="AI268" t="n">
        <v>3</v>
      </c>
      <c r="AJ268" t="n">
        <v>7</v>
      </c>
      <c r="AK268" t="n">
        <v>8</v>
      </c>
      <c r="AL268" t="n">
        <v>2</v>
      </c>
      <c r="AM268" t="n">
        <v>2</v>
      </c>
      <c r="AN268" t="n">
        <v>0</v>
      </c>
      <c r="AO268" t="n">
        <v>0</v>
      </c>
      <c r="AP268" t="inlineStr">
        <is>
          <t>No</t>
        </is>
      </c>
      <c r="AQ268" t="inlineStr">
        <is>
          <t>Yes</t>
        </is>
      </c>
      <c r="AR268">
        <f>HYPERLINK("http://catalog.hathitrust.org/Record/000007699","HathiTrust Record")</f>
        <v/>
      </c>
      <c r="AS268">
        <f>HYPERLINK("https://creighton-primo.hosted.exlibrisgroup.com/primo-explore/search?tab=default_tab&amp;search_scope=EVERYTHING&amp;vid=01CRU&amp;lang=en_US&amp;offset=0&amp;query=any,contains,991003017159702656","Catalog Record")</f>
        <v/>
      </c>
      <c r="AT268">
        <f>HYPERLINK("http://www.worldcat.org/oclc/581938","WorldCat Record")</f>
        <v/>
      </c>
      <c r="AU268" t="inlineStr">
        <is>
          <t>355800797:eng</t>
        </is>
      </c>
      <c r="AV268" t="inlineStr">
        <is>
          <t>581938</t>
        </is>
      </c>
      <c r="AW268" t="inlineStr">
        <is>
          <t>991003017159702656</t>
        </is>
      </c>
      <c r="AX268" t="inlineStr">
        <is>
          <t>991003017159702656</t>
        </is>
      </c>
      <c r="AY268" t="inlineStr">
        <is>
          <t>2271229440002656</t>
        </is>
      </c>
      <c r="AZ268" t="inlineStr">
        <is>
          <t>BOOK</t>
        </is>
      </c>
      <c r="BC268" t="inlineStr">
        <is>
          <t>32285003083788</t>
        </is>
      </c>
      <c r="BD268" t="inlineStr">
        <is>
          <t>893805341</t>
        </is>
      </c>
    </row>
    <row r="269">
      <c r="A269" t="inlineStr">
        <is>
          <t>No</t>
        </is>
      </c>
      <c r="B269" t="inlineStr">
        <is>
          <t>RA790 .S6125 1992</t>
        </is>
      </c>
      <c r="C269" t="inlineStr">
        <is>
          <t>0                      RA 0790000S  6125        1992</t>
        </is>
      </c>
      <c r="D269" t="inlineStr">
        <is>
          <t>The Social psychology of mental health : basic mechanisms and applications / edited by Diane N. Ruble, Philip R. Costanzo, Mary Ellen Oliveri.</t>
        </is>
      </c>
      <c r="F269" t="inlineStr">
        <is>
          <t>No</t>
        </is>
      </c>
      <c r="G269" t="inlineStr">
        <is>
          <t>1</t>
        </is>
      </c>
      <c r="H269" t="inlineStr">
        <is>
          <t>No</t>
        </is>
      </c>
      <c r="I269" t="inlineStr">
        <is>
          <t>No</t>
        </is>
      </c>
      <c r="J269" t="inlineStr">
        <is>
          <t>0</t>
        </is>
      </c>
      <c r="L269" t="inlineStr">
        <is>
          <t>New York : Guilford Press, c1992.</t>
        </is>
      </c>
      <c r="M269" t="inlineStr">
        <is>
          <t>1992</t>
        </is>
      </c>
      <c r="O269" t="inlineStr">
        <is>
          <t>eng</t>
        </is>
      </c>
      <c r="P269" t="inlineStr">
        <is>
          <t>nyu</t>
        </is>
      </c>
      <c r="R269" t="inlineStr">
        <is>
          <t xml:space="preserve">RA </t>
        </is>
      </c>
      <c r="S269" t="n">
        <v>2</v>
      </c>
      <c r="T269" t="n">
        <v>2</v>
      </c>
      <c r="U269" t="inlineStr">
        <is>
          <t>1997-10-07</t>
        </is>
      </c>
      <c r="V269" t="inlineStr">
        <is>
          <t>1997-10-07</t>
        </is>
      </c>
      <c r="W269" t="inlineStr">
        <is>
          <t>1993-02-01</t>
        </is>
      </c>
      <c r="X269" t="inlineStr">
        <is>
          <t>1993-02-01</t>
        </is>
      </c>
      <c r="Y269" t="n">
        <v>346</v>
      </c>
      <c r="Z269" t="n">
        <v>268</v>
      </c>
      <c r="AA269" t="n">
        <v>269</v>
      </c>
      <c r="AB269" t="n">
        <v>2</v>
      </c>
      <c r="AC269" t="n">
        <v>2</v>
      </c>
      <c r="AD269" t="n">
        <v>14</v>
      </c>
      <c r="AE269" t="n">
        <v>14</v>
      </c>
      <c r="AF269" t="n">
        <v>3</v>
      </c>
      <c r="AG269" t="n">
        <v>3</v>
      </c>
      <c r="AH269" t="n">
        <v>5</v>
      </c>
      <c r="AI269" t="n">
        <v>5</v>
      </c>
      <c r="AJ269" t="n">
        <v>11</v>
      </c>
      <c r="AK269" t="n">
        <v>11</v>
      </c>
      <c r="AL269" t="n">
        <v>1</v>
      </c>
      <c r="AM269" t="n">
        <v>1</v>
      </c>
      <c r="AN269" t="n">
        <v>0</v>
      </c>
      <c r="AO269" t="n">
        <v>0</v>
      </c>
      <c r="AP269" t="inlineStr">
        <is>
          <t>No</t>
        </is>
      </c>
      <c r="AQ269" t="inlineStr">
        <is>
          <t>No</t>
        </is>
      </c>
      <c r="AS269">
        <f>HYPERLINK("https://creighton-primo.hosted.exlibrisgroup.com/primo-explore/search?tab=default_tab&amp;search_scope=EVERYTHING&amp;vid=01CRU&amp;lang=en_US&amp;offset=0&amp;query=any,contains,991002019749702656","Catalog Record")</f>
        <v/>
      </c>
      <c r="AT269">
        <f>HYPERLINK("http://www.worldcat.org/oclc/25677406","WorldCat Record")</f>
        <v/>
      </c>
      <c r="AU269" t="inlineStr">
        <is>
          <t>894330171:eng</t>
        </is>
      </c>
      <c r="AV269" t="inlineStr">
        <is>
          <t>25677406</t>
        </is>
      </c>
      <c r="AW269" t="inlineStr">
        <is>
          <t>991002019749702656</t>
        </is>
      </c>
      <c r="AX269" t="inlineStr">
        <is>
          <t>991002019749702656</t>
        </is>
      </c>
      <c r="AY269" t="inlineStr">
        <is>
          <t>2269036710002656</t>
        </is>
      </c>
      <c r="AZ269" t="inlineStr">
        <is>
          <t>BOOK</t>
        </is>
      </c>
      <c r="BB269" t="inlineStr">
        <is>
          <t>9780898621365</t>
        </is>
      </c>
      <c r="BC269" t="inlineStr">
        <is>
          <t>32285001449049</t>
        </is>
      </c>
      <c r="BD269" t="inlineStr">
        <is>
          <t>893427119</t>
        </is>
      </c>
    </row>
    <row r="270">
      <c r="A270" t="inlineStr">
        <is>
          <t>No</t>
        </is>
      </c>
      <c r="B270" t="inlineStr">
        <is>
          <t>RA790.5 .E383</t>
        </is>
      </c>
      <c r="C270" t="inlineStr">
        <is>
          <t>0                      RA 0790500E  383</t>
        </is>
      </c>
      <c r="D270" t="inlineStr">
        <is>
          <t>Moral problems and mental health, by Richard Egenter [and] Paul Matussek. Translated by Michael Barry.</t>
        </is>
      </c>
      <c r="F270" t="inlineStr">
        <is>
          <t>No</t>
        </is>
      </c>
      <c r="G270" t="inlineStr">
        <is>
          <t>1</t>
        </is>
      </c>
      <c r="H270" t="inlineStr">
        <is>
          <t>No</t>
        </is>
      </c>
      <c r="I270" t="inlineStr">
        <is>
          <t>No</t>
        </is>
      </c>
      <c r="J270" t="inlineStr">
        <is>
          <t>0</t>
        </is>
      </c>
      <c r="K270" t="inlineStr">
        <is>
          <t>Egenter, Richard, 1902-1981.</t>
        </is>
      </c>
      <c r="L270" t="inlineStr">
        <is>
          <t>Staten Island, N.Y., Alba House [1967]</t>
        </is>
      </c>
      <c r="M270" t="inlineStr">
        <is>
          <t>1967</t>
        </is>
      </c>
      <c r="O270" t="inlineStr">
        <is>
          <t>eng</t>
        </is>
      </c>
      <c r="P270" t="inlineStr">
        <is>
          <t>nyu</t>
        </is>
      </c>
      <c r="R270" t="inlineStr">
        <is>
          <t xml:space="preserve">RA </t>
        </is>
      </c>
      <c r="S270" t="n">
        <v>1</v>
      </c>
      <c r="T270" t="n">
        <v>1</v>
      </c>
      <c r="U270" t="inlineStr">
        <is>
          <t>1998-11-08</t>
        </is>
      </c>
      <c r="V270" t="inlineStr">
        <is>
          <t>1998-11-08</t>
        </is>
      </c>
      <c r="W270" t="inlineStr">
        <is>
          <t>1997-08-08</t>
        </is>
      </c>
      <c r="X270" t="inlineStr">
        <is>
          <t>1997-08-08</t>
        </is>
      </c>
      <c r="Y270" t="n">
        <v>164</v>
      </c>
      <c r="Z270" t="n">
        <v>149</v>
      </c>
      <c r="AA270" t="n">
        <v>149</v>
      </c>
      <c r="AB270" t="n">
        <v>3</v>
      </c>
      <c r="AC270" t="n">
        <v>3</v>
      </c>
      <c r="AD270" t="n">
        <v>15</v>
      </c>
      <c r="AE270" t="n">
        <v>15</v>
      </c>
      <c r="AF270" t="n">
        <v>3</v>
      </c>
      <c r="AG270" t="n">
        <v>3</v>
      </c>
      <c r="AH270" t="n">
        <v>5</v>
      </c>
      <c r="AI270" t="n">
        <v>5</v>
      </c>
      <c r="AJ270" t="n">
        <v>12</v>
      </c>
      <c r="AK270" t="n">
        <v>12</v>
      </c>
      <c r="AL270" t="n">
        <v>0</v>
      </c>
      <c r="AM270" t="n">
        <v>0</v>
      </c>
      <c r="AN270" t="n">
        <v>0</v>
      </c>
      <c r="AO270" t="n">
        <v>0</v>
      </c>
      <c r="AP270" t="inlineStr">
        <is>
          <t>No</t>
        </is>
      </c>
      <c r="AQ270" t="inlineStr">
        <is>
          <t>No</t>
        </is>
      </c>
      <c r="AS270">
        <f>HYPERLINK("https://creighton-primo.hosted.exlibrisgroup.com/primo-explore/search?tab=default_tab&amp;search_scope=EVERYTHING&amp;vid=01CRU&amp;lang=en_US&amp;offset=0&amp;query=any,contains,991002764989702656","Catalog Record")</f>
        <v/>
      </c>
      <c r="AT270">
        <f>HYPERLINK("http://www.worldcat.org/oclc/432607","WorldCat Record")</f>
        <v/>
      </c>
      <c r="AU270" t="inlineStr">
        <is>
          <t>4451802621:eng</t>
        </is>
      </c>
      <c r="AV270" t="inlineStr">
        <is>
          <t>432607</t>
        </is>
      </c>
      <c r="AW270" t="inlineStr">
        <is>
          <t>991002764989702656</t>
        </is>
      </c>
      <c r="AX270" t="inlineStr">
        <is>
          <t>991002764989702656</t>
        </is>
      </c>
      <c r="AY270" t="inlineStr">
        <is>
          <t>2272646250002656</t>
        </is>
      </c>
      <c r="AZ270" t="inlineStr">
        <is>
          <t>BOOK</t>
        </is>
      </c>
      <c r="BC270" t="inlineStr">
        <is>
          <t>32285003083911</t>
        </is>
      </c>
      <c r="BD270" t="inlineStr">
        <is>
          <t>893440490</t>
        </is>
      </c>
    </row>
    <row r="271">
      <c r="A271" t="inlineStr">
        <is>
          <t>No</t>
        </is>
      </c>
      <c r="B271" t="inlineStr">
        <is>
          <t>RA790.5 .L48</t>
        </is>
      </c>
      <c r="C271" t="inlineStr">
        <is>
          <t>0                      RA 0790500L  48</t>
        </is>
      </c>
      <c r="D271" t="inlineStr">
        <is>
          <t>Community counseling : a human services approach / Judith A. Lewis, Michael D. Lewis.</t>
        </is>
      </c>
      <c r="F271" t="inlineStr">
        <is>
          <t>No</t>
        </is>
      </c>
      <c r="G271" t="inlineStr">
        <is>
          <t>1</t>
        </is>
      </c>
      <c r="H271" t="inlineStr">
        <is>
          <t>No</t>
        </is>
      </c>
      <c r="I271" t="inlineStr">
        <is>
          <t>No</t>
        </is>
      </c>
      <c r="J271" t="inlineStr">
        <is>
          <t>0</t>
        </is>
      </c>
      <c r="K271" t="inlineStr">
        <is>
          <t>Lewis, Judith A., 1939-</t>
        </is>
      </c>
      <c r="L271" t="inlineStr">
        <is>
          <t>New York : Wiley, c1977.</t>
        </is>
      </c>
      <c r="M271" t="inlineStr">
        <is>
          <t>1977</t>
        </is>
      </c>
      <c r="O271" t="inlineStr">
        <is>
          <t>eng</t>
        </is>
      </c>
      <c r="P271" t="inlineStr">
        <is>
          <t>nyu</t>
        </is>
      </c>
      <c r="Q271" t="inlineStr">
        <is>
          <t>Wiley series in counseling and human development</t>
        </is>
      </c>
      <c r="R271" t="inlineStr">
        <is>
          <t xml:space="preserve">RA </t>
        </is>
      </c>
      <c r="S271" t="n">
        <v>1</v>
      </c>
      <c r="T271" t="n">
        <v>1</v>
      </c>
      <c r="U271" t="inlineStr">
        <is>
          <t>2004-01-19</t>
        </is>
      </c>
      <c r="V271" t="inlineStr">
        <is>
          <t>2004-01-19</t>
        </is>
      </c>
      <c r="W271" t="inlineStr">
        <is>
          <t>1997-08-08</t>
        </is>
      </c>
      <c r="X271" t="inlineStr">
        <is>
          <t>1997-08-08</t>
        </is>
      </c>
      <c r="Y271" t="n">
        <v>293</v>
      </c>
      <c r="Z271" t="n">
        <v>220</v>
      </c>
      <c r="AA271" t="n">
        <v>402</v>
      </c>
      <c r="AB271" t="n">
        <v>1</v>
      </c>
      <c r="AC271" t="n">
        <v>1</v>
      </c>
      <c r="AD271" t="n">
        <v>6</v>
      </c>
      <c r="AE271" t="n">
        <v>14</v>
      </c>
      <c r="AF271" t="n">
        <v>3</v>
      </c>
      <c r="AG271" t="n">
        <v>7</v>
      </c>
      <c r="AH271" t="n">
        <v>1</v>
      </c>
      <c r="AI271" t="n">
        <v>2</v>
      </c>
      <c r="AJ271" t="n">
        <v>4</v>
      </c>
      <c r="AK271" t="n">
        <v>9</v>
      </c>
      <c r="AL271" t="n">
        <v>0</v>
      </c>
      <c r="AM271" t="n">
        <v>0</v>
      </c>
      <c r="AN271" t="n">
        <v>0</v>
      </c>
      <c r="AO271" t="n">
        <v>0</v>
      </c>
      <c r="AP271" t="inlineStr">
        <is>
          <t>No</t>
        </is>
      </c>
      <c r="AQ271" t="inlineStr">
        <is>
          <t>Yes</t>
        </is>
      </c>
      <c r="AR271">
        <f>HYPERLINK("http://catalog.hathitrust.org/Record/000710419","HathiTrust Record")</f>
        <v/>
      </c>
      <c r="AS271">
        <f>HYPERLINK("https://creighton-primo.hosted.exlibrisgroup.com/primo-explore/search?tab=default_tab&amp;search_scope=EVERYTHING&amp;vid=01CRU&amp;lang=en_US&amp;offset=0&amp;query=any,contains,991004046679702656","Catalog Record")</f>
        <v/>
      </c>
      <c r="AT271">
        <f>HYPERLINK("http://www.worldcat.org/oclc/2202484","WorldCat Record")</f>
        <v/>
      </c>
      <c r="AU271" t="inlineStr">
        <is>
          <t>3780393:eng</t>
        </is>
      </c>
      <c r="AV271" t="inlineStr">
        <is>
          <t>2202484</t>
        </is>
      </c>
      <c r="AW271" t="inlineStr">
        <is>
          <t>991004046679702656</t>
        </is>
      </c>
      <c r="AX271" t="inlineStr">
        <is>
          <t>991004046679702656</t>
        </is>
      </c>
      <c r="AY271" t="inlineStr">
        <is>
          <t>2258654300002656</t>
        </is>
      </c>
      <c r="AZ271" t="inlineStr">
        <is>
          <t>BOOK</t>
        </is>
      </c>
      <c r="BB271" t="inlineStr">
        <is>
          <t>9780471532033</t>
        </is>
      </c>
      <c r="BC271" t="inlineStr">
        <is>
          <t>32285003083937</t>
        </is>
      </c>
      <c r="BD271" t="inlineStr">
        <is>
          <t>893318734</t>
        </is>
      </c>
    </row>
    <row r="272">
      <c r="A272" t="inlineStr">
        <is>
          <t>No</t>
        </is>
      </c>
      <c r="B272" t="inlineStr">
        <is>
          <t>RA790.5 .L57</t>
        </is>
      </c>
      <c r="C272" t="inlineStr">
        <is>
          <t>0                      RA 0790500L  57</t>
        </is>
      </c>
      <c r="D272" t="inlineStr">
        <is>
          <t>Linking health and mental health / edited by Anthony Broskowski, Edward Marks, Simon H. Budman.</t>
        </is>
      </c>
      <c r="F272" t="inlineStr">
        <is>
          <t>No</t>
        </is>
      </c>
      <c r="G272" t="inlineStr">
        <is>
          <t>1</t>
        </is>
      </c>
      <c r="H272" t="inlineStr">
        <is>
          <t>No</t>
        </is>
      </c>
      <c r="I272" t="inlineStr">
        <is>
          <t>No</t>
        </is>
      </c>
      <c r="J272" t="inlineStr">
        <is>
          <t>0</t>
        </is>
      </c>
      <c r="L272" t="inlineStr">
        <is>
          <t>Beverly Hills, Calif. : Sage Publications, c1981.</t>
        </is>
      </c>
      <c r="M272" t="inlineStr">
        <is>
          <t>1981</t>
        </is>
      </c>
      <c r="O272" t="inlineStr">
        <is>
          <t>eng</t>
        </is>
      </c>
      <c r="P272" t="inlineStr">
        <is>
          <t>cau</t>
        </is>
      </c>
      <c r="Q272" t="inlineStr">
        <is>
          <t>Sage annual reviews of community mental health ; v. 2</t>
        </is>
      </c>
      <c r="R272" t="inlineStr">
        <is>
          <t xml:space="preserve">RA </t>
        </is>
      </c>
      <c r="S272" t="n">
        <v>5</v>
      </c>
      <c r="T272" t="n">
        <v>5</v>
      </c>
      <c r="U272" t="inlineStr">
        <is>
          <t>1998-12-04</t>
        </is>
      </c>
      <c r="V272" t="inlineStr">
        <is>
          <t>1998-12-04</t>
        </is>
      </c>
      <c r="W272" t="inlineStr">
        <is>
          <t>1993-03-16</t>
        </is>
      </c>
      <c r="X272" t="inlineStr">
        <is>
          <t>1993-03-16</t>
        </is>
      </c>
      <c r="Y272" t="n">
        <v>242</v>
      </c>
      <c r="Z272" t="n">
        <v>189</v>
      </c>
      <c r="AA272" t="n">
        <v>191</v>
      </c>
      <c r="AB272" t="n">
        <v>1</v>
      </c>
      <c r="AC272" t="n">
        <v>1</v>
      </c>
      <c r="AD272" t="n">
        <v>3</v>
      </c>
      <c r="AE272" t="n">
        <v>3</v>
      </c>
      <c r="AF272" t="n">
        <v>0</v>
      </c>
      <c r="AG272" t="n">
        <v>0</v>
      </c>
      <c r="AH272" t="n">
        <v>0</v>
      </c>
      <c r="AI272" t="n">
        <v>0</v>
      </c>
      <c r="AJ272" t="n">
        <v>3</v>
      </c>
      <c r="AK272" t="n">
        <v>3</v>
      </c>
      <c r="AL272" t="n">
        <v>0</v>
      </c>
      <c r="AM272" t="n">
        <v>0</v>
      </c>
      <c r="AN272" t="n">
        <v>0</v>
      </c>
      <c r="AO272" t="n">
        <v>0</v>
      </c>
      <c r="AP272" t="inlineStr">
        <is>
          <t>No</t>
        </is>
      </c>
      <c r="AQ272" t="inlineStr">
        <is>
          <t>Yes</t>
        </is>
      </c>
      <c r="AR272">
        <f>HYPERLINK("http://catalog.hathitrust.org/Record/000221446","HathiTrust Record")</f>
        <v/>
      </c>
      <c r="AS272">
        <f>HYPERLINK("https://creighton-primo.hosted.exlibrisgroup.com/primo-explore/search?tab=default_tab&amp;search_scope=EVERYTHING&amp;vid=01CRU&amp;lang=en_US&amp;offset=0&amp;query=any,contains,991005132509702656","Catalog Record")</f>
        <v/>
      </c>
      <c r="AT272">
        <f>HYPERLINK("http://www.worldcat.org/oclc/7573617","WorldCat Record")</f>
        <v/>
      </c>
      <c r="AU272" t="inlineStr">
        <is>
          <t>355434890:eng</t>
        </is>
      </c>
      <c r="AV272" t="inlineStr">
        <is>
          <t>7573617</t>
        </is>
      </c>
      <c r="AW272" t="inlineStr">
        <is>
          <t>991005132509702656</t>
        </is>
      </c>
      <c r="AX272" t="inlineStr">
        <is>
          <t>991005132509702656</t>
        </is>
      </c>
      <c r="AY272" t="inlineStr">
        <is>
          <t>2271501520002656</t>
        </is>
      </c>
      <c r="AZ272" t="inlineStr">
        <is>
          <t>BOOK</t>
        </is>
      </c>
      <c r="BB272" t="inlineStr">
        <is>
          <t>9780803916005</t>
        </is>
      </c>
      <c r="BC272" t="inlineStr">
        <is>
          <t>32285001588036</t>
        </is>
      </c>
      <c r="BD272" t="inlineStr">
        <is>
          <t>893870571</t>
        </is>
      </c>
    </row>
    <row r="273">
      <c r="A273" t="inlineStr">
        <is>
          <t>No</t>
        </is>
      </c>
      <c r="B273" t="inlineStr">
        <is>
          <t>RA790.5 .N5</t>
        </is>
      </c>
      <c r="C273" t="inlineStr">
        <is>
          <t>0                      RA 0790500N  5</t>
        </is>
      </c>
      <c r="D273" t="inlineStr">
        <is>
          <t>Mental health for students; a guide for adjusting to college, by Arthur G. Nikelly.</t>
        </is>
      </c>
      <c r="F273" t="inlineStr">
        <is>
          <t>No</t>
        </is>
      </c>
      <c r="G273" t="inlineStr">
        <is>
          <t>1</t>
        </is>
      </c>
      <c r="H273" t="inlineStr">
        <is>
          <t>No</t>
        </is>
      </c>
      <c r="I273" t="inlineStr">
        <is>
          <t>No</t>
        </is>
      </c>
      <c r="J273" t="inlineStr">
        <is>
          <t>0</t>
        </is>
      </c>
      <c r="K273" t="inlineStr">
        <is>
          <t>Nikelly, Arthur G.</t>
        </is>
      </c>
      <c r="L273" t="inlineStr">
        <is>
          <t>Springfield, Ill., C.C. Thomas [1966]</t>
        </is>
      </c>
      <c r="M273" t="inlineStr">
        <is>
          <t>1966</t>
        </is>
      </c>
      <c r="O273" t="inlineStr">
        <is>
          <t>eng</t>
        </is>
      </c>
      <c r="P273" t="inlineStr">
        <is>
          <t>ilu</t>
        </is>
      </c>
      <c r="R273" t="inlineStr">
        <is>
          <t xml:space="preserve">RA </t>
        </is>
      </c>
      <c r="S273" t="n">
        <v>4</v>
      </c>
      <c r="T273" t="n">
        <v>4</v>
      </c>
      <c r="U273" t="inlineStr">
        <is>
          <t>2009-10-08</t>
        </is>
      </c>
      <c r="V273" t="inlineStr">
        <is>
          <t>2009-10-08</t>
        </is>
      </c>
      <c r="W273" t="inlineStr">
        <is>
          <t>1997-08-08</t>
        </is>
      </c>
      <c r="X273" t="inlineStr">
        <is>
          <t>1997-08-08</t>
        </is>
      </c>
      <c r="Y273" t="n">
        <v>345</v>
      </c>
      <c r="Z273" t="n">
        <v>318</v>
      </c>
      <c r="AA273" t="n">
        <v>321</v>
      </c>
      <c r="AB273" t="n">
        <v>3</v>
      </c>
      <c r="AC273" t="n">
        <v>3</v>
      </c>
      <c r="AD273" t="n">
        <v>14</v>
      </c>
      <c r="AE273" t="n">
        <v>14</v>
      </c>
      <c r="AF273" t="n">
        <v>5</v>
      </c>
      <c r="AG273" t="n">
        <v>5</v>
      </c>
      <c r="AH273" t="n">
        <v>4</v>
      </c>
      <c r="AI273" t="n">
        <v>4</v>
      </c>
      <c r="AJ273" t="n">
        <v>9</v>
      </c>
      <c r="AK273" t="n">
        <v>9</v>
      </c>
      <c r="AL273" t="n">
        <v>2</v>
      </c>
      <c r="AM273" t="n">
        <v>2</v>
      </c>
      <c r="AN273" t="n">
        <v>0</v>
      </c>
      <c r="AO273" t="n">
        <v>0</v>
      </c>
      <c r="AP273" t="inlineStr">
        <is>
          <t>No</t>
        </is>
      </c>
      <c r="AQ273" t="inlineStr">
        <is>
          <t>Yes</t>
        </is>
      </c>
      <c r="AR273">
        <f>HYPERLINK("http://catalog.hathitrust.org/Record/001559804","HathiTrust Record")</f>
        <v/>
      </c>
      <c r="AS273">
        <f>HYPERLINK("https://creighton-primo.hosted.exlibrisgroup.com/primo-explore/search?tab=default_tab&amp;search_scope=EVERYTHING&amp;vid=01CRU&amp;lang=en_US&amp;offset=0&amp;query=any,contains,991003237659702656","Catalog Record")</f>
        <v/>
      </c>
      <c r="AT273">
        <f>HYPERLINK("http://www.worldcat.org/oclc/761892","WorldCat Record")</f>
        <v/>
      </c>
      <c r="AU273" t="inlineStr">
        <is>
          <t>217674:eng</t>
        </is>
      </c>
      <c r="AV273" t="inlineStr">
        <is>
          <t>761892</t>
        </is>
      </c>
      <c r="AW273" t="inlineStr">
        <is>
          <t>991003237659702656</t>
        </is>
      </c>
      <c r="AX273" t="inlineStr">
        <is>
          <t>991003237659702656</t>
        </is>
      </c>
      <c r="AY273" t="inlineStr">
        <is>
          <t>2268225920002656</t>
        </is>
      </c>
      <c r="AZ273" t="inlineStr">
        <is>
          <t>BOOK</t>
        </is>
      </c>
      <c r="BC273" t="inlineStr">
        <is>
          <t>32285003083945</t>
        </is>
      </c>
      <c r="BD273" t="inlineStr">
        <is>
          <t>893233949</t>
        </is>
      </c>
    </row>
    <row r="274">
      <c r="A274" t="inlineStr">
        <is>
          <t>No</t>
        </is>
      </c>
      <c r="B274" t="inlineStr">
        <is>
          <t>RA790.6 .G56</t>
        </is>
      </c>
      <c r="C274" t="inlineStr">
        <is>
          <t>0                      RA 0790600G  56</t>
        </is>
      </c>
      <c r="D274" t="inlineStr">
        <is>
          <t>The ethno-cultural factors in mental health : a literature review and bibliography / by Joseph Giordano and Grace Pineiro Giordano. --</t>
        </is>
      </c>
      <c r="F274" t="inlineStr">
        <is>
          <t>No</t>
        </is>
      </c>
      <c r="G274" t="inlineStr">
        <is>
          <t>1</t>
        </is>
      </c>
      <c r="H274" t="inlineStr">
        <is>
          <t>No</t>
        </is>
      </c>
      <c r="I274" t="inlineStr">
        <is>
          <t>No</t>
        </is>
      </c>
      <c r="J274" t="inlineStr">
        <is>
          <t>0</t>
        </is>
      </c>
      <c r="K274" t="inlineStr">
        <is>
          <t>Giordano, Joe.</t>
        </is>
      </c>
      <c r="L274" t="inlineStr">
        <is>
          <t>New York : Institute on Pluralism and Group Identity of the American Jewish Committee, 1977.</t>
        </is>
      </c>
      <c r="M274" t="inlineStr">
        <is>
          <t>1977</t>
        </is>
      </c>
      <c r="O274" t="inlineStr">
        <is>
          <t>eng</t>
        </is>
      </c>
      <c r="P274" t="inlineStr">
        <is>
          <t>nyu</t>
        </is>
      </c>
      <c r="R274" t="inlineStr">
        <is>
          <t xml:space="preserve">RA </t>
        </is>
      </c>
      <c r="S274" t="n">
        <v>3</v>
      </c>
      <c r="T274" t="n">
        <v>3</v>
      </c>
      <c r="U274" t="inlineStr">
        <is>
          <t>2007-04-09</t>
        </is>
      </c>
      <c r="V274" t="inlineStr">
        <is>
          <t>2007-04-09</t>
        </is>
      </c>
      <c r="W274" t="inlineStr">
        <is>
          <t>1993-03-16</t>
        </is>
      </c>
      <c r="X274" t="inlineStr">
        <is>
          <t>1993-03-16</t>
        </is>
      </c>
      <c r="Y274" t="n">
        <v>96</v>
      </c>
      <c r="Z274" t="n">
        <v>78</v>
      </c>
      <c r="AA274" t="n">
        <v>83</v>
      </c>
      <c r="AB274" t="n">
        <v>1</v>
      </c>
      <c r="AC274" t="n">
        <v>1</v>
      </c>
      <c r="AD274" t="n">
        <v>2</v>
      </c>
      <c r="AE274" t="n">
        <v>2</v>
      </c>
      <c r="AF274" t="n">
        <v>1</v>
      </c>
      <c r="AG274" t="n">
        <v>1</v>
      </c>
      <c r="AH274" t="n">
        <v>0</v>
      </c>
      <c r="AI274" t="n">
        <v>0</v>
      </c>
      <c r="AJ274" t="n">
        <v>1</v>
      </c>
      <c r="AK274" t="n">
        <v>1</v>
      </c>
      <c r="AL274" t="n">
        <v>0</v>
      </c>
      <c r="AM274" t="n">
        <v>0</v>
      </c>
      <c r="AN274" t="n">
        <v>0</v>
      </c>
      <c r="AO274" t="n">
        <v>0</v>
      </c>
      <c r="AP274" t="inlineStr">
        <is>
          <t>No</t>
        </is>
      </c>
      <c r="AQ274" t="inlineStr">
        <is>
          <t>Yes</t>
        </is>
      </c>
      <c r="AR274">
        <f>HYPERLINK("http://catalog.hathitrust.org/Record/000778565","HathiTrust Record")</f>
        <v/>
      </c>
      <c r="AS274">
        <f>HYPERLINK("https://creighton-primo.hosted.exlibrisgroup.com/primo-explore/search?tab=default_tab&amp;search_scope=EVERYTHING&amp;vid=01CRU&amp;lang=en_US&amp;offset=0&amp;query=any,contains,991004542179702656","Catalog Record")</f>
        <v/>
      </c>
      <c r="AT274">
        <f>HYPERLINK("http://www.worldcat.org/oclc/7739996","WorldCat Record")</f>
        <v/>
      </c>
      <c r="AU274" t="inlineStr">
        <is>
          <t>993691430:eng</t>
        </is>
      </c>
      <c r="AV274" t="inlineStr">
        <is>
          <t>7739996</t>
        </is>
      </c>
      <c r="AW274" t="inlineStr">
        <is>
          <t>991004542179702656</t>
        </is>
      </c>
      <c r="AX274" t="inlineStr">
        <is>
          <t>991004542179702656</t>
        </is>
      </c>
      <c r="AY274" t="inlineStr">
        <is>
          <t>2269509580002656</t>
        </is>
      </c>
      <c r="AZ274" t="inlineStr">
        <is>
          <t>BOOK</t>
        </is>
      </c>
      <c r="BC274" t="inlineStr">
        <is>
          <t>32285001588077</t>
        </is>
      </c>
      <c r="BD274" t="inlineStr">
        <is>
          <t>893411669</t>
        </is>
      </c>
    </row>
    <row r="275">
      <c r="A275" t="inlineStr">
        <is>
          <t>No</t>
        </is>
      </c>
      <c r="B275" t="inlineStr">
        <is>
          <t>RA790.6 .M37</t>
        </is>
      </c>
      <c r="C275" t="inlineStr">
        <is>
          <t>0                      RA 0790600M  37</t>
        </is>
      </c>
      <c r="D275" t="inlineStr">
        <is>
          <t>Mental health and social policy.</t>
        </is>
      </c>
      <c r="F275" t="inlineStr">
        <is>
          <t>No</t>
        </is>
      </c>
      <c r="G275" t="inlineStr">
        <is>
          <t>1</t>
        </is>
      </c>
      <c r="H275" t="inlineStr">
        <is>
          <t>No</t>
        </is>
      </c>
      <c r="I275" t="inlineStr">
        <is>
          <t>Yes</t>
        </is>
      </c>
      <c r="J275" t="inlineStr">
        <is>
          <t>0</t>
        </is>
      </c>
      <c r="K275" t="inlineStr">
        <is>
          <t>Mechanic, David, 1936-</t>
        </is>
      </c>
      <c r="L275" t="inlineStr">
        <is>
          <t>Englewood Cliffs, N.J. : Prentice-Hall, [1969]</t>
        </is>
      </c>
      <c r="M275" t="inlineStr">
        <is>
          <t>1969</t>
        </is>
      </c>
      <c r="O275" t="inlineStr">
        <is>
          <t>eng</t>
        </is>
      </c>
      <c r="P275" t="inlineStr">
        <is>
          <t>nju</t>
        </is>
      </c>
      <c r="Q275" t="inlineStr">
        <is>
          <t>Prentice-Hall series in social policy</t>
        </is>
      </c>
      <c r="R275" t="inlineStr">
        <is>
          <t xml:space="preserve">RA </t>
        </is>
      </c>
      <c r="S275" t="n">
        <v>3</v>
      </c>
      <c r="T275" t="n">
        <v>3</v>
      </c>
      <c r="U275" t="inlineStr">
        <is>
          <t>2004-02-20</t>
        </is>
      </c>
      <c r="V275" t="inlineStr">
        <is>
          <t>2004-02-20</t>
        </is>
      </c>
      <c r="W275" t="inlineStr">
        <is>
          <t>1993-11-30</t>
        </is>
      </c>
      <c r="X275" t="inlineStr">
        <is>
          <t>1993-11-30</t>
        </is>
      </c>
      <c r="Y275" t="n">
        <v>591</v>
      </c>
      <c r="Z275" t="n">
        <v>478</v>
      </c>
      <c r="AA275" t="n">
        <v>755</v>
      </c>
      <c r="AB275" t="n">
        <v>7</v>
      </c>
      <c r="AC275" t="n">
        <v>9</v>
      </c>
      <c r="AD275" t="n">
        <v>23</v>
      </c>
      <c r="AE275" t="n">
        <v>34</v>
      </c>
      <c r="AF275" t="n">
        <v>4</v>
      </c>
      <c r="AG275" t="n">
        <v>8</v>
      </c>
      <c r="AH275" t="n">
        <v>4</v>
      </c>
      <c r="AI275" t="n">
        <v>6</v>
      </c>
      <c r="AJ275" t="n">
        <v>11</v>
      </c>
      <c r="AK275" t="n">
        <v>16</v>
      </c>
      <c r="AL275" t="n">
        <v>6</v>
      </c>
      <c r="AM275" t="n">
        <v>8</v>
      </c>
      <c r="AN275" t="n">
        <v>1</v>
      </c>
      <c r="AO275" t="n">
        <v>2</v>
      </c>
      <c r="AP275" t="inlineStr">
        <is>
          <t>No</t>
        </is>
      </c>
      <c r="AQ275" t="inlineStr">
        <is>
          <t>Yes</t>
        </is>
      </c>
      <c r="AR275">
        <f>HYPERLINK("http://catalog.hathitrust.org/Record/001559826","HathiTrust Record")</f>
        <v/>
      </c>
      <c r="AS275">
        <f>HYPERLINK("https://creighton-primo.hosted.exlibrisgroup.com/primo-explore/search?tab=default_tab&amp;search_scope=EVERYTHING&amp;vid=01CRU&amp;lang=en_US&amp;offset=0&amp;query=any,contains,991000119189702656","Catalog Record")</f>
        <v/>
      </c>
      <c r="AT275">
        <f>HYPERLINK("http://www.worldcat.org/oclc/49602","WorldCat Record")</f>
        <v/>
      </c>
      <c r="AU275" t="inlineStr">
        <is>
          <t>1219200:eng</t>
        </is>
      </c>
      <c r="AV275" t="inlineStr">
        <is>
          <t>49602</t>
        </is>
      </c>
      <c r="AW275" t="inlineStr">
        <is>
          <t>991000119189702656</t>
        </is>
      </c>
      <c r="AX275" t="inlineStr">
        <is>
          <t>991000119189702656</t>
        </is>
      </c>
      <c r="AY275" t="inlineStr">
        <is>
          <t>2263729370002656</t>
        </is>
      </c>
      <c r="AZ275" t="inlineStr">
        <is>
          <t>BOOK</t>
        </is>
      </c>
      <c r="BB275" t="inlineStr">
        <is>
          <t>9780135760093</t>
        </is>
      </c>
      <c r="BC275" t="inlineStr">
        <is>
          <t>32285001689412</t>
        </is>
      </c>
      <c r="BD275" t="inlineStr">
        <is>
          <t>893444209</t>
        </is>
      </c>
    </row>
    <row r="276">
      <c r="A276" t="inlineStr">
        <is>
          <t>No</t>
        </is>
      </c>
      <c r="B276" t="inlineStr">
        <is>
          <t>RA790.6 .N48 1985</t>
        </is>
      </c>
      <c r="C276" t="inlineStr">
        <is>
          <t>0                      RA 0790600N  48          1985</t>
        </is>
      </c>
      <c r="D276" t="inlineStr">
        <is>
          <t>The New economics and psychiatric care / edited by Steven S. Sharfstein, Allan Beigel.</t>
        </is>
      </c>
      <c r="F276" t="inlineStr">
        <is>
          <t>No</t>
        </is>
      </c>
      <c r="G276" t="inlineStr">
        <is>
          <t>1</t>
        </is>
      </c>
      <c r="H276" t="inlineStr">
        <is>
          <t>No</t>
        </is>
      </c>
      <c r="I276" t="inlineStr">
        <is>
          <t>No</t>
        </is>
      </c>
      <c r="J276" t="inlineStr">
        <is>
          <t>0</t>
        </is>
      </c>
      <c r="L276" t="inlineStr">
        <is>
          <t>Washington, DC : American Psychiatric Press, c1985.</t>
        </is>
      </c>
      <c r="M276" t="inlineStr">
        <is>
          <t>1985</t>
        </is>
      </c>
      <c r="O276" t="inlineStr">
        <is>
          <t>eng</t>
        </is>
      </c>
      <c r="P276" t="inlineStr">
        <is>
          <t>dcu</t>
        </is>
      </c>
      <c r="R276" t="inlineStr">
        <is>
          <t xml:space="preserve">RA </t>
        </is>
      </c>
      <c r="S276" t="n">
        <v>2</v>
      </c>
      <c r="T276" t="n">
        <v>2</v>
      </c>
      <c r="U276" t="inlineStr">
        <is>
          <t>1993-10-06</t>
        </is>
      </c>
      <c r="V276" t="inlineStr">
        <is>
          <t>1993-10-06</t>
        </is>
      </c>
      <c r="W276" t="inlineStr">
        <is>
          <t>1993-03-16</t>
        </is>
      </c>
      <c r="X276" t="inlineStr">
        <is>
          <t>1993-03-16</t>
        </is>
      </c>
      <c r="Y276" t="n">
        <v>127</v>
      </c>
      <c r="Z276" t="n">
        <v>115</v>
      </c>
      <c r="AA276" t="n">
        <v>117</v>
      </c>
      <c r="AB276" t="n">
        <v>1</v>
      </c>
      <c r="AC276" t="n">
        <v>1</v>
      </c>
      <c r="AD276" t="n">
        <v>2</v>
      </c>
      <c r="AE276" t="n">
        <v>2</v>
      </c>
      <c r="AF276" t="n">
        <v>0</v>
      </c>
      <c r="AG276" t="n">
        <v>0</v>
      </c>
      <c r="AH276" t="n">
        <v>0</v>
      </c>
      <c r="AI276" t="n">
        <v>0</v>
      </c>
      <c r="AJ276" t="n">
        <v>1</v>
      </c>
      <c r="AK276" t="n">
        <v>1</v>
      </c>
      <c r="AL276" t="n">
        <v>0</v>
      </c>
      <c r="AM276" t="n">
        <v>0</v>
      </c>
      <c r="AN276" t="n">
        <v>1</v>
      </c>
      <c r="AO276" t="n">
        <v>1</v>
      </c>
      <c r="AP276" t="inlineStr">
        <is>
          <t>No</t>
        </is>
      </c>
      <c r="AQ276" t="inlineStr">
        <is>
          <t>Yes</t>
        </is>
      </c>
      <c r="AR276">
        <f>HYPERLINK("http://catalog.hathitrust.org/Record/000376364","HathiTrust Record")</f>
        <v/>
      </c>
      <c r="AS276">
        <f>HYPERLINK("https://creighton-primo.hosted.exlibrisgroup.com/primo-explore/search?tab=default_tab&amp;search_scope=EVERYTHING&amp;vid=01CRU&amp;lang=en_US&amp;offset=0&amp;query=any,contains,991000650449702656","Catalog Record")</f>
        <v/>
      </c>
      <c r="AT276">
        <f>HYPERLINK("http://www.worldcat.org/oclc/12162653","WorldCat Record")</f>
        <v/>
      </c>
      <c r="AU276" t="inlineStr">
        <is>
          <t>355941971:eng</t>
        </is>
      </c>
      <c r="AV276" t="inlineStr">
        <is>
          <t>12162653</t>
        </is>
      </c>
      <c r="AW276" t="inlineStr">
        <is>
          <t>991000650449702656</t>
        </is>
      </c>
      <c r="AX276" t="inlineStr">
        <is>
          <t>991000650449702656</t>
        </is>
      </c>
      <c r="AY276" t="inlineStr">
        <is>
          <t>2271940550002656</t>
        </is>
      </c>
      <c r="AZ276" t="inlineStr">
        <is>
          <t>BOOK</t>
        </is>
      </c>
      <c r="BB276" t="inlineStr">
        <is>
          <t>9780880481564</t>
        </is>
      </c>
      <c r="BC276" t="inlineStr">
        <is>
          <t>32285001588093</t>
        </is>
      </c>
      <c r="BD276" t="inlineStr">
        <is>
          <t>893802968</t>
        </is>
      </c>
    </row>
    <row r="277">
      <c r="A277" t="inlineStr">
        <is>
          <t>No</t>
        </is>
      </c>
      <c r="B277" t="inlineStr">
        <is>
          <t>RA790.6 .R3</t>
        </is>
      </c>
      <c r="C277" t="inlineStr">
        <is>
          <t>0                      RA 0790600R  3</t>
        </is>
      </c>
      <c r="D277" t="inlineStr">
        <is>
          <t>Racism and mental health; essays. Charles V. Willie, Bernard M. Kramer [and] Bertram S. Brown, editors.</t>
        </is>
      </c>
      <c r="F277" t="inlineStr">
        <is>
          <t>No</t>
        </is>
      </c>
      <c r="G277" t="inlineStr">
        <is>
          <t>1</t>
        </is>
      </c>
      <c r="H277" t="inlineStr">
        <is>
          <t>No</t>
        </is>
      </c>
      <c r="I277" t="inlineStr">
        <is>
          <t>No</t>
        </is>
      </c>
      <c r="J277" t="inlineStr">
        <is>
          <t>0</t>
        </is>
      </c>
      <c r="L277" t="inlineStr">
        <is>
          <t>[Pittsburgh] University of Pittsburgh Press [1973] 1977 printing.</t>
        </is>
      </c>
      <c r="M277" t="inlineStr">
        <is>
          <t>1973</t>
        </is>
      </c>
      <c r="O277" t="inlineStr">
        <is>
          <t>eng</t>
        </is>
      </c>
      <c r="P277" t="inlineStr">
        <is>
          <t>pau</t>
        </is>
      </c>
      <c r="Q277" t="inlineStr">
        <is>
          <t>Contemporary community health series</t>
        </is>
      </c>
      <c r="R277" t="inlineStr">
        <is>
          <t xml:space="preserve">RA </t>
        </is>
      </c>
      <c r="S277" t="n">
        <v>4</v>
      </c>
      <c r="T277" t="n">
        <v>4</v>
      </c>
      <c r="U277" t="inlineStr">
        <is>
          <t>2003-03-01</t>
        </is>
      </c>
      <c r="V277" t="inlineStr">
        <is>
          <t>2003-03-01</t>
        </is>
      </c>
      <c r="W277" t="inlineStr">
        <is>
          <t>1993-03-16</t>
        </is>
      </c>
      <c r="X277" t="inlineStr">
        <is>
          <t>1993-03-16</t>
        </is>
      </c>
      <c r="Y277" t="n">
        <v>688</v>
      </c>
      <c r="Z277" t="n">
        <v>621</v>
      </c>
      <c r="AA277" t="n">
        <v>657</v>
      </c>
      <c r="AB277" t="n">
        <v>4</v>
      </c>
      <c r="AC277" t="n">
        <v>4</v>
      </c>
      <c r="AD277" t="n">
        <v>26</v>
      </c>
      <c r="AE277" t="n">
        <v>26</v>
      </c>
      <c r="AF277" t="n">
        <v>7</v>
      </c>
      <c r="AG277" t="n">
        <v>7</v>
      </c>
      <c r="AH277" t="n">
        <v>8</v>
      </c>
      <c r="AI277" t="n">
        <v>8</v>
      </c>
      <c r="AJ277" t="n">
        <v>16</v>
      </c>
      <c r="AK277" t="n">
        <v>16</v>
      </c>
      <c r="AL277" t="n">
        <v>2</v>
      </c>
      <c r="AM277" t="n">
        <v>2</v>
      </c>
      <c r="AN277" t="n">
        <v>0</v>
      </c>
      <c r="AO277" t="n">
        <v>0</v>
      </c>
      <c r="AP277" t="inlineStr">
        <is>
          <t>No</t>
        </is>
      </c>
      <c r="AQ277" t="inlineStr">
        <is>
          <t>Yes</t>
        </is>
      </c>
      <c r="AR277">
        <f>HYPERLINK("http://catalog.hathitrust.org/Record/001559828","HathiTrust Record")</f>
        <v/>
      </c>
      <c r="AS277">
        <f>HYPERLINK("https://creighton-primo.hosted.exlibrisgroup.com/primo-explore/search?tab=default_tab&amp;search_scope=EVERYTHING&amp;vid=01CRU&amp;lang=en_US&amp;offset=0&amp;query=any,contains,991003205339702656","Catalog Record")</f>
        <v/>
      </c>
      <c r="AT277">
        <f>HYPERLINK("http://www.worldcat.org/oclc/730549","WorldCat Record")</f>
        <v/>
      </c>
      <c r="AU277" t="inlineStr">
        <is>
          <t>792956211:eng</t>
        </is>
      </c>
      <c r="AV277" t="inlineStr">
        <is>
          <t>730549</t>
        </is>
      </c>
      <c r="AW277" t="inlineStr">
        <is>
          <t>991003205339702656</t>
        </is>
      </c>
      <c r="AX277" t="inlineStr">
        <is>
          <t>991003205339702656</t>
        </is>
      </c>
      <c r="AY277" t="inlineStr">
        <is>
          <t>2270482590002656</t>
        </is>
      </c>
      <c r="AZ277" t="inlineStr">
        <is>
          <t>BOOK</t>
        </is>
      </c>
      <c r="BB277" t="inlineStr">
        <is>
          <t>9780822932529</t>
        </is>
      </c>
      <c r="BC277" t="inlineStr">
        <is>
          <t>32285001588101</t>
        </is>
      </c>
      <c r="BD277" t="inlineStr">
        <is>
          <t>893258160</t>
        </is>
      </c>
    </row>
    <row r="278">
      <c r="A278" t="inlineStr">
        <is>
          <t>No</t>
        </is>
      </c>
      <c r="B278" t="inlineStr">
        <is>
          <t>RA790.6 .T67 1988</t>
        </is>
      </c>
      <c r="C278" t="inlineStr">
        <is>
          <t>0                      RA 0790600T  67          1988</t>
        </is>
      </c>
      <c r="D278" t="inlineStr">
        <is>
          <t>Nowhere to go : the tragic odyssey of the homeless mentally ill / E. Fuller Torrey.</t>
        </is>
      </c>
      <c r="F278" t="inlineStr">
        <is>
          <t>No</t>
        </is>
      </c>
      <c r="G278" t="inlineStr">
        <is>
          <t>1</t>
        </is>
      </c>
      <c r="H278" t="inlineStr">
        <is>
          <t>No</t>
        </is>
      </c>
      <c r="I278" t="inlineStr">
        <is>
          <t>No</t>
        </is>
      </c>
      <c r="J278" t="inlineStr">
        <is>
          <t>0</t>
        </is>
      </c>
      <c r="K278" t="inlineStr">
        <is>
          <t>Torrey, E. Fuller (Edwin Fuller), 1937-</t>
        </is>
      </c>
      <c r="L278" t="inlineStr">
        <is>
          <t>New York : Harper &amp; Row, c1988.</t>
        </is>
      </c>
      <c r="M278" t="inlineStr">
        <is>
          <t>1988</t>
        </is>
      </c>
      <c r="N278" t="inlineStr">
        <is>
          <t>1st ed.</t>
        </is>
      </c>
      <c r="O278" t="inlineStr">
        <is>
          <t>eng</t>
        </is>
      </c>
      <c r="P278" t="inlineStr">
        <is>
          <t>nyu</t>
        </is>
      </c>
      <c r="R278" t="inlineStr">
        <is>
          <t xml:space="preserve">RA </t>
        </is>
      </c>
      <c r="S278" t="n">
        <v>4</v>
      </c>
      <c r="T278" t="n">
        <v>4</v>
      </c>
      <c r="U278" t="inlineStr">
        <is>
          <t>2010-03-08</t>
        </is>
      </c>
      <c r="V278" t="inlineStr">
        <is>
          <t>2010-03-08</t>
        </is>
      </c>
      <c r="W278" t="inlineStr">
        <is>
          <t>1992-04-14</t>
        </is>
      </c>
      <c r="X278" t="inlineStr">
        <is>
          <t>1992-04-14</t>
        </is>
      </c>
      <c r="Y278" t="n">
        <v>1180</v>
      </c>
      <c r="Z278" t="n">
        <v>1108</v>
      </c>
      <c r="AA278" t="n">
        <v>1195</v>
      </c>
      <c r="AB278" t="n">
        <v>8</v>
      </c>
      <c r="AC278" t="n">
        <v>8</v>
      </c>
      <c r="AD278" t="n">
        <v>32</v>
      </c>
      <c r="AE278" t="n">
        <v>33</v>
      </c>
      <c r="AF278" t="n">
        <v>12</v>
      </c>
      <c r="AG278" t="n">
        <v>12</v>
      </c>
      <c r="AH278" t="n">
        <v>7</v>
      </c>
      <c r="AI278" t="n">
        <v>7</v>
      </c>
      <c r="AJ278" t="n">
        <v>15</v>
      </c>
      <c r="AK278" t="n">
        <v>16</v>
      </c>
      <c r="AL278" t="n">
        <v>5</v>
      </c>
      <c r="AM278" t="n">
        <v>5</v>
      </c>
      <c r="AN278" t="n">
        <v>0</v>
      </c>
      <c r="AO278" t="n">
        <v>0</v>
      </c>
      <c r="AP278" t="inlineStr">
        <is>
          <t>No</t>
        </is>
      </c>
      <c r="AQ278" t="inlineStr">
        <is>
          <t>Yes</t>
        </is>
      </c>
      <c r="AR278">
        <f>HYPERLINK("http://catalog.hathitrust.org/Record/000939274","HathiTrust Record")</f>
        <v/>
      </c>
      <c r="AS278">
        <f>HYPERLINK("https://creighton-primo.hosted.exlibrisgroup.com/primo-explore/search?tab=default_tab&amp;search_scope=EVERYTHING&amp;vid=01CRU&amp;lang=en_US&amp;offset=0&amp;query=any,contains,991001352919702656","Catalog Record")</f>
        <v/>
      </c>
      <c r="AT278">
        <f>HYPERLINK("http://www.worldcat.org/oclc/18456634","WorldCat Record")</f>
        <v/>
      </c>
      <c r="AU278" t="inlineStr">
        <is>
          <t>17336630:eng</t>
        </is>
      </c>
      <c r="AV278" t="inlineStr">
        <is>
          <t>18456634</t>
        </is>
      </c>
      <c r="AW278" t="inlineStr">
        <is>
          <t>991001352919702656</t>
        </is>
      </c>
      <c r="AX278" t="inlineStr">
        <is>
          <t>991001352919702656</t>
        </is>
      </c>
      <c r="AY278" t="inlineStr">
        <is>
          <t>2271899600002656</t>
        </is>
      </c>
      <c r="AZ278" t="inlineStr">
        <is>
          <t>BOOK</t>
        </is>
      </c>
      <c r="BB278" t="inlineStr">
        <is>
          <t>9780060159931</t>
        </is>
      </c>
      <c r="BC278" t="inlineStr">
        <is>
          <t>32285001059624</t>
        </is>
      </c>
      <c r="BD278" t="inlineStr">
        <is>
          <t>893696675</t>
        </is>
      </c>
    </row>
    <row r="279">
      <c r="A279" t="inlineStr">
        <is>
          <t>No</t>
        </is>
      </c>
      <c r="B279" t="inlineStr">
        <is>
          <t>RA790.6 .V47</t>
        </is>
      </c>
      <c r="C279" t="inlineStr">
        <is>
          <t>0                      RA 0790600V  47</t>
        </is>
      </c>
      <c r="D279" t="inlineStr">
        <is>
          <t>The inner American : a self-portrait from 1957 to 1976 / Joseph Veroff, Elizabeth Douvan, Richard A. Kulka.</t>
        </is>
      </c>
      <c r="F279" t="inlineStr">
        <is>
          <t>No</t>
        </is>
      </c>
      <c r="G279" t="inlineStr">
        <is>
          <t>1</t>
        </is>
      </c>
      <c r="H279" t="inlineStr">
        <is>
          <t>No</t>
        </is>
      </c>
      <c r="I279" t="inlineStr">
        <is>
          <t>No</t>
        </is>
      </c>
      <c r="J279" t="inlineStr">
        <is>
          <t>0</t>
        </is>
      </c>
      <c r="K279" t="inlineStr">
        <is>
          <t>Veroff, Joseph, 1929-2007.</t>
        </is>
      </c>
      <c r="L279" t="inlineStr">
        <is>
          <t>New York : Basic Books, c1981.</t>
        </is>
      </c>
      <c r="M279" t="inlineStr">
        <is>
          <t>1981</t>
        </is>
      </c>
      <c r="O279" t="inlineStr">
        <is>
          <t>eng</t>
        </is>
      </c>
      <c r="P279" t="inlineStr">
        <is>
          <t>nyu</t>
        </is>
      </c>
      <c r="R279" t="inlineStr">
        <is>
          <t xml:space="preserve">RA </t>
        </is>
      </c>
      <c r="S279" t="n">
        <v>3</v>
      </c>
      <c r="T279" t="n">
        <v>3</v>
      </c>
      <c r="U279" t="inlineStr">
        <is>
          <t>1997-06-27</t>
        </is>
      </c>
      <c r="V279" t="inlineStr">
        <is>
          <t>1997-06-27</t>
        </is>
      </c>
      <c r="W279" t="inlineStr">
        <is>
          <t>1993-03-16</t>
        </is>
      </c>
      <c r="X279" t="inlineStr">
        <is>
          <t>1993-03-16</t>
        </is>
      </c>
      <c r="Y279" t="n">
        <v>675</v>
      </c>
      <c r="Z279" t="n">
        <v>609</v>
      </c>
      <c r="AA279" t="n">
        <v>611</v>
      </c>
      <c r="AB279" t="n">
        <v>4</v>
      </c>
      <c r="AC279" t="n">
        <v>4</v>
      </c>
      <c r="AD279" t="n">
        <v>26</v>
      </c>
      <c r="AE279" t="n">
        <v>26</v>
      </c>
      <c r="AF279" t="n">
        <v>10</v>
      </c>
      <c r="AG279" t="n">
        <v>10</v>
      </c>
      <c r="AH279" t="n">
        <v>4</v>
      </c>
      <c r="AI279" t="n">
        <v>4</v>
      </c>
      <c r="AJ279" t="n">
        <v>12</v>
      </c>
      <c r="AK279" t="n">
        <v>12</v>
      </c>
      <c r="AL279" t="n">
        <v>3</v>
      </c>
      <c r="AM279" t="n">
        <v>3</v>
      </c>
      <c r="AN279" t="n">
        <v>1</v>
      </c>
      <c r="AO279" t="n">
        <v>1</v>
      </c>
      <c r="AP279" t="inlineStr">
        <is>
          <t>No</t>
        </is>
      </c>
      <c r="AQ279" t="inlineStr">
        <is>
          <t>Yes</t>
        </is>
      </c>
      <c r="AR279">
        <f>HYPERLINK("http://catalog.hathitrust.org/Record/000221962","HathiTrust Record")</f>
        <v/>
      </c>
      <c r="AS279">
        <f>HYPERLINK("https://creighton-primo.hosted.exlibrisgroup.com/primo-explore/search?tab=default_tab&amp;search_scope=EVERYTHING&amp;vid=01CRU&amp;lang=en_US&amp;offset=0&amp;query=any,contains,991005131209702656","Catalog Record")</f>
        <v/>
      </c>
      <c r="AT279">
        <f>HYPERLINK("http://www.worldcat.org/oclc/7572603","WorldCat Record")</f>
        <v/>
      </c>
      <c r="AU279" t="inlineStr">
        <is>
          <t>903517141:eng</t>
        </is>
      </c>
      <c r="AV279" t="inlineStr">
        <is>
          <t>7572603</t>
        </is>
      </c>
      <c r="AW279" t="inlineStr">
        <is>
          <t>991005131209702656</t>
        </is>
      </c>
      <c r="AX279" t="inlineStr">
        <is>
          <t>991005131209702656</t>
        </is>
      </c>
      <c r="AY279" t="inlineStr">
        <is>
          <t>2269906320002656</t>
        </is>
      </c>
      <c r="AZ279" t="inlineStr">
        <is>
          <t>BOOK</t>
        </is>
      </c>
      <c r="BB279" t="inlineStr">
        <is>
          <t>9780465032938</t>
        </is>
      </c>
      <c r="BC279" t="inlineStr">
        <is>
          <t>32285001588119</t>
        </is>
      </c>
      <c r="BD279" t="inlineStr">
        <is>
          <t>893412366</t>
        </is>
      </c>
    </row>
    <row r="280">
      <c r="A280" t="inlineStr">
        <is>
          <t>No</t>
        </is>
      </c>
      <c r="B280" t="inlineStr">
        <is>
          <t>RA790.7.U7 B5</t>
        </is>
      </c>
      <c r="C280" t="inlineStr">
        <is>
          <t>0                      RA 0790700U  7                  B  5</t>
        </is>
      </c>
      <c r="D280" t="inlineStr">
        <is>
          <t>Community mental health : a historical and critical analysis / Bernard L. Bloom.</t>
        </is>
      </c>
      <c r="F280" t="inlineStr">
        <is>
          <t>No</t>
        </is>
      </c>
      <c r="G280" t="inlineStr">
        <is>
          <t>1</t>
        </is>
      </c>
      <c r="H280" t="inlineStr">
        <is>
          <t>No</t>
        </is>
      </c>
      <c r="I280" t="inlineStr">
        <is>
          <t>No</t>
        </is>
      </c>
      <c r="J280" t="inlineStr">
        <is>
          <t>0</t>
        </is>
      </c>
      <c r="K280" t="inlineStr">
        <is>
          <t>Bloom, Bernard L.</t>
        </is>
      </c>
      <c r="L280" t="inlineStr">
        <is>
          <t>Morristown, N. J. : General Learning Corporation, 1973.</t>
        </is>
      </c>
      <c r="M280" t="inlineStr">
        <is>
          <t>1973</t>
        </is>
      </c>
      <c r="O280" t="inlineStr">
        <is>
          <t>eng</t>
        </is>
      </c>
      <c r="P280" t="inlineStr">
        <is>
          <t>nju</t>
        </is>
      </c>
      <c r="R280" t="inlineStr">
        <is>
          <t xml:space="preserve">RA </t>
        </is>
      </c>
      <c r="S280" t="n">
        <v>2</v>
      </c>
      <c r="T280" t="n">
        <v>2</v>
      </c>
      <c r="U280" t="inlineStr">
        <is>
          <t>2001-02-26</t>
        </is>
      </c>
      <c r="V280" t="inlineStr">
        <is>
          <t>2001-02-26</t>
        </is>
      </c>
      <c r="W280" t="inlineStr">
        <is>
          <t>1992-05-20</t>
        </is>
      </c>
      <c r="X280" t="inlineStr">
        <is>
          <t>1992-05-20</t>
        </is>
      </c>
      <c r="Y280" t="n">
        <v>19</v>
      </c>
      <c r="Z280" t="n">
        <v>14</v>
      </c>
      <c r="AA280" t="n">
        <v>16</v>
      </c>
      <c r="AB280" t="n">
        <v>1</v>
      </c>
      <c r="AC280" t="n">
        <v>1</v>
      </c>
      <c r="AD280" t="n">
        <v>0</v>
      </c>
      <c r="AE280" t="n">
        <v>0</v>
      </c>
      <c r="AF280" t="n">
        <v>0</v>
      </c>
      <c r="AG280" t="n">
        <v>0</v>
      </c>
      <c r="AH280" t="n">
        <v>0</v>
      </c>
      <c r="AI280" t="n">
        <v>0</v>
      </c>
      <c r="AJ280" t="n">
        <v>0</v>
      </c>
      <c r="AK280" t="n">
        <v>0</v>
      </c>
      <c r="AL280" t="n">
        <v>0</v>
      </c>
      <c r="AM280" t="n">
        <v>0</v>
      </c>
      <c r="AN280" t="n">
        <v>0</v>
      </c>
      <c r="AO280" t="n">
        <v>0</v>
      </c>
      <c r="AP280" t="inlineStr">
        <is>
          <t>No</t>
        </is>
      </c>
      <c r="AQ280" t="inlineStr">
        <is>
          <t>Yes</t>
        </is>
      </c>
      <c r="AR280">
        <f>HYPERLINK("http://catalog.hathitrust.org/Record/002079342","HathiTrust Record")</f>
        <v/>
      </c>
      <c r="AS280">
        <f>HYPERLINK("https://creighton-primo.hosted.exlibrisgroup.com/primo-explore/search?tab=default_tab&amp;search_scope=EVERYTHING&amp;vid=01CRU&amp;lang=en_US&amp;offset=0&amp;query=any,contains,991003983319702656","Catalog Record")</f>
        <v/>
      </c>
      <c r="AT280">
        <f>HYPERLINK("http://www.worldcat.org/oclc/2022341","WorldCat Record")</f>
        <v/>
      </c>
      <c r="AU280" t="inlineStr">
        <is>
          <t>290756900:eng</t>
        </is>
      </c>
      <c r="AV280" t="inlineStr">
        <is>
          <t>2022341</t>
        </is>
      </c>
      <c r="AW280" t="inlineStr">
        <is>
          <t>991003983319702656</t>
        </is>
      </c>
      <c r="AX280" t="inlineStr">
        <is>
          <t>991003983319702656</t>
        </is>
      </c>
      <c r="AY280" t="inlineStr">
        <is>
          <t>2265684390002656</t>
        </is>
      </c>
      <c r="AZ280" t="inlineStr">
        <is>
          <t>BOOK</t>
        </is>
      </c>
      <c r="BC280" t="inlineStr">
        <is>
          <t>32285001111987</t>
        </is>
      </c>
      <c r="BD280" t="inlineStr">
        <is>
          <t>893253100</t>
        </is>
      </c>
    </row>
    <row r="281">
      <c r="A281" t="inlineStr">
        <is>
          <t>No</t>
        </is>
      </c>
      <c r="B281" t="inlineStr">
        <is>
          <t>RA790.A1 T68</t>
        </is>
      </c>
      <c r="C281" t="inlineStr">
        <is>
          <t>0                      RA 0790000A  1                  T  68</t>
        </is>
      </c>
      <c r="D281" t="inlineStr">
        <is>
          <t>Towards community mental health / edited by John D. Sutherland.</t>
        </is>
      </c>
      <c r="F281" t="inlineStr">
        <is>
          <t>No</t>
        </is>
      </c>
      <c r="G281" t="inlineStr">
        <is>
          <t>1</t>
        </is>
      </c>
      <c r="H281" t="inlineStr">
        <is>
          <t>No</t>
        </is>
      </c>
      <c r="I281" t="inlineStr">
        <is>
          <t>No</t>
        </is>
      </c>
      <c r="J281" t="inlineStr">
        <is>
          <t>0</t>
        </is>
      </c>
      <c r="L281" t="inlineStr">
        <is>
          <t>London ; New York : Tavistock Publications, 1971.</t>
        </is>
      </c>
      <c r="M281" t="inlineStr">
        <is>
          <t>1971</t>
        </is>
      </c>
      <c r="O281" t="inlineStr">
        <is>
          <t>eng</t>
        </is>
      </c>
      <c r="P281" t="inlineStr">
        <is>
          <t>enk</t>
        </is>
      </c>
      <c r="R281" t="inlineStr">
        <is>
          <t xml:space="preserve">RA </t>
        </is>
      </c>
      <c r="S281" t="n">
        <v>4</v>
      </c>
      <c r="T281" t="n">
        <v>4</v>
      </c>
      <c r="U281" t="inlineStr">
        <is>
          <t>1996-04-13</t>
        </is>
      </c>
      <c r="V281" t="inlineStr">
        <is>
          <t>1996-04-13</t>
        </is>
      </c>
      <c r="W281" t="inlineStr">
        <is>
          <t>1990-09-20</t>
        </is>
      </c>
      <c r="X281" t="inlineStr">
        <is>
          <t>1990-09-20</t>
        </is>
      </c>
      <c r="Y281" t="n">
        <v>243</v>
      </c>
      <c r="Z281" t="n">
        <v>134</v>
      </c>
      <c r="AA281" t="n">
        <v>156</v>
      </c>
      <c r="AB281" t="n">
        <v>2</v>
      </c>
      <c r="AC281" t="n">
        <v>2</v>
      </c>
      <c r="AD281" t="n">
        <v>5</v>
      </c>
      <c r="AE281" t="n">
        <v>5</v>
      </c>
      <c r="AF281" t="n">
        <v>1</v>
      </c>
      <c r="AG281" t="n">
        <v>1</v>
      </c>
      <c r="AH281" t="n">
        <v>3</v>
      </c>
      <c r="AI281" t="n">
        <v>3</v>
      </c>
      <c r="AJ281" t="n">
        <v>1</v>
      </c>
      <c r="AK281" t="n">
        <v>1</v>
      </c>
      <c r="AL281" t="n">
        <v>1</v>
      </c>
      <c r="AM281" t="n">
        <v>1</v>
      </c>
      <c r="AN281" t="n">
        <v>0</v>
      </c>
      <c r="AO281" t="n">
        <v>0</v>
      </c>
      <c r="AP281" t="inlineStr">
        <is>
          <t>No</t>
        </is>
      </c>
      <c r="AQ281" t="inlineStr">
        <is>
          <t>Yes</t>
        </is>
      </c>
      <c r="AR281">
        <f>HYPERLINK("http://catalog.hathitrust.org/Record/006182687","HathiTrust Record")</f>
        <v/>
      </c>
      <c r="AS281">
        <f>HYPERLINK("https://creighton-primo.hosted.exlibrisgroup.com/primo-explore/search?tab=default_tab&amp;search_scope=EVERYTHING&amp;vid=01CRU&amp;lang=en_US&amp;offset=0&amp;query=any,contains,991000857639702656","Catalog Record")</f>
        <v/>
      </c>
      <c r="AT281">
        <f>HYPERLINK("http://www.worldcat.org/oclc/149810","WorldCat Record")</f>
        <v/>
      </c>
      <c r="AU281" t="inlineStr">
        <is>
          <t>1079290822:eng</t>
        </is>
      </c>
      <c r="AV281" t="inlineStr">
        <is>
          <t>149810</t>
        </is>
      </c>
      <c r="AW281" t="inlineStr">
        <is>
          <t>991000857639702656</t>
        </is>
      </c>
      <c r="AX281" t="inlineStr">
        <is>
          <t>991000857639702656</t>
        </is>
      </c>
      <c r="AY281" t="inlineStr">
        <is>
          <t>2260700160002656</t>
        </is>
      </c>
      <c r="AZ281" t="inlineStr">
        <is>
          <t>BOOK</t>
        </is>
      </c>
      <c r="BB281" t="inlineStr">
        <is>
          <t>9780422733809</t>
        </is>
      </c>
      <c r="BC281" t="inlineStr">
        <is>
          <t>32285000306521</t>
        </is>
      </c>
      <c r="BD281" t="inlineStr">
        <is>
          <t>893502885</t>
        </is>
      </c>
    </row>
    <row r="282">
      <c r="A282" t="inlineStr">
        <is>
          <t>No</t>
        </is>
      </c>
      <c r="B282" t="inlineStr">
        <is>
          <t>RA792 .L43</t>
        </is>
      </c>
      <c r="C282" t="inlineStr">
        <is>
          <t>0                      RA 0792000L  43</t>
        </is>
      </c>
      <c r="D282" t="inlineStr">
        <is>
          <t>Patterns of disease and hunger / Andrew Learmonth.</t>
        </is>
      </c>
      <c r="F282" t="inlineStr">
        <is>
          <t>No</t>
        </is>
      </c>
      <c r="G282" t="inlineStr">
        <is>
          <t>1</t>
        </is>
      </c>
      <c r="H282" t="inlineStr">
        <is>
          <t>No</t>
        </is>
      </c>
      <c r="I282" t="inlineStr">
        <is>
          <t>No</t>
        </is>
      </c>
      <c r="J282" t="inlineStr">
        <is>
          <t>0</t>
        </is>
      </c>
      <c r="K282" t="inlineStr">
        <is>
          <t>Learmonth, A. T. A. (Andrew Thomas Amos), 1916-2008.</t>
        </is>
      </c>
      <c r="L282" t="inlineStr">
        <is>
          <t>Newton Abbot ; North Pomfret, Vt. : David &amp; Charles, c1978.</t>
        </is>
      </c>
      <c r="M282" t="inlineStr">
        <is>
          <t>1978</t>
        </is>
      </c>
      <c r="O282" t="inlineStr">
        <is>
          <t>eng</t>
        </is>
      </c>
      <c r="P282" t="inlineStr">
        <is>
          <t>enk</t>
        </is>
      </c>
      <c r="Q282" t="inlineStr">
        <is>
          <t>Problems in modern geography</t>
        </is>
      </c>
      <c r="R282" t="inlineStr">
        <is>
          <t xml:space="preserve">RA </t>
        </is>
      </c>
      <c r="S282" t="n">
        <v>3</v>
      </c>
      <c r="T282" t="n">
        <v>3</v>
      </c>
      <c r="U282" t="inlineStr">
        <is>
          <t>1999-12-02</t>
        </is>
      </c>
      <c r="V282" t="inlineStr">
        <is>
          <t>1999-12-02</t>
        </is>
      </c>
      <c r="W282" t="inlineStr">
        <is>
          <t>1993-03-16</t>
        </is>
      </c>
      <c r="X282" t="inlineStr">
        <is>
          <t>1993-03-16</t>
        </is>
      </c>
      <c r="Y282" t="n">
        <v>341</v>
      </c>
      <c r="Z282" t="n">
        <v>220</v>
      </c>
      <c r="AA282" t="n">
        <v>220</v>
      </c>
      <c r="AB282" t="n">
        <v>3</v>
      </c>
      <c r="AC282" t="n">
        <v>3</v>
      </c>
      <c r="AD282" t="n">
        <v>9</v>
      </c>
      <c r="AE282" t="n">
        <v>9</v>
      </c>
      <c r="AF282" t="n">
        <v>2</v>
      </c>
      <c r="AG282" t="n">
        <v>2</v>
      </c>
      <c r="AH282" t="n">
        <v>3</v>
      </c>
      <c r="AI282" t="n">
        <v>3</v>
      </c>
      <c r="AJ282" t="n">
        <v>2</v>
      </c>
      <c r="AK282" t="n">
        <v>2</v>
      </c>
      <c r="AL282" t="n">
        <v>2</v>
      </c>
      <c r="AM282" t="n">
        <v>2</v>
      </c>
      <c r="AN282" t="n">
        <v>0</v>
      </c>
      <c r="AO282" t="n">
        <v>0</v>
      </c>
      <c r="AP282" t="inlineStr">
        <is>
          <t>No</t>
        </is>
      </c>
      <c r="AQ282" t="inlineStr">
        <is>
          <t>No</t>
        </is>
      </c>
      <c r="AS282">
        <f>HYPERLINK("https://creighton-primo.hosted.exlibrisgroup.com/primo-explore/search?tab=default_tab&amp;search_scope=EVERYTHING&amp;vid=01CRU&amp;lang=en_US&amp;offset=0&amp;query=any,contains,991004591549702656","Catalog Record")</f>
        <v/>
      </c>
      <c r="AT282">
        <f>HYPERLINK("http://www.worldcat.org/oclc/4126167","WorldCat Record")</f>
        <v/>
      </c>
      <c r="AU282" t="inlineStr">
        <is>
          <t>14558364:eng</t>
        </is>
      </c>
      <c r="AV282" t="inlineStr">
        <is>
          <t>4126167</t>
        </is>
      </c>
      <c r="AW282" t="inlineStr">
        <is>
          <t>991004591549702656</t>
        </is>
      </c>
      <c r="AX282" t="inlineStr">
        <is>
          <t>991004591549702656</t>
        </is>
      </c>
      <c r="AY282" t="inlineStr">
        <is>
          <t>2255532220002656</t>
        </is>
      </c>
      <c r="AZ282" t="inlineStr">
        <is>
          <t>BOOK</t>
        </is>
      </c>
      <c r="BB282" t="inlineStr">
        <is>
          <t>9780715375389</t>
        </is>
      </c>
      <c r="BC282" t="inlineStr">
        <is>
          <t>32285001588143</t>
        </is>
      </c>
      <c r="BD282" t="inlineStr">
        <is>
          <t>893247744</t>
        </is>
      </c>
    </row>
    <row r="283">
      <c r="A283" t="inlineStr">
        <is>
          <t>No</t>
        </is>
      </c>
      <c r="B283" t="inlineStr">
        <is>
          <t>RA963 .H46 1999</t>
        </is>
      </c>
      <c r="C283" t="inlineStr">
        <is>
          <t>0                      RA 0963000H  46          1999</t>
        </is>
      </c>
      <c r="D283" t="inlineStr">
        <is>
          <t>Do recent changes in Medicaid policy weaken public hospitals? / by Tim M. Henderson.</t>
        </is>
      </c>
      <c r="F283" t="inlineStr">
        <is>
          <t>No</t>
        </is>
      </c>
      <c r="G283" t="inlineStr">
        <is>
          <t>1</t>
        </is>
      </c>
      <c r="H283" t="inlineStr">
        <is>
          <t>No</t>
        </is>
      </c>
      <c r="I283" t="inlineStr">
        <is>
          <t>No</t>
        </is>
      </c>
      <c r="J283" t="inlineStr">
        <is>
          <t>0</t>
        </is>
      </c>
      <c r="K283" t="inlineStr">
        <is>
          <t>Henderson, Tim M.</t>
        </is>
      </c>
      <c r="L283" t="inlineStr">
        <is>
          <t>Denver, CO : National Conference of State Legislatures, c1999.</t>
        </is>
      </c>
      <c r="M283" t="inlineStr">
        <is>
          <t>1999</t>
        </is>
      </c>
      <c r="O283" t="inlineStr">
        <is>
          <t>eng</t>
        </is>
      </c>
      <c r="P283" t="inlineStr">
        <is>
          <t>cou</t>
        </is>
      </c>
      <c r="R283" t="inlineStr">
        <is>
          <t xml:space="preserve">RA </t>
        </is>
      </c>
      <c r="S283" t="n">
        <v>1</v>
      </c>
      <c r="T283" t="n">
        <v>1</v>
      </c>
      <c r="U283" t="inlineStr">
        <is>
          <t>2000-11-14</t>
        </is>
      </c>
      <c r="V283" t="inlineStr">
        <is>
          <t>2000-11-14</t>
        </is>
      </c>
      <c r="W283" t="inlineStr">
        <is>
          <t>2000-11-14</t>
        </is>
      </c>
      <c r="X283" t="inlineStr">
        <is>
          <t>2000-11-14</t>
        </is>
      </c>
      <c r="Y283" t="n">
        <v>20</v>
      </c>
      <c r="Z283" t="n">
        <v>20</v>
      </c>
      <c r="AA283" t="n">
        <v>21</v>
      </c>
      <c r="AB283" t="n">
        <v>1</v>
      </c>
      <c r="AC283" t="n">
        <v>1</v>
      </c>
      <c r="AD283" t="n">
        <v>1</v>
      </c>
      <c r="AE283" t="n">
        <v>1</v>
      </c>
      <c r="AF283" t="n">
        <v>0</v>
      </c>
      <c r="AG283" t="n">
        <v>0</v>
      </c>
      <c r="AH283" t="n">
        <v>0</v>
      </c>
      <c r="AI283" t="n">
        <v>0</v>
      </c>
      <c r="AJ283" t="n">
        <v>1</v>
      </c>
      <c r="AK283" t="n">
        <v>1</v>
      </c>
      <c r="AL283" t="n">
        <v>0</v>
      </c>
      <c r="AM283" t="n">
        <v>0</v>
      </c>
      <c r="AN283" t="n">
        <v>0</v>
      </c>
      <c r="AO283" t="n">
        <v>0</v>
      </c>
      <c r="AP283" t="inlineStr">
        <is>
          <t>No</t>
        </is>
      </c>
      <c r="AQ283" t="inlineStr">
        <is>
          <t>Yes</t>
        </is>
      </c>
      <c r="AR283">
        <f>HYPERLINK("http://catalog.hathitrust.org/Record/004173101","HathiTrust Record")</f>
        <v/>
      </c>
      <c r="AS283">
        <f>HYPERLINK("https://creighton-primo.hosted.exlibrisgroup.com/primo-explore/search?tab=default_tab&amp;search_scope=EVERYTHING&amp;vid=01CRU&amp;lang=en_US&amp;offset=0&amp;query=any,contains,991003243479702656","Catalog Record")</f>
        <v/>
      </c>
      <c r="AT283">
        <f>HYPERLINK("http://www.worldcat.org/oclc/43690068","WorldCat Record")</f>
        <v/>
      </c>
      <c r="AU283" t="inlineStr">
        <is>
          <t>44300893:eng</t>
        </is>
      </c>
      <c r="AV283" t="inlineStr">
        <is>
          <t>43690068</t>
        </is>
      </c>
      <c r="AW283" t="inlineStr">
        <is>
          <t>991003243479702656</t>
        </is>
      </c>
      <c r="AX283" t="inlineStr">
        <is>
          <t>991003243479702656</t>
        </is>
      </c>
      <c r="AY283" t="inlineStr">
        <is>
          <t>2256828620002656</t>
        </is>
      </c>
      <c r="AZ283" t="inlineStr">
        <is>
          <t>BOOK</t>
        </is>
      </c>
      <c r="BB283" t="inlineStr">
        <is>
          <t>9781580240352</t>
        </is>
      </c>
      <c r="BC283" t="inlineStr">
        <is>
          <t>32285004266085</t>
        </is>
      </c>
      <c r="BD283" t="inlineStr">
        <is>
          <t>893880962</t>
        </is>
      </c>
    </row>
    <row r="284">
      <c r="A284" t="inlineStr">
        <is>
          <t>No</t>
        </is>
      </c>
      <c r="B284" t="inlineStr">
        <is>
          <t>RA965 .C47</t>
        </is>
      </c>
      <c r="C284" t="inlineStr">
        <is>
          <t>0                      RA 0965000C  47</t>
        </is>
      </c>
      <c r="D284" t="inlineStr">
        <is>
          <t>Hospital organization and health care delivery / Luther P. Christman, Michael A. Counte.</t>
        </is>
      </c>
      <c r="F284" t="inlineStr">
        <is>
          <t>No</t>
        </is>
      </c>
      <c r="G284" t="inlineStr">
        <is>
          <t>1</t>
        </is>
      </c>
      <c r="H284" t="inlineStr">
        <is>
          <t>No</t>
        </is>
      </c>
      <c r="I284" t="inlineStr">
        <is>
          <t>No</t>
        </is>
      </c>
      <c r="J284" t="inlineStr">
        <is>
          <t>0</t>
        </is>
      </c>
      <c r="K284" t="inlineStr">
        <is>
          <t>Christman, Luther P.</t>
        </is>
      </c>
      <c r="L284" t="inlineStr">
        <is>
          <t>Boulder, Colo. : Westview Press, 1981.</t>
        </is>
      </c>
      <c r="M284" t="inlineStr">
        <is>
          <t>1981</t>
        </is>
      </c>
      <c r="O284" t="inlineStr">
        <is>
          <t>eng</t>
        </is>
      </c>
      <c r="P284" t="inlineStr">
        <is>
          <t>cou</t>
        </is>
      </c>
      <c r="Q284" t="inlineStr">
        <is>
          <t>Behavioral sciences for health care professionals</t>
        </is>
      </c>
      <c r="R284" t="inlineStr">
        <is>
          <t xml:space="preserve">RA </t>
        </is>
      </c>
      <c r="S284" t="n">
        <v>2</v>
      </c>
      <c r="T284" t="n">
        <v>2</v>
      </c>
      <c r="U284" t="inlineStr">
        <is>
          <t>1993-09-15</t>
        </is>
      </c>
      <c r="V284" t="inlineStr">
        <is>
          <t>1993-09-15</t>
        </is>
      </c>
      <c r="W284" t="inlineStr">
        <is>
          <t>1993-03-16</t>
        </is>
      </c>
      <c r="X284" t="inlineStr">
        <is>
          <t>1993-03-16</t>
        </is>
      </c>
      <c r="Y284" t="n">
        <v>181</v>
      </c>
      <c r="Z284" t="n">
        <v>139</v>
      </c>
      <c r="AA284" t="n">
        <v>141</v>
      </c>
      <c r="AB284" t="n">
        <v>2</v>
      </c>
      <c r="AC284" t="n">
        <v>2</v>
      </c>
      <c r="AD284" t="n">
        <v>3</v>
      </c>
      <c r="AE284" t="n">
        <v>3</v>
      </c>
      <c r="AF284" t="n">
        <v>1</v>
      </c>
      <c r="AG284" t="n">
        <v>1</v>
      </c>
      <c r="AH284" t="n">
        <v>1</v>
      </c>
      <c r="AI284" t="n">
        <v>1</v>
      </c>
      <c r="AJ284" t="n">
        <v>3</v>
      </c>
      <c r="AK284" t="n">
        <v>3</v>
      </c>
      <c r="AL284" t="n">
        <v>0</v>
      </c>
      <c r="AM284" t="n">
        <v>0</v>
      </c>
      <c r="AN284" t="n">
        <v>0</v>
      </c>
      <c r="AO284" t="n">
        <v>0</v>
      </c>
      <c r="AP284" t="inlineStr">
        <is>
          <t>No</t>
        </is>
      </c>
      <c r="AQ284" t="inlineStr">
        <is>
          <t>Yes</t>
        </is>
      </c>
      <c r="AR284">
        <f>HYPERLINK("http://catalog.hathitrust.org/Record/000191060","HathiTrust Record")</f>
        <v/>
      </c>
      <c r="AS284">
        <f>HYPERLINK("https://creighton-primo.hosted.exlibrisgroup.com/primo-explore/search?tab=default_tab&amp;search_scope=EVERYTHING&amp;vid=01CRU&amp;lang=en_US&amp;offset=0&amp;query=any,contains,991005155869702656","Catalog Record")</f>
        <v/>
      </c>
      <c r="AT284">
        <f>HYPERLINK("http://www.worldcat.org/oclc/7739553","WorldCat Record")</f>
        <v/>
      </c>
      <c r="AU284" t="inlineStr">
        <is>
          <t>511736:eng</t>
        </is>
      </c>
      <c r="AV284" t="inlineStr">
        <is>
          <t>7739553</t>
        </is>
      </c>
      <c r="AW284" t="inlineStr">
        <is>
          <t>991005155869702656</t>
        </is>
      </c>
      <c r="AX284" t="inlineStr">
        <is>
          <t>991005155869702656</t>
        </is>
      </c>
      <c r="AY284" t="inlineStr">
        <is>
          <t>2258552840002656</t>
        </is>
      </c>
      <c r="AZ284" t="inlineStr">
        <is>
          <t>BOOK</t>
        </is>
      </c>
      <c r="BB284" t="inlineStr">
        <is>
          <t>9780865310063</t>
        </is>
      </c>
      <c r="BC284" t="inlineStr">
        <is>
          <t>32285001588184</t>
        </is>
      </c>
      <c r="BD284" t="inlineStr">
        <is>
          <t>893254559</t>
        </is>
      </c>
    </row>
    <row r="285">
      <c r="A285" t="inlineStr">
        <is>
          <t>No</t>
        </is>
      </c>
      <c r="B285" t="inlineStr">
        <is>
          <t>RA965.5 .M36 1986</t>
        </is>
      </c>
      <c r="C285" t="inlineStr">
        <is>
          <t>0                      RA 0965500M  36          1986</t>
        </is>
      </c>
      <c r="D285" t="inlineStr">
        <is>
          <t>Managing smart : market research for hospital decision makers / Norman H. McMillan and George Rosenbaum.</t>
        </is>
      </c>
      <c r="F285" t="inlineStr">
        <is>
          <t>No</t>
        </is>
      </c>
      <c r="G285" t="inlineStr">
        <is>
          <t>1</t>
        </is>
      </c>
      <c r="H285" t="inlineStr">
        <is>
          <t>No</t>
        </is>
      </c>
      <c r="I285" t="inlineStr">
        <is>
          <t>No</t>
        </is>
      </c>
      <c r="J285" t="inlineStr">
        <is>
          <t>0</t>
        </is>
      </c>
      <c r="K285" t="inlineStr">
        <is>
          <t>McMillan, Norman H., 1925-</t>
        </is>
      </c>
      <c r="L285" t="inlineStr">
        <is>
          <t>Chicago, Ill. : American Hosiptal Pub., c1986.</t>
        </is>
      </c>
      <c r="M285" t="inlineStr">
        <is>
          <t>1986</t>
        </is>
      </c>
      <c r="O285" t="inlineStr">
        <is>
          <t>eng</t>
        </is>
      </c>
      <c r="P285" t="inlineStr">
        <is>
          <t>ilu</t>
        </is>
      </c>
      <c r="R285" t="inlineStr">
        <is>
          <t xml:space="preserve">RA </t>
        </is>
      </c>
      <c r="S285" t="n">
        <v>3</v>
      </c>
      <c r="T285" t="n">
        <v>3</v>
      </c>
      <c r="U285" t="inlineStr">
        <is>
          <t>1996-04-21</t>
        </is>
      </c>
      <c r="V285" t="inlineStr">
        <is>
          <t>1996-04-21</t>
        </is>
      </c>
      <c r="W285" t="inlineStr">
        <is>
          <t>1992-01-24</t>
        </is>
      </c>
      <c r="X285" t="inlineStr">
        <is>
          <t>1992-01-24</t>
        </is>
      </c>
      <c r="Y285" t="n">
        <v>100</v>
      </c>
      <c r="Z285" t="n">
        <v>88</v>
      </c>
      <c r="AA285" t="n">
        <v>88</v>
      </c>
      <c r="AB285" t="n">
        <v>1</v>
      </c>
      <c r="AC285" t="n">
        <v>1</v>
      </c>
      <c r="AD285" t="n">
        <v>1</v>
      </c>
      <c r="AE285" t="n">
        <v>1</v>
      </c>
      <c r="AF285" t="n">
        <v>0</v>
      </c>
      <c r="AG285" t="n">
        <v>0</v>
      </c>
      <c r="AH285" t="n">
        <v>0</v>
      </c>
      <c r="AI285" t="n">
        <v>0</v>
      </c>
      <c r="AJ285" t="n">
        <v>1</v>
      </c>
      <c r="AK285" t="n">
        <v>1</v>
      </c>
      <c r="AL285" t="n">
        <v>0</v>
      </c>
      <c r="AM285" t="n">
        <v>0</v>
      </c>
      <c r="AN285" t="n">
        <v>0</v>
      </c>
      <c r="AO285" t="n">
        <v>0</v>
      </c>
      <c r="AP285" t="inlineStr">
        <is>
          <t>No</t>
        </is>
      </c>
      <c r="AQ285" t="inlineStr">
        <is>
          <t>No</t>
        </is>
      </c>
      <c r="AS285">
        <f>HYPERLINK("https://creighton-primo.hosted.exlibrisgroup.com/primo-explore/search?tab=default_tab&amp;search_scope=EVERYTHING&amp;vid=01CRU&amp;lang=en_US&amp;offset=0&amp;query=any,contains,991000818549702656","Catalog Record")</f>
        <v/>
      </c>
      <c r="AT285">
        <f>HYPERLINK("http://www.worldcat.org/oclc/13361240","WorldCat Record")</f>
        <v/>
      </c>
      <c r="AU285" t="inlineStr">
        <is>
          <t>6953497:eng</t>
        </is>
      </c>
      <c r="AV285" t="inlineStr">
        <is>
          <t>13361240</t>
        </is>
      </c>
      <c r="AW285" t="inlineStr">
        <is>
          <t>991000818549702656</t>
        </is>
      </c>
      <c r="AX285" t="inlineStr">
        <is>
          <t>991000818549702656</t>
        </is>
      </c>
      <c r="AY285" t="inlineStr">
        <is>
          <t>2271832120002656</t>
        </is>
      </c>
      <c r="AZ285" t="inlineStr">
        <is>
          <t>BOOK</t>
        </is>
      </c>
      <c r="BB285" t="inlineStr">
        <is>
          <t>9780939450862</t>
        </is>
      </c>
      <c r="BC285" t="inlineStr">
        <is>
          <t>32285000917962</t>
        </is>
      </c>
      <c r="BD285" t="inlineStr">
        <is>
          <t>893872039</t>
        </is>
      </c>
    </row>
    <row r="286">
      <c r="A286" t="inlineStr">
        <is>
          <t>No</t>
        </is>
      </c>
      <c r="B286" t="inlineStr">
        <is>
          <t>RA965.8 .S37 1995</t>
        </is>
      </c>
      <c r="C286" t="inlineStr">
        <is>
          <t>0                      RA 0965800S  37          1995</t>
        </is>
      </c>
      <c r="D286" t="inlineStr">
        <is>
          <t>Accreditation : protecting the professional or the consumer? / Ellie Scrivens.</t>
        </is>
      </c>
      <c r="F286" t="inlineStr">
        <is>
          <t>No</t>
        </is>
      </c>
      <c r="G286" t="inlineStr">
        <is>
          <t>1</t>
        </is>
      </c>
      <c r="H286" t="inlineStr">
        <is>
          <t>No</t>
        </is>
      </c>
      <c r="I286" t="inlineStr">
        <is>
          <t>No</t>
        </is>
      </c>
      <c r="J286" t="inlineStr">
        <is>
          <t>0</t>
        </is>
      </c>
      <c r="K286" t="inlineStr">
        <is>
          <t>Scrivens, Ellie, 1954-</t>
        </is>
      </c>
      <c r="L286" t="inlineStr">
        <is>
          <t>Buckingham ; Philadelphia : Open University Press, 1995.</t>
        </is>
      </c>
      <c r="M286" t="inlineStr">
        <is>
          <t>1995</t>
        </is>
      </c>
      <c r="O286" t="inlineStr">
        <is>
          <t>eng</t>
        </is>
      </c>
      <c r="P286" t="inlineStr">
        <is>
          <t>enk</t>
        </is>
      </c>
      <c r="Q286" t="inlineStr">
        <is>
          <t>State of health series</t>
        </is>
      </c>
      <c r="R286" t="inlineStr">
        <is>
          <t xml:space="preserve">RA </t>
        </is>
      </c>
      <c r="S286" t="n">
        <v>1</v>
      </c>
      <c r="T286" t="n">
        <v>1</v>
      </c>
      <c r="U286" t="inlineStr">
        <is>
          <t>1998-07-01</t>
        </is>
      </c>
      <c r="V286" t="inlineStr">
        <is>
          <t>1998-07-01</t>
        </is>
      </c>
      <c r="W286" t="inlineStr">
        <is>
          <t>1998-05-06</t>
        </is>
      </c>
      <c r="X286" t="inlineStr">
        <is>
          <t>1998-05-06</t>
        </is>
      </c>
      <c r="Y286" t="n">
        <v>123</v>
      </c>
      <c r="Z286" t="n">
        <v>41</v>
      </c>
      <c r="AA286" t="n">
        <v>42</v>
      </c>
      <c r="AB286" t="n">
        <v>1</v>
      </c>
      <c r="AC286" t="n">
        <v>1</v>
      </c>
      <c r="AD286" t="n">
        <v>0</v>
      </c>
      <c r="AE286" t="n">
        <v>0</v>
      </c>
      <c r="AF286" t="n">
        <v>0</v>
      </c>
      <c r="AG286" t="n">
        <v>0</v>
      </c>
      <c r="AH286" t="n">
        <v>0</v>
      </c>
      <c r="AI286" t="n">
        <v>0</v>
      </c>
      <c r="AJ286" t="n">
        <v>0</v>
      </c>
      <c r="AK286" t="n">
        <v>0</v>
      </c>
      <c r="AL286" t="n">
        <v>0</v>
      </c>
      <c r="AM286" t="n">
        <v>0</v>
      </c>
      <c r="AN286" t="n">
        <v>0</v>
      </c>
      <c r="AO286" t="n">
        <v>0</v>
      </c>
      <c r="AP286" t="inlineStr">
        <is>
          <t>No</t>
        </is>
      </c>
      <c r="AQ286" t="inlineStr">
        <is>
          <t>No</t>
        </is>
      </c>
      <c r="AS286">
        <f>HYPERLINK("https://creighton-primo.hosted.exlibrisgroup.com/primo-explore/search?tab=default_tab&amp;search_scope=EVERYTHING&amp;vid=01CRU&amp;lang=en_US&amp;offset=0&amp;query=any,contains,991002445249702656","Catalog Record")</f>
        <v/>
      </c>
      <c r="AT286">
        <f>HYPERLINK("http://www.worldcat.org/oclc/31900145","WorldCat Record")</f>
        <v/>
      </c>
      <c r="AU286" t="inlineStr">
        <is>
          <t>837013879:eng</t>
        </is>
      </c>
      <c r="AV286" t="inlineStr">
        <is>
          <t>31900145</t>
        </is>
      </c>
      <c r="AW286" t="inlineStr">
        <is>
          <t>991002445249702656</t>
        </is>
      </c>
      <c r="AX286" t="inlineStr">
        <is>
          <t>991002445249702656</t>
        </is>
      </c>
      <c r="AY286" t="inlineStr">
        <is>
          <t>2264746220002656</t>
        </is>
      </c>
      <c r="AZ286" t="inlineStr">
        <is>
          <t>BOOK</t>
        </is>
      </c>
      <c r="BB286" t="inlineStr">
        <is>
          <t>9780335194919</t>
        </is>
      </c>
      <c r="BC286" t="inlineStr">
        <is>
          <t>32285003406617</t>
        </is>
      </c>
      <c r="BD286" t="inlineStr">
        <is>
          <t>893530001</t>
        </is>
      </c>
    </row>
    <row r="287">
      <c r="A287" t="inlineStr">
        <is>
          <t>No</t>
        </is>
      </c>
      <c r="B287" t="inlineStr">
        <is>
          <t>RA971 .D68</t>
        </is>
      </c>
      <c r="C287" t="inlineStr">
        <is>
          <t>0                      RA 0971000D  68</t>
        </is>
      </c>
      <c r="D287" t="inlineStr">
        <is>
          <t>Successful time management for hospital administrators / Merrill E. Douglass, Phillip H. Goodwin.</t>
        </is>
      </c>
      <c r="F287" t="inlineStr">
        <is>
          <t>No</t>
        </is>
      </c>
      <c r="G287" t="inlineStr">
        <is>
          <t>1</t>
        </is>
      </c>
      <c r="H287" t="inlineStr">
        <is>
          <t>No</t>
        </is>
      </c>
      <c r="I287" t="inlineStr">
        <is>
          <t>No</t>
        </is>
      </c>
      <c r="J287" t="inlineStr">
        <is>
          <t>0</t>
        </is>
      </c>
      <c r="K287" t="inlineStr">
        <is>
          <t>Douglass, Merrill E.</t>
        </is>
      </c>
      <c r="L287" t="inlineStr">
        <is>
          <t>New York, N.Y. : American Management Associations, c1980.</t>
        </is>
      </c>
      <c r="M287" t="inlineStr">
        <is>
          <t>1980</t>
        </is>
      </c>
      <c r="O287" t="inlineStr">
        <is>
          <t>eng</t>
        </is>
      </c>
      <c r="P287" t="inlineStr">
        <is>
          <t>nyu</t>
        </is>
      </c>
      <c r="R287" t="inlineStr">
        <is>
          <t xml:space="preserve">RA </t>
        </is>
      </c>
      <c r="S287" t="n">
        <v>5</v>
      </c>
      <c r="T287" t="n">
        <v>5</v>
      </c>
      <c r="U287" t="inlineStr">
        <is>
          <t>1994-06-02</t>
        </is>
      </c>
      <c r="V287" t="inlineStr">
        <is>
          <t>1994-06-02</t>
        </is>
      </c>
      <c r="W287" t="inlineStr">
        <is>
          <t>1991-12-09</t>
        </is>
      </c>
      <c r="X287" t="inlineStr">
        <is>
          <t>1991-12-09</t>
        </is>
      </c>
      <c r="Y287" t="n">
        <v>195</v>
      </c>
      <c r="Z287" t="n">
        <v>174</v>
      </c>
      <c r="AA287" t="n">
        <v>179</v>
      </c>
      <c r="AB287" t="n">
        <v>1</v>
      </c>
      <c r="AC287" t="n">
        <v>1</v>
      </c>
      <c r="AD287" t="n">
        <v>7</v>
      </c>
      <c r="AE287" t="n">
        <v>7</v>
      </c>
      <c r="AF287" t="n">
        <v>3</v>
      </c>
      <c r="AG287" t="n">
        <v>3</v>
      </c>
      <c r="AH287" t="n">
        <v>3</v>
      </c>
      <c r="AI287" t="n">
        <v>3</v>
      </c>
      <c r="AJ287" t="n">
        <v>5</v>
      </c>
      <c r="AK287" t="n">
        <v>5</v>
      </c>
      <c r="AL287" t="n">
        <v>0</v>
      </c>
      <c r="AM287" t="n">
        <v>0</v>
      </c>
      <c r="AN287" t="n">
        <v>0</v>
      </c>
      <c r="AO287" t="n">
        <v>0</v>
      </c>
      <c r="AP287" t="inlineStr">
        <is>
          <t>No</t>
        </is>
      </c>
      <c r="AQ287" t="inlineStr">
        <is>
          <t>No</t>
        </is>
      </c>
      <c r="AS287">
        <f>HYPERLINK("https://creighton-primo.hosted.exlibrisgroup.com/primo-explore/search?tab=default_tab&amp;search_scope=EVERYTHING&amp;vid=01CRU&amp;lang=en_US&amp;offset=0&amp;query=any,contains,991004935909702656","Catalog Record")</f>
        <v/>
      </c>
      <c r="AT287">
        <f>HYPERLINK("http://www.worldcat.org/oclc/6142961","WorldCat Record")</f>
        <v/>
      </c>
      <c r="AU287" t="inlineStr">
        <is>
          <t>4065725:eng</t>
        </is>
      </c>
      <c r="AV287" t="inlineStr">
        <is>
          <t>6142961</t>
        </is>
      </c>
      <c r="AW287" t="inlineStr">
        <is>
          <t>991004935909702656</t>
        </is>
      </c>
      <c r="AX287" t="inlineStr">
        <is>
          <t>991004935909702656</t>
        </is>
      </c>
      <c r="AY287" t="inlineStr">
        <is>
          <t>2261507790002656</t>
        </is>
      </c>
      <c r="AZ287" t="inlineStr">
        <is>
          <t>BOOK</t>
        </is>
      </c>
      <c r="BB287" t="inlineStr">
        <is>
          <t>9780814456026</t>
        </is>
      </c>
      <c r="BC287" t="inlineStr">
        <is>
          <t>32285000872548</t>
        </is>
      </c>
      <c r="BD287" t="inlineStr">
        <is>
          <t>893412110</t>
        </is>
      </c>
    </row>
    <row r="288">
      <c r="A288" t="inlineStr">
        <is>
          <t>No</t>
        </is>
      </c>
      <c r="B288" t="inlineStr">
        <is>
          <t>RA971 .G45</t>
        </is>
      </c>
      <c r="C288" t="inlineStr">
        <is>
          <t>0                      RA 0971000G  45</t>
        </is>
      </c>
      <c r="D288" t="inlineStr">
        <is>
          <t>Hospital organization research : review and source book / Basil S. Georgopoulos.</t>
        </is>
      </c>
      <c r="F288" t="inlineStr">
        <is>
          <t>No</t>
        </is>
      </c>
      <c r="G288" t="inlineStr">
        <is>
          <t>1</t>
        </is>
      </c>
      <c r="H288" t="inlineStr">
        <is>
          <t>No</t>
        </is>
      </c>
      <c r="I288" t="inlineStr">
        <is>
          <t>No</t>
        </is>
      </c>
      <c r="J288" t="inlineStr">
        <is>
          <t>0</t>
        </is>
      </c>
      <c r="K288" t="inlineStr">
        <is>
          <t>Georgopoulos, Basil Spyros, 1926-</t>
        </is>
      </c>
      <c r="L288" t="inlineStr">
        <is>
          <t>Philadelphia : W. B. Saunders Co., 1975.</t>
        </is>
      </c>
      <c r="M288" t="inlineStr">
        <is>
          <t>1975</t>
        </is>
      </c>
      <c r="O288" t="inlineStr">
        <is>
          <t>eng</t>
        </is>
      </c>
      <c r="P288" t="inlineStr">
        <is>
          <t>pau</t>
        </is>
      </c>
      <c r="Q288" t="inlineStr">
        <is>
          <t>Saunders series in health care organization and administration</t>
        </is>
      </c>
      <c r="R288" t="inlineStr">
        <is>
          <t xml:space="preserve">RA </t>
        </is>
      </c>
      <c r="S288" t="n">
        <v>3</v>
      </c>
      <c r="T288" t="n">
        <v>3</v>
      </c>
      <c r="U288" t="inlineStr">
        <is>
          <t>1993-06-08</t>
        </is>
      </c>
      <c r="V288" t="inlineStr">
        <is>
          <t>1993-06-08</t>
        </is>
      </c>
      <c r="W288" t="inlineStr">
        <is>
          <t>1992-01-24</t>
        </is>
      </c>
      <c r="X288" t="inlineStr">
        <is>
          <t>1992-01-24</t>
        </is>
      </c>
      <c r="Y288" t="n">
        <v>238</v>
      </c>
      <c r="Z288" t="n">
        <v>198</v>
      </c>
      <c r="AA288" t="n">
        <v>205</v>
      </c>
      <c r="AB288" t="n">
        <v>2</v>
      </c>
      <c r="AC288" t="n">
        <v>2</v>
      </c>
      <c r="AD288" t="n">
        <v>6</v>
      </c>
      <c r="AE288" t="n">
        <v>6</v>
      </c>
      <c r="AF288" t="n">
        <v>1</v>
      </c>
      <c r="AG288" t="n">
        <v>1</v>
      </c>
      <c r="AH288" t="n">
        <v>2</v>
      </c>
      <c r="AI288" t="n">
        <v>2</v>
      </c>
      <c r="AJ288" t="n">
        <v>4</v>
      </c>
      <c r="AK288" t="n">
        <v>4</v>
      </c>
      <c r="AL288" t="n">
        <v>1</v>
      </c>
      <c r="AM288" t="n">
        <v>1</v>
      </c>
      <c r="AN288" t="n">
        <v>0</v>
      </c>
      <c r="AO288" t="n">
        <v>0</v>
      </c>
      <c r="AP288" t="inlineStr">
        <is>
          <t>No</t>
        </is>
      </c>
      <c r="AQ288" t="inlineStr">
        <is>
          <t>Yes</t>
        </is>
      </c>
      <c r="AR288">
        <f>HYPERLINK("http://catalog.hathitrust.org/Record/000042288","HathiTrust Record")</f>
        <v/>
      </c>
      <c r="AS288">
        <f>HYPERLINK("https://creighton-primo.hosted.exlibrisgroup.com/primo-explore/search?tab=default_tab&amp;search_scope=EVERYTHING&amp;vid=01CRU&amp;lang=en_US&amp;offset=0&amp;query=any,contains,991003717519702656","Catalog Record")</f>
        <v/>
      </c>
      <c r="AT288">
        <f>HYPERLINK("http://www.worldcat.org/oclc/1363557","WorldCat Record")</f>
        <v/>
      </c>
      <c r="AU288" t="inlineStr">
        <is>
          <t>836712056:eng</t>
        </is>
      </c>
      <c r="AV288" t="inlineStr">
        <is>
          <t>1363557</t>
        </is>
      </c>
      <c r="AW288" t="inlineStr">
        <is>
          <t>991003717519702656</t>
        </is>
      </c>
      <c r="AX288" t="inlineStr">
        <is>
          <t>991003717519702656</t>
        </is>
      </c>
      <c r="AY288" t="inlineStr">
        <is>
          <t>2259283480002656</t>
        </is>
      </c>
      <c r="AZ288" t="inlineStr">
        <is>
          <t>BOOK</t>
        </is>
      </c>
      <c r="BB288" t="inlineStr">
        <is>
          <t>9780721641058</t>
        </is>
      </c>
      <c r="BC288" t="inlineStr">
        <is>
          <t>32285000917947</t>
        </is>
      </c>
      <c r="BD288" t="inlineStr">
        <is>
          <t>893598899</t>
        </is>
      </c>
    </row>
    <row r="289">
      <c r="A289" t="inlineStr">
        <is>
          <t>No</t>
        </is>
      </c>
      <c r="B289" t="inlineStr">
        <is>
          <t>RA971 .N85</t>
        </is>
      </c>
      <c r="C289" t="inlineStr">
        <is>
          <t>0                      RA 0971000N  85</t>
        </is>
      </c>
      <c r="D289" t="inlineStr">
        <is>
          <t>The practice of management for health care professionals / Rita E. Numerof.</t>
        </is>
      </c>
      <c r="F289" t="inlineStr">
        <is>
          <t>No</t>
        </is>
      </c>
      <c r="G289" t="inlineStr">
        <is>
          <t>1</t>
        </is>
      </c>
      <c r="H289" t="inlineStr">
        <is>
          <t>No</t>
        </is>
      </c>
      <c r="I289" t="inlineStr">
        <is>
          <t>No</t>
        </is>
      </c>
      <c r="J289" t="inlineStr">
        <is>
          <t>0</t>
        </is>
      </c>
      <c r="K289" t="inlineStr">
        <is>
          <t>Numerof, Rita E.</t>
        </is>
      </c>
      <c r="L289" t="inlineStr">
        <is>
          <t>New York, N.Y. : AMACOM, c1982.</t>
        </is>
      </c>
      <c r="M289" t="inlineStr">
        <is>
          <t>1982</t>
        </is>
      </c>
      <c r="O289" t="inlineStr">
        <is>
          <t>eng</t>
        </is>
      </c>
      <c r="P289" t="inlineStr">
        <is>
          <t>nyu</t>
        </is>
      </c>
      <c r="R289" t="inlineStr">
        <is>
          <t xml:space="preserve">RA </t>
        </is>
      </c>
      <c r="S289" t="n">
        <v>4</v>
      </c>
      <c r="T289" t="n">
        <v>4</v>
      </c>
      <c r="U289" t="inlineStr">
        <is>
          <t>1999-01-13</t>
        </is>
      </c>
      <c r="V289" t="inlineStr">
        <is>
          <t>1999-01-13</t>
        </is>
      </c>
      <c r="W289" t="inlineStr">
        <is>
          <t>1991-11-21</t>
        </is>
      </c>
      <c r="X289" t="inlineStr">
        <is>
          <t>1991-11-21</t>
        </is>
      </c>
      <c r="Y289" t="n">
        <v>229</v>
      </c>
      <c r="Z289" t="n">
        <v>215</v>
      </c>
      <c r="AA289" t="n">
        <v>215</v>
      </c>
      <c r="AB289" t="n">
        <v>1</v>
      </c>
      <c r="AC289" t="n">
        <v>1</v>
      </c>
      <c r="AD289" t="n">
        <v>9</v>
      </c>
      <c r="AE289" t="n">
        <v>9</v>
      </c>
      <c r="AF289" t="n">
        <v>4</v>
      </c>
      <c r="AG289" t="n">
        <v>4</v>
      </c>
      <c r="AH289" t="n">
        <v>1</v>
      </c>
      <c r="AI289" t="n">
        <v>1</v>
      </c>
      <c r="AJ289" t="n">
        <v>7</v>
      </c>
      <c r="AK289" t="n">
        <v>7</v>
      </c>
      <c r="AL289" t="n">
        <v>0</v>
      </c>
      <c r="AM289" t="n">
        <v>0</v>
      </c>
      <c r="AN289" t="n">
        <v>0</v>
      </c>
      <c r="AO289" t="n">
        <v>0</v>
      </c>
      <c r="AP289" t="inlineStr">
        <is>
          <t>No</t>
        </is>
      </c>
      <c r="AQ289" t="inlineStr">
        <is>
          <t>No</t>
        </is>
      </c>
      <c r="AS289">
        <f>HYPERLINK("https://creighton-primo.hosted.exlibrisgroup.com/primo-explore/search?tab=default_tab&amp;search_scope=EVERYTHING&amp;vid=01CRU&amp;lang=en_US&amp;offset=0&amp;query=any,contains,991005204399702656","Catalog Record")</f>
        <v/>
      </c>
      <c r="AT289">
        <f>HYPERLINK("http://www.worldcat.org/oclc/8111667","WorldCat Record")</f>
        <v/>
      </c>
      <c r="AU289" t="inlineStr">
        <is>
          <t>2895485305:eng</t>
        </is>
      </c>
      <c r="AV289" t="inlineStr">
        <is>
          <t>8111667</t>
        </is>
      </c>
      <c r="AW289" t="inlineStr">
        <is>
          <t>991005204399702656</t>
        </is>
      </c>
      <c r="AX289" t="inlineStr">
        <is>
          <t>991005204399702656</t>
        </is>
      </c>
      <c r="AY289" t="inlineStr">
        <is>
          <t>2257027700002656</t>
        </is>
      </c>
      <c r="AZ289" t="inlineStr">
        <is>
          <t>BOOK</t>
        </is>
      </c>
      <c r="BC289" t="inlineStr">
        <is>
          <t>32285000843598</t>
        </is>
      </c>
      <c r="BD289" t="inlineStr">
        <is>
          <t>893527093</t>
        </is>
      </c>
    </row>
    <row r="290">
      <c r="A290" t="inlineStr">
        <is>
          <t>No</t>
        </is>
      </c>
      <c r="B290" t="inlineStr">
        <is>
          <t>RA971 .R25 1978</t>
        </is>
      </c>
      <c r="C290" t="inlineStr">
        <is>
          <t>0                      RA 0971000R  25          1978</t>
        </is>
      </c>
      <c r="D290" t="inlineStr">
        <is>
          <t>Hospital organization and management : text and readings / [edited by] Jonathon S. Rakich, Kurt Darr. --</t>
        </is>
      </c>
      <c r="F290" t="inlineStr">
        <is>
          <t>No</t>
        </is>
      </c>
      <c r="G290" t="inlineStr">
        <is>
          <t>1</t>
        </is>
      </c>
      <c r="H290" t="inlineStr">
        <is>
          <t>Yes</t>
        </is>
      </c>
      <c r="I290" t="inlineStr">
        <is>
          <t>No</t>
        </is>
      </c>
      <c r="J290" t="inlineStr">
        <is>
          <t>0</t>
        </is>
      </c>
      <c r="K290" t="inlineStr">
        <is>
          <t>Rakich, Jonathon S., compiler.</t>
        </is>
      </c>
      <c r="L290" t="inlineStr">
        <is>
          <t>Jamaica, N.Y. : Spectrum Publications ; New York : distributed by Halsted Press Division of Wiley, c1978.</t>
        </is>
      </c>
      <c r="M290" t="inlineStr">
        <is>
          <t>1977</t>
        </is>
      </c>
      <c r="N290" t="inlineStr">
        <is>
          <t>2d ed. --</t>
        </is>
      </c>
      <c r="O290" t="inlineStr">
        <is>
          <t>eng</t>
        </is>
      </c>
      <c r="P290" t="inlineStr">
        <is>
          <t>nyu</t>
        </is>
      </c>
      <c r="Q290" t="inlineStr">
        <is>
          <t>Health systems management ; 11</t>
        </is>
      </c>
      <c r="R290" t="inlineStr">
        <is>
          <t xml:space="preserve">RA </t>
        </is>
      </c>
      <c r="S290" t="n">
        <v>8</v>
      </c>
      <c r="T290" t="n">
        <v>10</v>
      </c>
      <c r="U290" t="inlineStr">
        <is>
          <t>1994-06-02</t>
        </is>
      </c>
      <c r="V290" t="inlineStr">
        <is>
          <t>1994-06-02</t>
        </is>
      </c>
      <c r="W290" t="inlineStr">
        <is>
          <t>1991-11-21</t>
        </is>
      </c>
      <c r="X290" t="inlineStr">
        <is>
          <t>1991-11-21</t>
        </is>
      </c>
      <c r="Y290" t="n">
        <v>199</v>
      </c>
      <c r="Z290" t="n">
        <v>159</v>
      </c>
      <c r="AA290" t="n">
        <v>285</v>
      </c>
      <c r="AB290" t="n">
        <v>4</v>
      </c>
      <c r="AC290" t="n">
        <v>5</v>
      </c>
      <c r="AD290" t="n">
        <v>9</v>
      </c>
      <c r="AE290" t="n">
        <v>14</v>
      </c>
      <c r="AF290" t="n">
        <v>1</v>
      </c>
      <c r="AG290" t="n">
        <v>3</v>
      </c>
      <c r="AH290" t="n">
        <v>1</v>
      </c>
      <c r="AI290" t="n">
        <v>2</v>
      </c>
      <c r="AJ290" t="n">
        <v>4</v>
      </c>
      <c r="AK290" t="n">
        <v>8</v>
      </c>
      <c r="AL290" t="n">
        <v>2</v>
      </c>
      <c r="AM290" t="n">
        <v>3</v>
      </c>
      <c r="AN290" t="n">
        <v>1</v>
      </c>
      <c r="AO290" t="n">
        <v>1</v>
      </c>
      <c r="AP290" t="inlineStr">
        <is>
          <t>No</t>
        </is>
      </c>
      <c r="AQ290" t="inlineStr">
        <is>
          <t>Yes</t>
        </is>
      </c>
      <c r="AR290">
        <f>HYPERLINK("http://catalog.hathitrust.org/Record/000294210","HathiTrust Record")</f>
        <v/>
      </c>
      <c r="AS290">
        <f>HYPERLINK("https://creighton-primo.hosted.exlibrisgroup.com/primo-explore/search?tab=default_tab&amp;search_scope=EVERYTHING&amp;vid=01CRU&amp;lang=en_US&amp;offset=0&amp;query=any,contains,991001746869702656","Catalog Record")</f>
        <v/>
      </c>
      <c r="AT290">
        <f>HYPERLINK("http://www.worldcat.org/oclc/3186384","WorldCat Record")</f>
        <v/>
      </c>
      <c r="AU290" t="inlineStr">
        <is>
          <t>836700455:eng</t>
        </is>
      </c>
      <c r="AV290" t="inlineStr">
        <is>
          <t>3186384</t>
        </is>
      </c>
      <c r="AW290" t="inlineStr">
        <is>
          <t>991001746869702656</t>
        </is>
      </c>
      <c r="AX290" t="inlineStr">
        <is>
          <t>991001746869702656</t>
        </is>
      </c>
      <c r="AY290" t="inlineStr">
        <is>
          <t>2260035490002656</t>
        </is>
      </c>
      <c r="AZ290" t="inlineStr">
        <is>
          <t>BOOK</t>
        </is>
      </c>
      <c r="BC290" t="inlineStr">
        <is>
          <t>32285000843580</t>
        </is>
      </c>
      <c r="BD290" t="inlineStr">
        <is>
          <t>893785359</t>
        </is>
      </c>
    </row>
    <row r="291">
      <c r="A291" t="inlineStr">
        <is>
          <t>No</t>
        </is>
      </c>
      <c r="B291" t="inlineStr">
        <is>
          <t>RA971.3 .A76 1984</t>
        </is>
      </c>
      <c r="C291" t="inlineStr">
        <is>
          <t>0                      RA 0971300A  76          1984</t>
        </is>
      </c>
      <c r="D291" t="inlineStr">
        <is>
          <t>The new economics of health care : DRGs, case mix, and length of stay / by Raymond R. Arons.</t>
        </is>
      </c>
      <c r="F291" t="inlineStr">
        <is>
          <t>No</t>
        </is>
      </c>
      <c r="G291" t="inlineStr">
        <is>
          <t>1</t>
        </is>
      </c>
      <c r="H291" t="inlineStr">
        <is>
          <t>No</t>
        </is>
      </c>
      <c r="I291" t="inlineStr">
        <is>
          <t>No</t>
        </is>
      </c>
      <c r="J291" t="inlineStr">
        <is>
          <t>0</t>
        </is>
      </c>
      <c r="K291" t="inlineStr">
        <is>
          <t>Arons, Raymond R.</t>
        </is>
      </c>
      <c r="L291" t="inlineStr">
        <is>
          <t>New York : Praeger, 1984.</t>
        </is>
      </c>
      <c r="M291" t="inlineStr">
        <is>
          <t>1984</t>
        </is>
      </c>
      <c r="O291" t="inlineStr">
        <is>
          <t>eng</t>
        </is>
      </c>
      <c r="P291" t="inlineStr">
        <is>
          <t>nyu</t>
        </is>
      </c>
      <c r="R291" t="inlineStr">
        <is>
          <t xml:space="preserve">RA </t>
        </is>
      </c>
      <c r="S291" t="n">
        <v>4</v>
      </c>
      <c r="T291" t="n">
        <v>4</v>
      </c>
      <c r="U291" t="inlineStr">
        <is>
          <t>2001-08-29</t>
        </is>
      </c>
      <c r="V291" t="inlineStr">
        <is>
          <t>2001-08-29</t>
        </is>
      </c>
      <c r="W291" t="inlineStr">
        <is>
          <t>1992-02-06</t>
        </is>
      </c>
      <c r="X291" t="inlineStr">
        <is>
          <t>1992-02-06</t>
        </is>
      </c>
      <c r="Y291" t="n">
        <v>136</v>
      </c>
      <c r="Z291" t="n">
        <v>133</v>
      </c>
      <c r="AA291" t="n">
        <v>135</v>
      </c>
      <c r="AB291" t="n">
        <v>1</v>
      </c>
      <c r="AC291" t="n">
        <v>1</v>
      </c>
      <c r="AD291" t="n">
        <v>3</v>
      </c>
      <c r="AE291" t="n">
        <v>3</v>
      </c>
      <c r="AF291" t="n">
        <v>1</v>
      </c>
      <c r="AG291" t="n">
        <v>1</v>
      </c>
      <c r="AH291" t="n">
        <v>1</v>
      </c>
      <c r="AI291" t="n">
        <v>1</v>
      </c>
      <c r="AJ291" t="n">
        <v>2</v>
      </c>
      <c r="AK291" t="n">
        <v>2</v>
      </c>
      <c r="AL291" t="n">
        <v>0</v>
      </c>
      <c r="AM291" t="n">
        <v>0</v>
      </c>
      <c r="AN291" t="n">
        <v>0</v>
      </c>
      <c r="AO291" t="n">
        <v>0</v>
      </c>
      <c r="AP291" t="inlineStr">
        <is>
          <t>No</t>
        </is>
      </c>
      <c r="AQ291" t="inlineStr">
        <is>
          <t>Yes</t>
        </is>
      </c>
      <c r="AR291">
        <f>HYPERLINK("http://catalog.hathitrust.org/Record/009496107","HathiTrust Record")</f>
        <v/>
      </c>
      <c r="AS291">
        <f>HYPERLINK("https://creighton-primo.hosted.exlibrisgroup.com/primo-explore/search?tab=default_tab&amp;search_scope=EVERYTHING&amp;vid=01CRU&amp;lang=en_US&amp;offset=0&amp;query=any,contains,991000412479702656","Catalog Record")</f>
        <v/>
      </c>
      <c r="AT291">
        <f>HYPERLINK("http://www.worldcat.org/oclc/10628724","WorldCat Record")</f>
        <v/>
      </c>
      <c r="AU291" t="inlineStr">
        <is>
          <t>285504156:eng</t>
        </is>
      </c>
      <c r="AV291" t="inlineStr">
        <is>
          <t>10628724</t>
        </is>
      </c>
      <c r="AW291" t="inlineStr">
        <is>
          <t>991000412479702656</t>
        </is>
      </c>
      <c r="AX291" t="inlineStr">
        <is>
          <t>991000412479702656</t>
        </is>
      </c>
      <c r="AY291" t="inlineStr">
        <is>
          <t>2260300220002656</t>
        </is>
      </c>
      <c r="AZ291" t="inlineStr">
        <is>
          <t>BOOK</t>
        </is>
      </c>
      <c r="BB291" t="inlineStr">
        <is>
          <t>9780030716638</t>
        </is>
      </c>
      <c r="BC291" t="inlineStr">
        <is>
          <t>32285000934686</t>
        </is>
      </c>
      <c r="BD291" t="inlineStr">
        <is>
          <t>893249320</t>
        </is>
      </c>
    </row>
    <row r="292">
      <c r="A292" t="inlineStr">
        <is>
          <t>No</t>
        </is>
      </c>
      <c r="B292" t="inlineStr">
        <is>
          <t>RA971.3 .H9 1989</t>
        </is>
      </c>
      <c r="C292" t="inlineStr">
        <is>
          <t>0                      RA 0971300H  9           1989</t>
        </is>
      </c>
      <c r="D292" t="inlineStr">
        <is>
          <t>Financial management for health care administrators / Ronald John Hy.</t>
        </is>
      </c>
      <c r="F292" t="inlineStr">
        <is>
          <t>No</t>
        </is>
      </c>
      <c r="G292" t="inlineStr">
        <is>
          <t>1</t>
        </is>
      </c>
      <c r="H292" t="inlineStr">
        <is>
          <t>No</t>
        </is>
      </c>
      <c r="I292" t="inlineStr">
        <is>
          <t>No</t>
        </is>
      </c>
      <c r="J292" t="inlineStr">
        <is>
          <t>0</t>
        </is>
      </c>
      <c r="K292" t="inlineStr">
        <is>
          <t>Hy, Ronald J. (Ronald John)</t>
        </is>
      </c>
      <c r="L292" t="inlineStr">
        <is>
          <t>New York : Quorum Books, 1989.</t>
        </is>
      </c>
      <c r="M292" t="inlineStr">
        <is>
          <t>1989</t>
        </is>
      </c>
      <c r="O292" t="inlineStr">
        <is>
          <t>eng</t>
        </is>
      </c>
      <c r="P292" t="inlineStr">
        <is>
          <t>nyu</t>
        </is>
      </c>
      <c r="R292" t="inlineStr">
        <is>
          <t xml:space="preserve">RA </t>
        </is>
      </c>
      <c r="S292" t="n">
        <v>1</v>
      </c>
      <c r="T292" t="n">
        <v>1</v>
      </c>
      <c r="U292" t="inlineStr">
        <is>
          <t>1992-12-09</t>
        </is>
      </c>
      <c r="V292" t="inlineStr">
        <is>
          <t>1992-12-09</t>
        </is>
      </c>
      <c r="W292" t="inlineStr">
        <is>
          <t>1990-05-24</t>
        </is>
      </c>
      <c r="X292" t="inlineStr">
        <is>
          <t>1990-05-24</t>
        </is>
      </c>
      <c r="Y292" t="n">
        <v>158</v>
      </c>
      <c r="Z292" t="n">
        <v>136</v>
      </c>
      <c r="AA292" t="n">
        <v>136</v>
      </c>
      <c r="AB292" t="n">
        <v>1</v>
      </c>
      <c r="AC292" t="n">
        <v>1</v>
      </c>
      <c r="AD292" t="n">
        <v>4</v>
      </c>
      <c r="AE292" t="n">
        <v>4</v>
      </c>
      <c r="AF292" t="n">
        <v>2</v>
      </c>
      <c r="AG292" t="n">
        <v>2</v>
      </c>
      <c r="AH292" t="n">
        <v>1</v>
      </c>
      <c r="AI292" t="n">
        <v>1</v>
      </c>
      <c r="AJ292" t="n">
        <v>3</v>
      </c>
      <c r="AK292" t="n">
        <v>3</v>
      </c>
      <c r="AL292" t="n">
        <v>0</v>
      </c>
      <c r="AM292" t="n">
        <v>0</v>
      </c>
      <c r="AN292" t="n">
        <v>0</v>
      </c>
      <c r="AO292" t="n">
        <v>0</v>
      </c>
      <c r="AP292" t="inlineStr">
        <is>
          <t>No</t>
        </is>
      </c>
      <c r="AQ292" t="inlineStr">
        <is>
          <t>No</t>
        </is>
      </c>
      <c r="AS292">
        <f>HYPERLINK("https://creighton-primo.hosted.exlibrisgroup.com/primo-explore/search?tab=default_tab&amp;search_scope=EVERYTHING&amp;vid=01CRU&amp;lang=en_US&amp;offset=0&amp;query=any,contains,991001434159702656","Catalog Record")</f>
        <v/>
      </c>
      <c r="AT292">
        <f>HYPERLINK("http://www.worldcat.org/oclc/19125971","WorldCat Record")</f>
        <v/>
      </c>
      <c r="AU292" t="inlineStr">
        <is>
          <t>2925727:eng</t>
        </is>
      </c>
      <c r="AV292" t="inlineStr">
        <is>
          <t>19125971</t>
        </is>
      </c>
      <c r="AW292" t="inlineStr">
        <is>
          <t>991001434159702656</t>
        </is>
      </c>
      <c r="AX292" t="inlineStr">
        <is>
          <t>991001434159702656</t>
        </is>
      </c>
      <c r="AY292" t="inlineStr">
        <is>
          <t>2269836510002656</t>
        </is>
      </c>
      <c r="AZ292" t="inlineStr">
        <is>
          <t>BOOK</t>
        </is>
      </c>
      <c r="BB292" t="inlineStr">
        <is>
          <t>9780899303734</t>
        </is>
      </c>
      <c r="BC292" t="inlineStr">
        <is>
          <t>32285000139948</t>
        </is>
      </c>
      <c r="BD292" t="inlineStr">
        <is>
          <t>893866227</t>
        </is>
      </c>
    </row>
    <row r="293">
      <c r="A293" t="inlineStr">
        <is>
          <t>No</t>
        </is>
      </c>
      <c r="B293" t="inlineStr">
        <is>
          <t>RA971.35 .N67 2000</t>
        </is>
      </c>
      <c r="C293" t="inlineStr">
        <is>
          <t>0                      RA 0971350N  67          2000</t>
        </is>
      </c>
      <c r="D293" t="inlineStr">
        <is>
          <t>Untapped options : building links between marketing and human resources to achieve organizational goals in health care / Bea Northcott, Janette Helm.</t>
        </is>
      </c>
      <c r="F293" t="inlineStr">
        <is>
          <t>No</t>
        </is>
      </c>
      <c r="G293" t="inlineStr">
        <is>
          <t>1</t>
        </is>
      </c>
      <c r="H293" t="inlineStr">
        <is>
          <t>No</t>
        </is>
      </c>
      <c r="I293" t="inlineStr">
        <is>
          <t>No</t>
        </is>
      </c>
      <c r="J293" t="inlineStr">
        <is>
          <t>0</t>
        </is>
      </c>
      <c r="K293" t="inlineStr">
        <is>
          <t>Northcott, Bea.</t>
        </is>
      </c>
      <c r="L293" t="inlineStr">
        <is>
          <t>San Francisco : Jossey-Bass, 2000.</t>
        </is>
      </c>
      <c r="M293" t="inlineStr">
        <is>
          <t>2000</t>
        </is>
      </c>
      <c r="O293" t="inlineStr">
        <is>
          <t>eng</t>
        </is>
      </c>
      <c r="P293" t="inlineStr">
        <is>
          <t>cau</t>
        </is>
      </c>
      <c r="R293" t="inlineStr">
        <is>
          <t xml:space="preserve">RA </t>
        </is>
      </c>
      <c r="S293" t="n">
        <v>2</v>
      </c>
      <c r="T293" t="n">
        <v>2</v>
      </c>
      <c r="U293" t="inlineStr">
        <is>
          <t>2004-10-24</t>
        </is>
      </c>
      <c r="V293" t="inlineStr">
        <is>
          <t>2004-10-24</t>
        </is>
      </c>
      <c r="W293" t="inlineStr">
        <is>
          <t>2003-11-05</t>
        </is>
      </c>
      <c r="X293" t="inlineStr">
        <is>
          <t>2003-11-05</t>
        </is>
      </c>
      <c r="Y293" t="n">
        <v>98</v>
      </c>
      <c r="Z293" t="n">
        <v>83</v>
      </c>
      <c r="AA293" t="n">
        <v>84</v>
      </c>
      <c r="AB293" t="n">
        <v>1</v>
      </c>
      <c r="AC293" t="n">
        <v>1</v>
      </c>
      <c r="AD293" t="n">
        <v>1</v>
      </c>
      <c r="AE293" t="n">
        <v>1</v>
      </c>
      <c r="AF293" t="n">
        <v>0</v>
      </c>
      <c r="AG293" t="n">
        <v>0</v>
      </c>
      <c r="AH293" t="n">
        <v>1</v>
      </c>
      <c r="AI293" t="n">
        <v>1</v>
      </c>
      <c r="AJ293" t="n">
        <v>1</v>
      </c>
      <c r="AK293" t="n">
        <v>1</v>
      </c>
      <c r="AL293" t="n">
        <v>0</v>
      </c>
      <c r="AM293" t="n">
        <v>0</v>
      </c>
      <c r="AN293" t="n">
        <v>0</v>
      </c>
      <c r="AO293" t="n">
        <v>0</v>
      </c>
      <c r="AP293" t="inlineStr">
        <is>
          <t>No</t>
        </is>
      </c>
      <c r="AQ293" t="inlineStr">
        <is>
          <t>Yes</t>
        </is>
      </c>
      <c r="AR293">
        <f>HYPERLINK("http://catalog.hathitrust.org/Record/004112887","HathiTrust Record")</f>
        <v/>
      </c>
      <c r="AS293">
        <f>HYPERLINK("https://creighton-primo.hosted.exlibrisgroup.com/primo-explore/search?tab=default_tab&amp;search_scope=EVERYTHING&amp;vid=01CRU&amp;lang=en_US&amp;offset=0&amp;query=any,contains,991004169619702656","Catalog Record")</f>
        <v/>
      </c>
      <c r="AT293">
        <f>HYPERLINK("http://www.worldcat.org/oclc/43474615","WorldCat Record")</f>
        <v/>
      </c>
      <c r="AU293" t="inlineStr">
        <is>
          <t>45292408:eng</t>
        </is>
      </c>
      <c r="AV293" t="inlineStr">
        <is>
          <t>43474615</t>
        </is>
      </c>
      <c r="AW293" t="inlineStr">
        <is>
          <t>991004169619702656</t>
        </is>
      </c>
      <c r="AX293" t="inlineStr">
        <is>
          <t>991004169619702656</t>
        </is>
      </c>
      <c r="AY293" t="inlineStr">
        <is>
          <t>2260914660002656</t>
        </is>
      </c>
      <c r="AZ293" t="inlineStr">
        <is>
          <t>BOOK</t>
        </is>
      </c>
      <c r="BB293" t="inlineStr">
        <is>
          <t>9780787955373</t>
        </is>
      </c>
      <c r="BC293" t="inlineStr">
        <is>
          <t>32285004793153</t>
        </is>
      </c>
      <c r="BD293" t="inlineStr">
        <is>
          <t>893800675</t>
        </is>
      </c>
    </row>
    <row r="294">
      <c r="A294" t="inlineStr">
        <is>
          <t>No</t>
        </is>
      </c>
      <c r="B294" t="inlineStr">
        <is>
          <t>RA976 .S568 1998</t>
        </is>
      </c>
      <c r="C294" t="inlineStr">
        <is>
          <t>0                      RA 0976000S  568         1998</t>
        </is>
      </c>
      <c r="D294" t="inlineStr">
        <is>
          <t>Health information management : principles and organization for health record services / Margaret A. Skurka.</t>
        </is>
      </c>
      <c r="F294" t="inlineStr">
        <is>
          <t>No</t>
        </is>
      </c>
      <c r="G294" t="inlineStr">
        <is>
          <t>1</t>
        </is>
      </c>
      <c r="H294" t="inlineStr">
        <is>
          <t>No</t>
        </is>
      </c>
      <c r="I294" t="inlineStr">
        <is>
          <t>No</t>
        </is>
      </c>
      <c r="J294" t="inlineStr">
        <is>
          <t>0</t>
        </is>
      </c>
      <c r="K294" t="inlineStr">
        <is>
          <t>Skurka, Margaret Flettre.</t>
        </is>
      </c>
      <c r="L294" t="inlineStr">
        <is>
          <t>Chicago : AHA Press, c1998.</t>
        </is>
      </c>
      <c r="M294" t="inlineStr">
        <is>
          <t>1998</t>
        </is>
      </c>
      <c r="N294" t="inlineStr">
        <is>
          <t>Rev. ed.</t>
        </is>
      </c>
      <c r="O294" t="inlineStr">
        <is>
          <t>eng</t>
        </is>
      </c>
      <c r="P294" t="inlineStr">
        <is>
          <t>ilu</t>
        </is>
      </c>
      <c r="R294" t="inlineStr">
        <is>
          <t xml:space="preserve">RA </t>
        </is>
      </c>
      <c r="S294" t="n">
        <v>2</v>
      </c>
      <c r="T294" t="n">
        <v>2</v>
      </c>
      <c r="U294" t="inlineStr">
        <is>
          <t>1999-01-13</t>
        </is>
      </c>
      <c r="V294" t="inlineStr">
        <is>
          <t>1999-01-13</t>
        </is>
      </c>
      <c r="W294" t="inlineStr">
        <is>
          <t>1998-08-12</t>
        </is>
      </c>
      <c r="X294" t="inlineStr">
        <is>
          <t>1998-08-12</t>
        </is>
      </c>
      <c r="Y294" t="n">
        <v>147</v>
      </c>
      <c r="Z294" t="n">
        <v>130</v>
      </c>
      <c r="AA294" t="n">
        <v>131</v>
      </c>
      <c r="AB294" t="n">
        <v>1</v>
      </c>
      <c r="AC294" t="n">
        <v>1</v>
      </c>
      <c r="AD294" t="n">
        <v>6</v>
      </c>
      <c r="AE294" t="n">
        <v>6</v>
      </c>
      <c r="AF294" t="n">
        <v>3</v>
      </c>
      <c r="AG294" t="n">
        <v>3</v>
      </c>
      <c r="AH294" t="n">
        <v>2</v>
      </c>
      <c r="AI294" t="n">
        <v>2</v>
      </c>
      <c r="AJ294" t="n">
        <v>4</v>
      </c>
      <c r="AK294" t="n">
        <v>4</v>
      </c>
      <c r="AL294" t="n">
        <v>0</v>
      </c>
      <c r="AM294" t="n">
        <v>0</v>
      </c>
      <c r="AN294" t="n">
        <v>0</v>
      </c>
      <c r="AO294" t="n">
        <v>0</v>
      </c>
      <c r="AP294" t="inlineStr">
        <is>
          <t>No</t>
        </is>
      </c>
      <c r="AQ294" t="inlineStr">
        <is>
          <t>Yes</t>
        </is>
      </c>
      <c r="AR294">
        <f>HYPERLINK("http://catalog.hathitrust.org/Record/003979186","HathiTrust Record")</f>
        <v/>
      </c>
      <c r="AS294">
        <f>HYPERLINK("https://creighton-primo.hosted.exlibrisgroup.com/primo-explore/search?tab=default_tab&amp;search_scope=EVERYTHING&amp;vid=01CRU&amp;lang=en_US&amp;offset=0&amp;query=any,contains,991002862329702656","Catalog Record")</f>
        <v/>
      </c>
      <c r="AT294">
        <f>HYPERLINK("http://www.worldcat.org/oclc/37725451","WorldCat Record")</f>
        <v/>
      </c>
      <c r="AU294" t="inlineStr">
        <is>
          <t>3769444815:eng</t>
        </is>
      </c>
      <c r="AV294" t="inlineStr">
        <is>
          <t>37725451</t>
        </is>
      </c>
      <c r="AW294" t="inlineStr">
        <is>
          <t>991002862329702656</t>
        </is>
      </c>
      <c r="AX294" t="inlineStr">
        <is>
          <t>991002862329702656</t>
        </is>
      </c>
      <c r="AY294" t="inlineStr">
        <is>
          <t>2255898990002656</t>
        </is>
      </c>
      <c r="AZ294" t="inlineStr">
        <is>
          <t>BOOK</t>
        </is>
      </c>
      <c r="BB294" t="inlineStr">
        <is>
          <t>9781556482120</t>
        </is>
      </c>
      <c r="BC294" t="inlineStr">
        <is>
          <t>32285003452298</t>
        </is>
      </c>
      <c r="BD294" t="inlineStr">
        <is>
          <t>893504915</t>
        </is>
      </c>
    </row>
    <row r="295">
      <c r="A295" t="inlineStr">
        <is>
          <t>No</t>
        </is>
      </c>
      <c r="B295" t="inlineStr">
        <is>
          <t>RA976 .W37 1983</t>
        </is>
      </c>
      <c r="C295" t="inlineStr">
        <is>
          <t>0                      RA 0976000W  37          1983</t>
        </is>
      </c>
      <c r="D295" t="inlineStr">
        <is>
          <t>Systems analysis and computer applications in health information management / Kathleen A. Waters, Gretchen Frederick Murphy.</t>
        </is>
      </c>
      <c r="F295" t="inlineStr">
        <is>
          <t>No</t>
        </is>
      </c>
      <c r="G295" t="inlineStr">
        <is>
          <t>1</t>
        </is>
      </c>
      <c r="H295" t="inlineStr">
        <is>
          <t>Yes</t>
        </is>
      </c>
      <c r="I295" t="inlineStr">
        <is>
          <t>No</t>
        </is>
      </c>
      <c r="J295" t="inlineStr">
        <is>
          <t>0</t>
        </is>
      </c>
      <c r="K295" t="inlineStr">
        <is>
          <t>Waters, Kathleen A.</t>
        </is>
      </c>
      <c r="L295" t="inlineStr">
        <is>
          <t>Rockville, Md. : Aspen Systems Corp., 1983.</t>
        </is>
      </c>
      <c r="M295" t="inlineStr">
        <is>
          <t>1983</t>
        </is>
      </c>
      <c r="O295" t="inlineStr">
        <is>
          <t>eng</t>
        </is>
      </c>
      <c r="P295" t="inlineStr">
        <is>
          <t>mdu</t>
        </is>
      </c>
      <c r="R295" t="inlineStr">
        <is>
          <t xml:space="preserve">RA </t>
        </is>
      </c>
      <c r="S295" t="n">
        <v>4</v>
      </c>
      <c r="T295" t="n">
        <v>4</v>
      </c>
      <c r="U295" t="inlineStr">
        <is>
          <t>1994-12-01</t>
        </is>
      </c>
      <c r="V295" t="inlineStr">
        <is>
          <t>1994-12-01</t>
        </is>
      </c>
      <c r="W295" t="inlineStr">
        <is>
          <t>1993-03-16</t>
        </is>
      </c>
      <c r="X295" t="inlineStr">
        <is>
          <t>1993-03-16</t>
        </is>
      </c>
      <c r="Y295" t="n">
        <v>218</v>
      </c>
      <c r="Z295" t="n">
        <v>195</v>
      </c>
      <c r="AA295" t="n">
        <v>200</v>
      </c>
      <c r="AB295" t="n">
        <v>2</v>
      </c>
      <c r="AC295" t="n">
        <v>2</v>
      </c>
      <c r="AD295" t="n">
        <v>9</v>
      </c>
      <c r="AE295" t="n">
        <v>9</v>
      </c>
      <c r="AF295" t="n">
        <v>4</v>
      </c>
      <c r="AG295" t="n">
        <v>4</v>
      </c>
      <c r="AH295" t="n">
        <v>1</v>
      </c>
      <c r="AI295" t="n">
        <v>1</v>
      </c>
      <c r="AJ295" t="n">
        <v>7</v>
      </c>
      <c r="AK295" t="n">
        <v>7</v>
      </c>
      <c r="AL295" t="n">
        <v>0</v>
      </c>
      <c r="AM295" t="n">
        <v>0</v>
      </c>
      <c r="AN295" t="n">
        <v>0</v>
      </c>
      <c r="AO295" t="n">
        <v>0</v>
      </c>
      <c r="AP295" t="inlineStr">
        <is>
          <t>No</t>
        </is>
      </c>
      <c r="AQ295" t="inlineStr">
        <is>
          <t>No</t>
        </is>
      </c>
      <c r="AS295">
        <f>HYPERLINK("https://creighton-primo.hosted.exlibrisgroup.com/primo-explore/search?tab=default_tab&amp;search_scope=EVERYTHING&amp;vid=01CRU&amp;lang=en_US&amp;offset=0&amp;query=any,contains,991000086269702656","Catalog Record")</f>
        <v/>
      </c>
      <c r="AT295">
        <f>HYPERLINK("http://www.worldcat.org/oclc/8865954","WorldCat Record")</f>
        <v/>
      </c>
      <c r="AU295" t="inlineStr">
        <is>
          <t>42753265:eng</t>
        </is>
      </c>
      <c r="AV295" t="inlineStr">
        <is>
          <t>8865954</t>
        </is>
      </c>
      <c r="AW295" t="inlineStr">
        <is>
          <t>991000086269702656</t>
        </is>
      </c>
      <c r="AX295" t="inlineStr">
        <is>
          <t>991000086269702656</t>
        </is>
      </c>
      <c r="AY295" t="inlineStr">
        <is>
          <t>2260833960002656</t>
        </is>
      </c>
      <c r="AZ295" t="inlineStr">
        <is>
          <t>BOOK</t>
        </is>
      </c>
      <c r="BB295" t="inlineStr">
        <is>
          <t>9780894438387</t>
        </is>
      </c>
      <c r="BC295" t="inlineStr">
        <is>
          <t>32285001588259</t>
        </is>
      </c>
      <c r="BD295" t="inlineStr">
        <is>
          <t>893249070</t>
        </is>
      </c>
    </row>
    <row r="296">
      <c r="A296" t="inlineStr">
        <is>
          <t>No</t>
        </is>
      </c>
      <c r="B296" t="inlineStr">
        <is>
          <t>RA981.A2 A5 1984</t>
        </is>
      </c>
      <c r="C296" t="inlineStr">
        <is>
          <t>0                      RA 0981000A  2                  A  5           1984</t>
        </is>
      </c>
      <c r="D296" t="inlineStr">
        <is>
          <t>The painful prescription : rationing hospital care / Henry J. Aaron, William Schwartz.</t>
        </is>
      </c>
      <c r="F296" t="inlineStr">
        <is>
          <t>No</t>
        </is>
      </c>
      <c r="G296" t="inlineStr">
        <is>
          <t>1</t>
        </is>
      </c>
      <c r="H296" t="inlineStr">
        <is>
          <t>No</t>
        </is>
      </c>
      <c r="I296" t="inlineStr">
        <is>
          <t>No</t>
        </is>
      </c>
      <c r="J296" t="inlineStr">
        <is>
          <t>0</t>
        </is>
      </c>
      <c r="K296" t="inlineStr">
        <is>
          <t>Aaron, Henry J.</t>
        </is>
      </c>
      <c r="L296" t="inlineStr">
        <is>
          <t>Washington, D.C. : Brookings Institution, c1984.</t>
        </is>
      </c>
      <c r="M296" t="inlineStr">
        <is>
          <t>1984</t>
        </is>
      </c>
      <c r="O296" t="inlineStr">
        <is>
          <t>eng</t>
        </is>
      </c>
      <c r="P296" t="inlineStr">
        <is>
          <t>dcu</t>
        </is>
      </c>
      <c r="Q296" t="inlineStr">
        <is>
          <t>Studies in social economics</t>
        </is>
      </c>
      <c r="R296" t="inlineStr">
        <is>
          <t xml:space="preserve">RA </t>
        </is>
      </c>
      <c r="S296" t="n">
        <v>7</v>
      </c>
      <c r="T296" t="n">
        <v>7</v>
      </c>
      <c r="U296" t="inlineStr">
        <is>
          <t>2005-02-18</t>
        </is>
      </c>
      <c r="V296" t="inlineStr">
        <is>
          <t>2005-02-18</t>
        </is>
      </c>
      <c r="W296" t="inlineStr">
        <is>
          <t>1993-03-17</t>
        </is>
      </c>
      <c r="X296" t="inlineStr">
        <is>
          <t>1993-03-17</t>
        </is>
      </c>
      <c r="Y296" t="n">
        <v>921</v>
      </c>
      <c r="Z296" t="n">
        <v>808</v>
      </c>
      <c r="AA296" t="n">
        <v>815</v>
      </c>
      <c r="AB296" t="n">
        <v>6</v>
      </c>
      <c r="AC296" t="n">
        <v>6</v>
      </c>
      <c r="AD296" t="n">
        <v>36</v>
      </c>
      <c r="AE296" t="n">
        <v>36</v>
      </c>
      <c r="AF296" t="n">
        <v>10</v>
      </c>
      <c r="AG296" t="n">
        <v>10</v>
      </c>
      <c r="AH296" t="n">
        <v>6</v>
      </c>
      <c r="AI296" t="n">
        <v>6</v>
      </c>
      <c r="AJ296" t="n">
        <v>17</v>
      </c>
      <c r="AK296" t="n">
        <v>17</v>
      </c>
      <c r="AL296" t="n">
        <v>3</v>
      </c>
      <c r="AM296" t="n">
        <v>3</v>
      </c>
      <c r="AN296" t="n">
        <v>8</v>
      </c>
      <c r="AO296" t="n">
        <v>8</v>
      </c>
      <c r="AP296" t="inlineStr">
        <is>
          <t>No</t>
        </is>
      </c>
      <c r="AQ296" t="inlineStr">
        <is>
          <t>Yes</t>
        </is>
      </c>
      <c r="AR296">
        <f>HYPERLINK("http://catalog.hathitrust.org/Record/000283224","HathiTrust Record")</f>
        <v/>
      </c>
      <c r="AS296">
        <f>HYPERLINK("https://creighton-primo.hosted.exlibrisgroup.com/primo-explore/search?tab=default_tab&amp;search_scope=EVERYTHING&amp;vid=01CRU&amp;lang=en_US&amp;offset=0&amp;query=any,contains,991000342399702656","Catalog Record")</f>
        <v/>
      </c>
      <c r="AT296">
        <f>HYPERLINK("http://www.worldcat.org/oclc/10274789","WorldCat Record")</f>
        <v/>
      </c>
      <c r="AU296" t="inlineStr">
        <is>
          <t>3295854:eng</t>
        </is>
      </c>
      <c r="AV296" t="inlineStr">
        <is>
          <t>10274789</t>
        </is>
      </c>
      <c r="AW296" t="inlineStr">
        <is>
          <t>991000342399702656</t>
        </is>
      </c>
      <c r="AX296" t="inlineStr">
        <is>
          <t>991000342399702656</t>
        </is>
      </c>
      <c r="AY296" t="inlineStr">
        <is>
          <t>2270318880002656</t>
        </is>
      </c>
      <c r="AZ296" t="inlineStr">
        <is>
          <t>BOOK</t>
        </is>
      </c>
      <c r="BB296" t="inlineStr">
        <is>
          <t>9780815700333</t>
        </is>
      </c>
      <c r="BC296" t="inlineStr">
        <is>
          <t>32285001588283</t>
        </is>
      </c>
      <c r="BD296" t="inlineStr">
        <is>
          <t>893714505</t>
        </is>
      </c>
    </row>
    <row r="297">
      <c r="A297" t="inlineStr">
        <is>
          <t>No</t>
        </is>
      </c>
      <c r="B297" t="inlineStr">
        <is>
          <t>RA981.A2 G54 1981</t>
        </is>
      </c>
      <c r="C297" t="inlineStr">
        <is>
          <t>0                      RA 0981000A  2                  G  54          1981</t>
        </is>
      </c>
      <c r="D297" t="inlineStr">
        <is>
          <t>Can hospitals survive? : the new competitive health care market / Jeff Charles Goldsmith.</t>
        </is>
      </c>
      <c r="F297" t="inlineStr">
        <is>
          <t>No</t>
        </is>
      </c>
      <c r="G297" t="inlineStr">
        <is>
          <t>1</t>
        </is>
      </c>
      <c r="H297" t="inlineStr">
        <is>
          <t>No</t>
        </is>
      </c>
      <c r="I297" t="inlineStr">
        <is>
          <t>No</t>
        </is>
      </c>
      <c r="J297" t="inlineStr">
        <is>
          <t>0</t>
        </is>
      </c>
      <c r="K297" t="inlineStr">
        <is>
          <t>Goldsmith, Jeff Charles.</t>
        </is>
      </c>
      <c r="L297" t="inlineStr">
        <is>
          <t>Homewood, Ill. : Dow Jones-Irwin, c1981.</t>
        </is>
      </c>
      <c r="M297" t="inlineStr">
        <is>
          <t>1981</t>
        </is>
      </c>
      <c r="O297" t="inlineStr">
        <is>
          <t>eng</t>
        </is>
      </c>
      <c r="P297" t="inlineStr">
        <is>
          <t>ilu</t>
        </is>
      </c>
      <c r="R297" t="inlineStr">
        <is>
          <t xml:space="preserve">RA </t>
        </is>
      </c>
      <c r="S297" t="n">
        <v>1</v>
      </c>
      <c r="T297" t="n">
        <v>1</v>
      </c>
      <c r="U297" t="inlineStr">
        <is>
          <t>2006-11-05</t>
        </is>
      </c>
      <c r="V297" t="inlineStr">
        <is>
          <t>2006-11-05</t>
        </is>
      </c>
      <c r="W297" t="inlineStr">
        <is>
          <t>1992-12-15</t>
        </is>
      </c>
      <c r="X297" t="inlineStr">
        <is>
          <t>1992-12-15</t>
        </is>
      </c>
      <c r="Y297" t="n">
        <v>377</v>
      </c>
      <c r="Z297" t="n">
        <v>351</v>
      </c>
      <c r="AA297" t="n">
        <v>352</v>
      </c>
      <c r="AB297" t="n">
        <v>4</v>
      </c>
      <c r="AC297" t="n">
        <v>4</v>
      </c>
      <c r="AD297" t="n">
        <v>17</v>
      </c>
      <c r="AE297" t="n">
        <v>17</v>
      </c>
      <c r="AF297" t="n">
        <v>5</v>
      </c>
      <c r="AG297" t="n">
        <v>5</v>
      </c>
      <c r="AH297" t="n">
        <v>3</v>
      </c>
      <c r="AI297" t="n">
        <v>3</v>
      </c>
      <c r="AJ297" t="n">
        <v>11</v>
      </c>
      <c r="AK297" t="n">
        <v>11</v>
      </c>
      <c r="AL297" t="n">
        <v>2</v>
      </c>
      <c r="AM297" t="n">
        <v>2</v>
      </c>
      <c r="AN297" t="n">
        <v>1</v>
      </c>
      <c r="AO297" t="n">
        <v>1</v>
      </c>
      <c r="AP297" t="inlineStr">
        <is>
          <t>No</t>
        </is>
      </c>
      <c r="AQ297" t="inlineStr">
        <is>
          <t>Yes</t>
        </is>
      </c>
      <c r="AR297">
        <f>HYPERLINK("http://catalog.hathitrust.org/Record/000306135","HathiTrust Record")</f>
        <v/>
      </c>
      <c r="AS297">
        <f>HYPERLINK("https://creighton-primo.hosted.exlibrisgroup.com/primo-explore/search?tab=default_tab&amp;search_scope=EVERYTHING&amp;vid=01CRU&amp;lang=en_US&amp;offset=0&amp;query=any,contains,991005174549702656","Catalog Record")</f>
        <v/>
      </c>
      <c r="AT297">
        <f>HYPERLINK("http://www.worldcat.org/oclc/7900004","WorldCat Record")</f>
        <v/>
      </c>
      <c r="AU297" t="inlineStr">
        <is>
          <t>1216437470:eng</t>
        </is>
      </c>
      <c r="AV297" t="inlineStr">
        <is>
          <t>7900004</t>
        </is>
      </c>
      <c r="AW297" t="inlineStr">
        <is>
          <t>991005174549702656</t>
        </is>
      </c>
      <c r="AX297" t="inlineStr">
        <is>
          <t>991005174549702656</t>
        </is>
      </c>
      <c r="AY297" t="inlineStr">
        <is>
          <t>2269252140002656</t>
        </is>
      </c>
      <c r="AZ297" t="inlineStr">
        <is>
          <t>BOOK</t>
        </is>
      </c>
      <c r="BB297" t="inlineStr">
        <is>
          <t>9780870942488</t>
        </is>
      </c>
      <c r="BC297" t="inlineStr">
        <is>
          <t>32285001441780</t>
        </is>
      </c>
      <c r="BD297" t="inlineStr">
        <is>
          <t>893783147</t>
        </is>
      </c>
    </row>
    <row r="298">
      <c r="A298" t="inlineStr">
        <is>
          <t>No</t>
        </is>
      </c>
      <c r="B298" t="inlineStr">
        <is>
          <t>RA982.B7 V63 1980</t>
        </is>
      </c>
      <c r="C298" t="inlineStr">
        <is>
          <t>0                      RA 0982000B  7                  V  63          1980</t>
        </is>
      </c>
      <c r="D298" t="inlineStr">
        <is>
          <t>The invention of the modern hospital, Boston, 1870-1930 / Morris J. Vogel.</t>
        </is>
      </c>
      <c r="F298" t="inlineStr">
        <is>
          <t>No</t>
        </is>
      </c>
      <c r="G298" t="inlineStr">
        <is>
          <t>1</t>
        </is>
      </c>
      <c r="H298" t="inlineStr">
        <is>
          <t>No</t>
        </is>
      </c>
      <c r="I298" t="inlineStr">
        <is>
          <t>No</t>
        </is>
      </c>
      <c r="J298" t="inlineStr">
        <is>
          <t>0</t>
        </is>
      </c>
      <c r="K298" t="inlineStr">
        <is>
          <t>Vogel, Morris J.</t>
        </is>
      </c>
      <c r="L298" t="inlineStr">
        <is>
          <t>Chicago : University of Chicago Press, c1980.</t>
        </is>
      </c>
      <c r="M298" t="inlineStr">
        <is>
          <t>1980</t>
        </is>
      </c>
      <c r="O298" t="inlineStr">
        <is>
          <t>eng</t>
        </is>
      </c>
      <c r="P298" t="inlineStr">
        <is>
          <t>ilu</t>
        </is>
      </c>
      <c r="R298" t="inlineStr">
        <is>
          <t xml:space="preserve">RA </t>
        </is>
      </c>
      <c r="S298" t="n">
        <v>2</v>
      </c>
      <c r="T298" t="n">
        <v>2</v>
      </c>
      <c r="U298" t="inlineStr">
        <is>
          <t>2010-09-30</t>
        </is>
      </c>
      <c r="V298" t="inlineStr">
        <is>
          <t>2010-09-30</t>
        </is>
      </c>
      <c r="W298" t="inlineStr">
        <is>
          <t>1993-03-17</t>
        </is>
      </c>
      <c r="X298" t="inlineStr">
        <is>
          <t>1993-03-17</t>
        </is>
      </c>
      <c r="Y298" t="n">
        <v>555</v>
      </c>
      <c r="Z298" t="n">
        <v>473</v>
      </c>
      <c r="AA298" t="n">
        <v>480</v>
      </c>
      <c r="AB298" t="n">
        <v>2</v>
      </c>
      <c r="AC298" t="n">
        <v>2</v>
      </c>
      <c r="AD298" t="n">
        <v>19</v>
      </c>
      <c r="AE298" t="n">
        <v>19</v>
      </c>
      <c r="AF298" t="n">
        <v>5</v>
      </c>
      <c r="AG298" t="n">
        <v>5</v>
      </c>
      <c r="AH298" t="n">
        <v>7</v>
      </c>
      <c r="AI298" t="n">
        <v>7</v>
      </c>
      <c r="AJ298" t="n">
        <v>11</v>
      </c>
      <c r="AK298" t="n">
        <v>11</v>
      </c>
      <c r="AL298" t="n">
        <v>1</v>
      </c>
      <c r="AM298" t="n">
        <v>1</v>
      </c>
      <c r="AN298" t="n">
        <v>0</v>
      </c>
      <c r="AO298" t="n">
        <v>0</v>
      </c>
      <c r="AP298" t="inlineStr">
        <is>
          <t>No</t>
        </is>
      </c>
      <c r="AQ298" t="inlineStr">
        <is>
          <t>No</t>
        </is>
      </c>
      <c r="AS298">
        <f>HYPERLINK("https://creighton-primo.hosted.exlibrisgroup.com/primo-explore/search?tab=default_tab&amp;search_scope=EVERYTHING&amp;vid=01CRU&amp;lang=en_US&amp;offset=0&amp;query=any,contains,991004866079702656","Catalog Record")</f>
        <v/>
      </c>
      <c r="AT298">
        <f>HYPERLINK("http://www.worldcat.org/oclc/5726857","WorldCat Record")</f>
        <v/>
      </c>
      <c r="AU298" t="inlineStr">
        <is>
          <t>16207384:eng</t>
        </is>
      </c>
      <c r="AV298" t="inlineStr">
        <is>
          <t>5726857</t>
        </is>
      </c>
      <c r="AW298" t="inlineStr">
        <is>
          <t>991004866079702656</t>
        </is>
      </c>
      <c r="AX298" t="inlineStr">
        <is>
          <t>991004866079702656</t>
        </is>
      </c>
      <c r="AY298" t="inlineStr">
        <is>
          <t>2263351590002656</t>
        </is>
      </c>
      <c r="AZ298" t="inlineStr">
        <is>
          <t>BOOK</t>
        </is>
      </c>
      <c r="BB298" t="inlineStr">
        <is>
          <t>9780226862408</t>
        </is>
      </c>
      <c r="BC298" t="inlineStr">
        <is>
          <t>32285001588317</t>
        </is>
      </c>
      <c r="BD298" t="inlineStr">
        <is>
          <t>893606542</t>
        </is>
      </c>
    </row>
    <row r="299">
      <c r="A299" t="inlineStr">
        <is>
          <t>No</t>
        </is>
      </c>
      <c r="B299" t="inlineStr">
        <is>
          <t>RA990.C5 H46 1984</t>
        </is>
      </c>
      <c r="C299" t="inlineStr">
        <is>
          <t>0                      RA 0990000C  5                  H  46          1984</t>
        </is>
      </c>
      <c r="D299" t="inlineStr">
        <is>
          <t>The Chinese hospital : a socialist work unit / Gail E. Henderson and Myron S. Cohen.</t>
        </is>
      </c>
      <c r="F299" t="inlineStr">
        <is>
          <t>No</t>
        </is>
      </c>
      <c r="G299" t="inlineStr">
        <is>
          <t>1</t>
        </is>
      </c>
      <c r="H299" t="inlineStr">
        <is>
          <t>No</t>
        </is>
      </c>
      <c r="I299" t="inlineStr">
        <is>
          <t>No</t>
        </is>
      </c>
      <c r="J299" t="inlineStr">
        <is>
          <t>0</t>
        </is>
      </c>
      <c r="K299" t="inlineStr">
        <is>
          <t>Henderson, Gail, 1949-</t>
        </is>
      </c>
      <c r="L299" t="inlineStr">
        <is>
          <t>New Haven : Yale University Press, c1984.</t>
        </is>
      </c>
      <c r="M299" t="inlineStr">
        <is>
          <t>1984</t>
        </is>
      </c>
      <c r="O299" t="inlineStr">
        <is>
          <t>eng</t>
        </is>
      </c>
      <c r="P299" t="inlineStr">
        <is>
          <t>ctu</t>
        </is>
      </c>
      <c r="R299" t="inlineStr">
        <is>
          <t xml:space="preserve">RA </t>
        </is>
      </c>
      <c r="S299" t="n">
        <v>3</v>
      </c>
      <c r="T299" t="n">
        <v>3</v>
      </c>
      <c r="U299" t="inlineStr">
        <is>
          <t>1996-12-03</t>
        </is>
      </c>
      <c r="V299" t="inlineStr">
        <is>
          <t>1996-12-03</t>
        </is>
      </c>
      <c r="W299" t="inlineStr">
        <is>
          <t>1993-03-17</t>
        </is>
      </c>
      <c r="X299" t="inlineStr">
        <is>
          <t>1993-03-17</t>
        </is>
      </c>
      <c r="Y299" t="n">
        <v>461</v>
      </c>
      <c r="Z299" t="n">
        <v>376</v>
      </c>
      <c r="AA299" t="n">
        <v>377</v>
      </c>
      <c r="AB299" t="n">
        <v>1</v>
      </c>
      <c r="AC299" t="n">
        <v>1</v>
      </c>
      <c r="AD299" t="n">
        <v>13</v>
      </c>
      <c r="AE299" t="n">
        <v>13</v>
      </c>
      <c r="AF299" t="n">
        <v>5</v>
      </c>
      <c r="AG299" t="n">
        <v>5</v>
      </c>
      <c r="AH299" t="n">
        <v>3</v>
      </c>
      <c r="AI299" t="n">
        <v>3</v>
      </c>
      <c r="AJ299" t="n">
        <v>8</v>
      </c>
      <c r="AK299" t="n">
        <v>8</v>
      </c>
      <c r="AL299" t="n">
        <v>0</v>
      </c>
      <c r="AM299" t="n">
        <v>0</v>
      </c>
      <c r="AN299" t="n">
        <v>0</v>
      </c>
      <c r="AO299" t="n">
        <v>0</v>
      </c>
      <c r="AP299" t="inlineStr">
        <is>
          <t>No</t>
        </is>
      </c>
      <c r="AQ299" t="inlineStr">
        <is>
          <t>No</t>
        </is>
      </c>
      <c r="AS299">
        <f>HYPERLINK("https://creighton-primo.hosted.exlibrisgroup.com/primo-explore/search?tab=default_tab&amp;search_scope=EVERYTHING&amp;vid=01CRU&amp;lang=en_US&amp;offset=0&amp;query=any,contains,991000286029702656","Catalog Record")</f>
        <v/>
      </c>
      <c r="AT299">
        <f>HYPERLINK("http://www.worldcat.org/oclc/9943829","WorldCat Record")</f>
        <v/>
      </c>
      <c r="AU299" t="inlineStr">
        <is>
          <t>836629783:eng</t>
        </is>
      </c>
      <c r="AV299" t="inlineStr">
        <is>
          <t>9943829</t>
        </is>
      </c>
      <c r="AW299" t="inlineStr">
        <is>
          <t>991000286029702656</t>
        </is>
      </c>
      <c r="AX299" t="inlineStr">
        <is>
          <t>991000286029702656</t>
        </is>
      </c>
      <c r="AY299" t="inlineStr">
        <is>
          <t>2260732330002656</t>
        </is>
      </c>
      <c r="AZ299" t="inlineStr">
        <is>
          <t>BOOK</t>
        </is>
      </c>
      <c r="BB299" t="inlineStr">
        <is>
          <t>9780300030631</t>
        </is>
      </c>
      <c r="BC299" t="inlineStr">
        <is>
          <t>32285001588416</t>
        </is>
      </c>
      <c r="BD299" t="inlineStr">
        <is>
          <t>893701996</t>
        </is>
      </c>
    </row>
    <row r="300">
      <c r="A300" t="inlineStr">
        <is>
          <t>No</t>
        </is>
      </c>
      <c r="B300" t="inlineStr">
        <is>
          <t>RA995 .B37 1978</t>
        </is>
      </c>
      <c r="C300" t="inlineStr">
        <is>
          <t>0                      RA 0995000B  37          1978</t>
        </is>
      </c>
      <c r="D300" t="inlineStr">
        <is>
          <t>The ambulance : the story of emergency transportation of sick and wounded through the centuries / Katherine Traver Barkley.</t>
        </is>
      </c>
      <c r="F300" t="inlineStr">
        <is>
          <t>No</t>
        </is>
      </c>
      <c r="G300" t="inlineStr">
        <is>
          <t>1</t>
        </is>
      </c>
      <c r="H300" t="inlineStr">
        <is>
          <t>No</t>
        </is>
      </c>
      <c r="I300" t="inlineStr">
        <is>
          <t>No</t>
        </is>
      </c>
      <c r="J300" t="inlineStr">
        <is>
          <t>0</t>
        </is>
      </c>
      <c r="K300" t="inlineStr">
        <is>
          <t>Barkley, Katherine Traver.</t>
        </is>
      </c>
      <c r="L300" t="inlineStr">
        <is>
          <t>Hicksville, N.Y. : Exposition Press, c1978.</t>
        </is>
      </c>
      <c r="M300" t="inlineStr">
        <is>
          <t>1978</t>
        </is>
      </c>
      <c r="N300" t="inlineStr">
        <is>
          <t>1st ed.</t>
        </is>
      </c>
      <c r="O300" t="inlineStr">
        <is>
          <t>eng</t>
        </is>
      </c>
      <c r="P300" t="inlineStr">
        <is>
          <t>nyu</t>
        </is>
      </c>
      <c r="R300" t="inlineStr">
        <is>
          <t xml:space="preserve">RA </t>
        </is>
      </c>
      <c r="S300" t="n">
        <v>6</v>
      </c>
      <c r="T300" t="n">
        <v>6</v>
      </c>
      <c r="U300" t="inlineStr">
        <is>
          <t>1999-10-10</t>
        </is>
      </c>
      <c r="V300" t="inlineStr">
        <is>
          <t>1999-10-10</t>
        </is>
      </c>
      <c r="W300" t="inlineStr">
        <is>
          <t>1990-01-31</t>
        </is>
      </c>
      <c r="X300" t="inlineStr">
        <is>
          <t>1990-01-31</t>
        </is>
      </c>
      <c r="Y300" t="n">
        <v>131</v>
      </c>
      <c r="Z300" t="n">
        <v>107</v>
      </c>
      <c r="AA300" t="n">
        <v>160</v>
      </c>
      <c r="AB300" t="n">
        <v>1</v>
      </c>
      <c r="AC300" t="n">
        <v>2</v>
      </c>
      <c r="AD300" t="n">
        <v>2</v>
      </c>
      <c r="AE300" t="n">
        <v>2</v>
      </c>
      <c r="AF300" t="n">
        <v>0</v>
      </c>
      <c r="AG300" t="n">
        <v>0</v>
      </c>
      <c r="AH300" t="n">
        <v>2</v>
      </c>
      <c r="AI300" t="n">
        <v>2</v>
      </c>
      <c r="AJ300" t="n">
        <v>1</v>
      </c>
      <c r="AK300" t="n">
        <v>1</v>
      </c>
      <c r="AL300" t="n">
        <v>0</v>
      </c>
      <c r="AM300" t="n">
        <v>0</v>
      </c>
      <c r="AN300" t="n">
        <v>0</v>
      </c>
      <c r="AO300" t="n">
        <v>0</v>
      </c>
      <c r="AP300" t="inlineStr">
        <is>
          <t>No</t>
        </is>
      </c>
      <c r="AQ300" t="inlineStr">
        <is>
          <t>No</t>
        </is>
      </c>
      <c r="AS300">
        <f>HYPERLINK("https://creighton-primo.hosted.exlibrisgroup.com/primo-explore/search?tab=default_tab&amp;search_scope=EVERYTHING&amp;vid=01CRU&amp;lang=en_US&amp;offset=0&amp;query=any,contains,991004620019702656","Catalog Record")</f>
        <v/>
      </c>
      <c r="AT300">
        <f>HYPERLINK("http://www.worldcat.org/oclc/4285067","WorldCat Record")</f>
        <v/>
      </c>
      <c r="AU300" t="inlineStr">
        <is>
          <t>432193:eng</t>
        </is>
      </c>
      <c r="AV300" t="inlineStr">
        <is>
          <t>4285067</t>
        </is>
      </c>
      <c r="AW300" t="inlineStr">
        <is>
          <t>991004620019702656</t>
        </is>
      </c>
      <c r="AX300" t="inlineStr">
        <is>
          <t>991004620019702656</t>
        </is>
      </c>
      <c r="AY300" t="inlineStr">
        <is>
          <t>2255652440002656</t>
        </is>
      </c>
      <c r="AZ300" t="inlineStr">
        <is>
          <t>BOOK</t>
        </is>
      </c>
      <c r="BB300" t="inlineStr">
        <is>
          <t>9780682489836</t>
        </is>
      </c>
      <c r="BC300" t="inlineStr">
        <is>
          <t>32285000031632</t>
        </is>
      </c>
      <c r="BD300" t="inlineStr">
        <is>
          <t>893687939</t>
        </is>
      </c>
    </row>
    <row r="301">
      <c r="A301" t="inlineStr">
        <is>
          <t>No</t>
        </is>
      </c>
      <c r="B301" t="inlineStr">
        <is>
          <t>RA997 .C64 1987</t>
        </is>
      </c>
      <c r="C301" t="inlineStr">
        <is>
          <t>0                      RA 0997000C  64          1987</t>
        </is>
      </c>
      <c r="D301" t="inlineStr">
        <is>
          <t>Continuing care retirement communities : an industry in action : analysis and developing trends, 1987.</t>
        </is>
      </c>
      <c r="F301" t="inlineStr">
        <is>
          <t>No</t>
        </is>
      </c>
      <c r="G301" t="inlineStr">
        <is>
          <t>1</t>
        </is>
      </c>
      <c r="H301" t="inlineStr">
        <is>
          <t>No</t>
        </is>
      </c>
      <c r="I301" t="inlineStr">
        <is>
          <t>No</t>
        </is>
      </c>
      <c r="J301" t="inlineStr">
        <is>
          <t>0</t>
        </is>
      </c>
      <c r="L301" t="inlineStr">
        <is>
          <t>Washington, DC (1129 20th St., NW, Suite 400, Washington 20036-3489) : American Association of Homes for the Aging, c1987.</t>
        </is>
      </c>
      <c r="M301" t="inlineStr">
        <is>
          <t>1987</t>
        </is>
      </c>
      <c r="O301" t="inlineStr">
        <is>
          <t>eng</t>
        </is>
      </c>
      <c r="P301" t="inlineStr">
        <is>
          <t>dcu</t>
        </is>
      </c>
      <c r="R301" t="inlineStr">
        <is>
          <t xml:space="preserve">RA </t>
        </is>
      </c>
      <c r="S301" t="n">
        <v>8</v>
      </c>
      <c r="T301" t="n">
        <v>8</v>
      </c>
      <c r="U301" t="inlineStr">
        <is>
          <t>1995-04-13</t>
        </is>
      </c>
      <c r="V301" t="inlineStr">
        <is>
          <t>1995-04-13</t>
        </is>
      </c>
      <c r="W301" t="inlineStr">
        <is>
          <t>1991-12-17</t>
        </is>
      </c>
      <c r="X301" t="inlineStr">
        <is>
          <t>1991-12-17</t>
        </is>
      </c>
      <c r="Y301" t="n">
        <v>38</v>
      </c>
      <c r="Z301" t="n">
        <v>34</v>
      </c>
      <c r="AA301" t="n">
        <v>48</v>
      </c>
      <c r="AB301" t="n">
        <v>2</v>
      </c>
      <c r="AC301" t="n">
        <v>2</v>
      </c>
      <c r="AD301" t="n">
        <v>2</v>
      </c>
      <c r="AE301" t="n">
        <v>2</v>
      </c>
      <c r="AF301" t="n">
        <v>0</v>
      </c>
      <c r="AG301" t="n">
        <v>0</v>
      </c>
      <c r="AH301" t="n">
        <v>1</v>
      </c>
      <c r="AI301" t="n">
        <v>1</v>
      </c>
      <c r="AJ301" t="n">
        <v>0</v>
      </c>
      <c r="AK301" t="n">
        <v>0</v>
      </c>
      <c r="AL301" t="n">
        <v>1</v>
      </c>
      <c r="AM301" t="n">
        <v>1</v>
      </c>
      <c r="AN301" t="n">
        <v>0</v>
      </c>
      <c r="AO301" t="n">
        <v>0</v>
      </c>
      <c r="AP301" t="inlineStr">
        <is>
          <t>No</t>
        </is>
      </c>
      <c r="AQ301" t="inlineStr">
        <is>
          <t>Yes</t>
        </is>
      </c>
      <c r="AR301">
        <f>HYPERLINK("http://catalog.hathitrust.org/Record/008161300","HathiTrust Record")</f>
        <v/>
      </c>
      <c r="AS301">
        <f>HYPERLINK("https://creighton-primo.hosted.exlibrisgroup.com/primo-explore/search?tab=default_tab&amp;search_scope=EVERYTHING&amp;vid=01CRU&amp;lang=en_US&amp;offset=0&amp;query=any,contains,991001194209702656","Catalog Record")</f>
        <v/>
      </c>
      <c r="AT301">
        <f>HYPERLINK("http://www.worldcat.org/oclc/17264657","WorldCat Record")</f>
        <v/>
      </c>
      <c r="AU301" t="inlineStr">
        <is>
          <t>32211786:eng</t>
        </is>
      </c>
      <c r="AV301" t="inlineStr">
        <is>
          <t>17264657</t>
        </is>
      </c>
      <c r="AW301" t="inlineStr">
        <is>
          <t>991001194209702656</t>
        </is>
      </c>
      <c r="AX301" t="inlineStr">
        <is>
          <t>991001194209702656</t>
        </is>
      </c>
      <c r="AY301" t="inlineStr">
        <is>
          <t>2261959990002656</t>
        </is>
      </c>
      <c r="AZ301" t="inlineStr">
        <is>
          <t>BOOK</t>
        </is>
      </c>
      <c r="BC301" t="inlineStr">
        <is>
          <t>32285000907187</t>
        </is>
      </c>
      <c r="BD301" t="inlineStr">
        <is>
          <t>893602404</t>
        </is>
      </c>
    </row>
    <row r="302">
      <c r="A302" t="inlineStr">
        <is>
          <t>No</t>
        </is>
      </c>
      <c r="B302" t="inlineStr">
        <is>
          <t>RA997 .S63</t>
        </is>
      </c>
      <c r="C302" t="inlineStr">
        <is>
          <t>0                      RA 0997000S  63</t>
        </is>
      </c>
      <c r="D302" t="inlineStr">
        <is>
          <t>An experimental investigation of attitudes of nursing staff toward aged residents of nursing homes / by Virginia Alicia Smith.</t>
        </is>
      </c>
      <c r="F302" t="inlineStr">
        <is>
          <t>No</t>
        </is>
      </c>
      <c r="G302" t="inlineStr">
        <is>
          <t>1</t>
        </is>
      </c>
      <c r="H302" t="inlineStr">
        <is>
          <t>No</t>
        </is>
      </c>
      <c r="I302" t="inlineStr">
        <is>
          <t>No</t>
        </is>
      </c>
      <c r="J302" t="inlineStr">
        <is>
          <t>0</t>
        </is>
      </c>
      <c r="K302" t="inlineStr">
        <is>
          <t>Smith, Virginia Alicia.</t>
        </is>
      </c>
      <c r="M302" t="inlineStr">
        <is>
          <t>1981</t>
        </is>
      </c>
      <c r="O302" t="inlineStr">
        <is>
          <t>eng</t>
        </is>
      </c>
      <c r="P302" t="inlineStr">
        <is>
          <t xml:space="preserve">xx </t>
        </is>
      </c>
      <c r="R302" t="inlineStr">
        <is>
          <t xml:space="preserve">RA </t>
        </is>
      </c>
      <c r="S302" t="n">
        <v>13</v>
      </c>
      <c r="T302" t="n">
        <v>13</v>
      </c>
      <c r="U302" t="inlineStr">
        <is>
          <t>1999-12-07</t>
        </is>
      </c>
      <c r="V302" t="inlineStr">
        <is>
          <t>1999-12-07</t>
        </is>
      </c>
      <c r="W302" t="inlineStr">
        <is>
          <t>1992-02-25</t>
        </is>
      </c>
      <c r="X302" t="inlineStr">
        <is>
          <t>1992-02-25</t>
        </is>
      </c>
      <c r="Y302" t="n">
        <v>3</v>
      </c>
      <c r="Z302" t="n">
        <v>3</v>
      </c>
      <c r="AA302" t="n">
        <v>6</v>
      </c>
      <c r="AB302" t="n">
        <v>1</v>
      </c>
      <c r="AC302" t="n">
        <v>1</v>
      </c>
      <c r="AD302" t="n">
        <v>0</v>
      </c>
      <c r="AE302" t="n">
        <v>0</v>
      </c>
      <c r="AF302" t="n">
        <v>0</v>
      </c>
      <c r="AG302" t="n">
        <v>0</v>
      </c>
      <c r="AH302" t="n">
        <v>0</v>
      </c>
      <c r="AI302" t="n">
        <v>0</v>
      </c>
      <c r="AJ302" t="n">
        <v>0</v>
      </c>
      <c r="AK302" t="n">
        <v>0</v>
      </c>
      <c r="AL302" t="n">
        <v>0</v>
      </c>
      <c r="AM302" t="n">
        <v>0</v>
      </c>
      <c r="AN302" t="n">
        <v>0</v>
      </c>
      <c r="AO302" t="n">
        <v>0</v>
      </c>
      <c r="AP302" t="inlineStr">
        <is>
          <t>No</t>
        </is>
      </c>
      <c r="AQ302" t="inlineStr">
        <is>
          <t>No</t>
        </is>
      </c>
      <c r="AS302">
        <f>HYPERLINK("https://creighton-primo.hosted.exlibrisgroup.com/primo-explore/search?tab=default_tab&amp;search_scope=EVERYTHING&amp;vid=01CRU&amp;lang=en_US&amp;offset=0&amp;query=any,contains,991005169689702656","Catalog Record")</f>
        <v/>
      </c>
      <c r="AT302">
        <f>HYPERLINK("http://www.worldcat.org/oclc/7842300","WorldCat Record")</f>
        <v/>
      </c>
      <c r="AU302" t="inlineStr">
        <is>
          <t>4289651:eng</t>
        </is>
      </c>
      <c r="AV302" t="inlineStr">
        <is>
          <t>7842300</t>
        </is>
      </c>
      <c r="AW302" t="inlineStr">
        <is>
          <t>991005169689702656</t>
        </is>
      </c>
      <c r="AX302" t="inlineStr">
        <is>
          <t>991005169689702656</t>
        </is>
      </c>
      <c r="AY302" t="inlineStr">
        <is>
          <t>2267091250002656</t>
        </is>
      </c>
      <c r="AZ302" t="inlineStr">
        <is>
          <t>BOOK</t>
        </is>
      </c>
      <c r="BC302" t="inlineStr">
        <is>
          <t>32285000982800</t>
        </is>
      </c>
      <c r="BD302" t="inlineStr">
        <is>
          <t>893350848</t>
        </is>
      </c>
    </row>
    <row r="303">
      <c r="A303" t="inlineStr">
        <is>
          <t>No</t>
        </is>
      </c>
      <c r="B303" t="inlineStr">
        <is>
          <t>RA997.5.N7 T5</t>
        </is>
      </c>
      <c r="C303" t="inlineStr">
        <is>
          <t>0                      RA 0997500N  7                  T  5</t>
        </is>
      </c>
      <c r="D303" t="inlineStr">
        <is>
          <t>Nursing homes and public policy : drift and decision in New York State / by William C. Thomas, Jr.</t>
        </is>
      </c>
      <c r="F303" t="inlineStr">
        <is>
          <t>No</t>
        </is>
      </c>
      <c r="G303" t="inlineStr">
        <is>
          <t>1</t>
        </is>
      </c>
      <c r="H303" t="inlineStr">
        <is>
          <t>No</t>
        </is>
      </c>
      <c r="I303" t="inlineStr">
        <is>
          <t>No</t>
        </is>
      </c>
      <c r="J303" t="inlineStr">
        <is>
          <t>0</t>
        </is>
      </c>
      <c r="K303" t="inlineStr">
        <is>
          <t>Thomas, William C.</t>
        </is>
      </c>
      <c r="L303" t="inlineStr">
        <is>
          <t>Ithaca, [N.Y.] : Cornell University Press, [1969]</t>
        </is>
      </c>
      <c r="M303" t="inlineStr">
        <is>
          <t>1969</t>
        </is>
      </c>
      <c r="O303" t="inlineStr">
        <is>
          <t>eng</t>
        </is>
      </c>
      <c r="P303" t="inlineStr">
        <is>
          <t>nyu</t>
        </is>
      </c>
      <c r="R303" t="inlineStr">
        <is>
          <t xml:space="preserve">RA </t>
        </is>
      </c>
      <c r="S303" t="n">
        <v>4</v>
      </c>
      <c r="T303" t="n">
        <v>4</v>
      </c>
      <c r="U303" t="inlineStr">
        <is>
          <t>1998-03-06</t>
        </is>
      </c>
      <c r="V303" t="inlineStr">
        <is>
          <t>1998-03-06</t>
        </is>
      </c>
      <c r="W303" t="inlineStr">
        <is>
          <t>1993-05-05</t>
        </is>
      </c>
      <c r="X303" t="inlineStr">
        <is>
          <t>1993-05-05</t>
        </is>
      </c>
      <c r="Y303" t="n">
        <v>257</v>
      </c>
      <c r="Z303" t="n">
        <v>227</v>
      </c>
      <c r="AA303" t="n">
        <v>229</v>
      </c>
      <c r="AB303" t="n">
        <v>2</v>
      </c>
      <c r="AC303" t="n">
        <v>2</v>
      </c>
      <c r="AD303" t="n">
        <v>8</v>
      </c>
      <c r="AE303" t="n">
        <v>8</v>
      </c>
      <c r="AF303" t="n">
        <v>1</v>
      </c>
      <c r="AG303" t="n">
        <v>1</v>
      </c>
      <c r="AH303" t="n">
        <v>1</v>
      </c>
      <c r="AI303" t="n">
        <v>1</v>
      </c>
      <c r="AJ303" t="n">
        <v>5</v>
      </c>
      <c r="AK303" t="n">
        <v>5</v>
      </c>
      <c r="AL303" t="n">
        <v>1</v>
      </c>
      <c r="AM303" t="n">
        <v>1</v>
      </c>
      <c r="AN303" t="n">
        <v>1</v>
      </c>
      <c r="AO303" t="n">
        <v>1</v>
      </c>
      <c r="AP303" t="inlineStr">
        <is>
          <t>No</t>
        </is>
      </c>
      <c r="AQ303" t="inlineStr">
        <is>
          <t>Yes</t>
        </is>
      </c>
      <c r="AR303">
        <f>HYPERLINK("http://catalog.hathitrust.org/Record/001560368","HathiTrust Record")</f>
        <v/>
      </c>
      <c r="AS303">
        <f>HYPERLINK("https://creighton-primo.hosted.exlibrisgroup.com/primo-explore/search?tab=default_tab&amp;search_scope=EVERYTHING&amp;vid=01CRU&amp;lang=en_US&amp;offset=0&amp;query=any,contains,991005438409702656","Catalog Record")</f>
        <v/>
      </c>
      <c r="AT303">
        <f>HYPERLINK("http://www.worldcat.org/oclc/6028","WorldCat Record")</f>
        <v/>
      </c>
      <c r="AU303" t="inlineStr">
        <is>
          <t>1129320:eng</t>
        </is>
      </c>
      <c r="AV303" t="inlineStr">
        <is>
          <t>6028</t>
        </is>
      </c>
      <c r="AW303" t="inlineStr">
        <is>
          <t>991005438409702656</t>
        </is>
      </c>
      <c r="AX303" t="inlineStr">
        <is>
          <t>991005438409702656</t>
        </is>
      </c>
      <c r="AY303" t="inlineStr">
        <is>
          <t>2265160300002656</t>
        </is>
      </c>
      <c r="AZ303" t="inlineStr">
        <is>
          <t>BOOK</t>
        </is>
      </c>
      <c r="BC303" t="inlineStr">
        <is>
          <t>32285001634764</t>
        </is>
      </c>
      <c r="BD303" t="inlineStr">
        <is>
          <t>893595070</t>
        </is>
      </c>
    </row>
    <row r="304">
      <c r="A304" t="inlineStr">
        <is>
          <t>No</t>
        </is>
      </c>
      <c r="B304" t="inlineStr">
        <is>
          <t>RA395.A3 B27 1999</t>
        </is>
      </c>
      <c r="C304" t="inlineStr">
        <is>
          <t>0                      RA 0395000A  3                  B  27          1999</t>
        </is>
      </c>
      <c r="D304" t="inlineStr">
        <is>
          <t>Understanding the U.S. health services system / Phoebe Lindsey Barton.</t>
        </is>
      </c>
      <c r="F304" t="inlineStr">
        <is>
          <t>No</t>
        </is>
      </c>
      <c r="G304" t="inlineStr">
        <is>
          <t>1</t>
        </is>
      </c>
      <c r="H304" t="inlineStr">
        <is>
          <t>Yes</t>
        </is>
      </c>
      <c r="I304" t="inlineStr">
        <is>
          <t>No</t>
        </is>
      </c>
      <c r="J304" t="inlineStr">
        <is>
          <t>3</t>
        </is>
      </c>
      <c r="K304" t="inlineStr">
        <is>
          <t>Barton, Phoebe Lindsey.</t>
        </is>
      </c>
      <c r="L304" t="inlineStr">
        <is>
          <t>Chicago : Health Administration Press ; Washington, D.C. : AUPHA Press, c1999.</t>
        </is>
      </c>
      <c r="M304" t="inlineStr">
        <is>
          <t>1999</t>
        </is>
      </c>
      <c r="O304" t="inlineStr">
        <is>
          <t>eng</t>
        </is>
      </c>
      <c r="P304" t="inlineStr">
        <is>
          <t>ilu</t>
        </is>
      </c>
      <c r="R304" t="inlineStr">
        <is>
          <t xml:space="preserve">RA </t>
        </is>
      </c>
      <c r="S304" t="n">
        <v>9</v>
      </c>
      <c r="T304" t="n">
        <v>13</v>
      </c>
      <c r="U304" t="inlineStr">
        <is>
          <t>2001-03-20</t>
        </is>
      </c>
      <c r="V304" t="inlineStr">
        <is>
          <t>2002-09-20</t>
        </is>
      </c>
      <c r="W304" t="inlineStr">
        <is>
          <t>2000-02-08</t>
        </is>
      </c>
      <c r="X304" t="inlineStr">
        <is>
          <t>2000-02-23</t>
        </is>
      </c>
      <c r="Y304" t="n">
        <v>157</v>
      </c>
      <c r="Z304" t="n">
        <v>145</v>
      </c>
      <c r="AA304" t="n">
        <v>1465</v>
      </c>
      <c r="AB304" t="n">
        <v>2</v>
      </c>
      <c r="AC304" t="n">
        <v>16</v>
      </c>
      <c r="AD304" t="n">
        <v>7</v>
      </c>
      <c r="AE304" t="n">
        <v>43</v>
      </c>
      <c r="AF304" t="n">
        <v>3</v>
      </c>
      <c r="AG304" t="n">
        <v>11</v>
      </c>
      <c r="AH304" t="n">
        <v>1</v>
      </c>
      <c r="AI304" t="n">
        <v>10</v>
      </c>
      <c r="AJ304" t="n">
        <v>5</v>
      </c>
      <c r="AK304" t="n">
        <v>14</v>
      </c>
      <c r="AL304" t="n">
        <v>0</v>
      </c>
      <c r="AM304" t="n">
        <v>14</v>
      </c>
      <c r="AN304" t="n">
        <v>0</v>
      </c>
      <c r="AO304" t="n">
        <v>1</v>
      </c>
      <c r="AP304" t="inlineStr">
        <is>
          <t>No</t>
        </is>
      </c>
      <c r="AQ304" t="inlineStr">
        <is>
          <t>Yes</t>
        </is>
      </c>
      <c r="AR304">
        <f>HYPERLINK("http://catalog.hathitrust.org/Record/004031282","HathiTrust Record")</f>
        <v/>
      </c>
      <c r="AS304">
        <f>HYPERLINK("https://creighton-primo.hosted.exlibrisgroup.com/primo-explore/search?tab=default_tab&amp;search_scope=EVERYTHING&amp;vid=01CRU&amp;lang=en_US&amp;offset=0&amp;query=any,contains,991001764189702656","Catalog Record")</f>
        <v/>
      </c>
      <c r="AT304">
        <f>HYPERLINK("http://www.worldcat.org/oclc/38752887","WorldCat Record")</f>
        <v/>
      </c>
    </row>
    <row r="305">
      <c r="A305" t="inlineStr">
        <is>
          <t>No</t>
        </is>
      </c>
      <c r="B305" t="inlineStr">
        <is>
          <t>RA395.A3 D676 1996</t>
        </is>
      </c>
      <c r="C305" t="inlineStr">
        <is>
          <t>0                      RA 0395000A  3                  D  676         1996</t>
        </is>
      </c>
      <c r="D305" t="inlineStr">
        <is>
          <t>Back to reform : values, markets, and the health care system / Charles J. Dougherty.</t>
        </is>
      </c>
      <c r="F305" t="inlineStr">
        <is>
          <t>No</t>
        </is>
      </c>
      <c r="G305" t="inlineStr">
        <is>
          <t>1</t>
        </is>
      </c>
      <c r="H305" t="inlineStr">
        <is>
          <t>Yes</t>
        </is>
      </c>
      <c r="I305" t="inlineStr">
        <is>
          <t>No</t>
        </is>
      </c>
      <c r="J305" t="inlineStr">
        <is>
          <t>0</t>
        </is>
      </c>
      <c r="K305" t="inlineStr">
        <is>
          <t>Dougherty, Charles J., 1949-</t>
        </is>
      </c>
      <c r="L305" t="inlineStr">
        <is>
          <t>New York : Oxford University Press, 1996.</t>
        </is>
      </c>
      <c r="M305" t="inlineStr">
        <is>
          <t>1996</t>
        </is>
      </c>
      <c r="O305" t="inlineStr">
        <is>
          <t>eng</t>
        </is>
      </c>
      <c r="P305" t="inlineStr">
        <is>
          <t>nyu</t>
        </is>
      </c>
      <c r="R305" t="inlineStr">
        <is>
          <t xml:space="preserve">RA </t>
        </is>
      </c>
      <c r="S305" t="n">
        <v>19</v>
      </c>
      <c r="T305" t="n">
        <v>32</v>
      </c>
      <c r="U305" t="inlineStr">
        <is>
          <t>1999-03-06</t>
        </is>
      </c>
      <c r="V305" t="inlineStr">
        <is>
          <t>2006-11-27</t>
        </is>
      </c>
      <c r="W305" t="inlineStr">
        <is>
          <t>1996-03-08</t>
        </is>
      </c>
      <c r="X305" t="inlineStr">
        <is>
          <t>2000-06-14</t>
        </is>
      </c>
      <c r="Y305" t="n">
        <v>307</v>
      </c>
      <c r="Z305" t="n">
        <v>257</v>
      </c>
      <c r="AA305" t="n">
        <v>257</v>
      </c>
      <c r="AB305" t="n">
        <v>3</v>
      </c>
      <c r="AC305" t="n">
        <v>3</v>
      </c>
      <c r="AD305" t="n">
        <v>17</v>
      </c>
      <c r="AE305" t="n">
        <v>17</v>
      </c>
      <c r="AF305" t="n">
        <v>4</v>
      </c>
      <c r="AG305" t="n">
        <v>4</v>
      </c>
      <c r="AH305" t="n">
        <v>4</v>
      </c>
      <c r="AI305" t="n">
        <v>4</v>
      </c>
      <c r="AJ305" t="n">
        <v>11</v>
      </c>
      <c r="AK305" t="n">
        <v>11</v>
      </c>
      <c r="AL305" t="n">
        <v>0</v>
      </c>
      <c r="AM305" t="n">
        <v>0</v>
      </c>
      <c r="AN305" t="n">
        <v>4</v>
      </c>
      <c r="AO305" t="n">
        <v>4</v>
      </c>
      <c r="AP305" t="inlineStr">
        <is>
          <t>No</t>
        </is>
      </c>
      <c r="AQ305" t="inlineStr">
        <is>
          <t>No</t>
        </is>
      </c>
      <c r="AS305">
        <f>HYPERLINK("https://creighton-primo.hosted.exlibrisgroup.com/primo-explore/search?tab=default_tab&amp;search_scope=EVERYTHING&amp;vid=01CRU&amp;lang=en_US&amp;offset=0&amp;query=any,contains,991001669779702656","Catalog Record")</f>
        <v/>
      </c>
      <c r="AT305">
        <f>HYPERLINK("http://www.worldcat.org/oclc/33818053","WorldCat Record")</f>
        <v/>
      </c>
    </row>
    <row r="306">
      <c r="A306" t="inlineStr">
        <is>
          <t>No</t>
        </is>
      </c>
      <c r="B306" t="inlineStr">
        <is>
          <t>RA395.A3 I495 1999</t>
        </is>
      </c>
      <c r="C306" t="inlineStr">
        <is>
          <t>0                      RA 0395000A  3                  I  495         1999</t>
        </is>
      </c>
      <c r="D306" t="inlineStr">
        <is>
          <t>Introduction to health services / edited by Stephen J. Williams, Paul R. Torrens.</t>
        </is>
      </c>
      <c r="F306" t="inlineStr">
        <is>
          <t>No</t>
        </is>
      </c>
      <c r="G306" t="inlineStr">
        <is>
          <t>1</t>
        </is>
      </c>
      <c r="H306" t="inlineStr">
        <is>
          <t>Yes</t>
        </is>
      </c>
      <c r="I306" t="inlineStr">
        <is>
          <t>No</t>
        </is>
      </c>
      <c r="J306" t="inlineStr">
        <is>
          <t>0</t>
        </is>
      </c>
      <c r="L306" t="inlineStr">
        <is>
          <t>Albany, [N.Y.] : Delmar, c1999.</t>
        </is>
      </c>
      <c r="M306" t="inlineStr">
        <is>
          <t>1999</t>
        </is>
      </c>
      <c r="N306" t="inlineStr">
        <is>
          <t>5th ed.</t>
        </is>
      </c>
      <c r="O306" t="inlineStr">
        <is>
          <t>eng</t>
        </is>
      </c>
      <c r="P306" t="inlineStr">
        <is>
          <t>nyu</t>
        </is>
      </c>
      <c r="Q306" t="inlineStr">
        <is>
          <t>Delmar series in health services administration</t>
        </is>
      </c>
      <c r="R306" t="inlineStr">
        <is>
          <t xml:space="preserve">RA </t>
        </is>
      </c>
      <c r="S306" t="n">
        <v>8</v>
      </c>
      <c r="T306" t="n">
        <v>12</v>
      </c>
      <c r="U306" t="inlineStr">
        <is>
          <t>2004-07-26</t>
        </is>
      </c>
      <c r="V306" t="inlineStr">
        <is>
          <t>2004-07-26</t>
        </is>
      </c>
      <c r="W306" t="inlineStr">
        <is>
          <t>1999-07-23</t>
        </is>
      </c>
      <c r="X306" t="inlineStr">
        <is>
          <t>1999-07-23</t>
        </is>
      </c>
      <c r="Y306" t="n">
        <v>135</v>
      </c>
      <c r="Z306" t="n">
        <v>114</v>
      </c>
      <c r="AA306" t="n">
        <v>775</v>
      </c>
      <c r="AB306" t="n">
        <v>2</v>
      </c>
      <c r="AC306" t="n">
        <v>2</v>
      </c>
      <c r="AD306" t="n">
        <v>4</v>
      </c>
      <c r="AE306" t="n">
        <v>25</v>
      </c>
      <c r="AF306" t="n">
        <v>3</v>
      </c>
      <c r="AG306" t="n">
        <v>11</v>
      </c>
      <c r="AH306" t="n">
        <v>0</v>
      </c>
      <c r="AI306" t="n">
        <v>7</v>
      </c>
      <c r="AJ306" t="n">
        <v>2</v>
      </c>
      <c r="AK306" t="n">
        <v>12</v>
      </c>
      <c r="AL306" t="n">
        <v>0</v>
      </c>
      <c r="AM306" t="n">
        <v>0</v>
      </c>
      <c r="AN306" t="n">
        <v>0</v>
      </c>
      <c r="AO306" t="n">
        <v>2</v>
      </c>
      <c r="AP306" t="inlineStr">
        <is>
          <t>No</t>
        </is>
      </c>
      <c r="AQ306" t="inlineStr">
        <is>
          <t>Yes</t>
        </is>
      </c>
      <c r="AR306">
        <f>HYPERLINK("http://catalog.hathitrust.org/Record/004032235","HathiTrust Record")</f>
        <v/>
      </c>
      <c r="AS306">
        <f>HYPERLINK("https://creighton-primo.hosted.exlibrisgroup.com/primo-explore/search?tab=default_tab&amp;search_scope=EVERYTHING&amp;vid=01CRU&amp;lang=en_US&amp;offset=0&amp;query=any,contains,991001809269702656","Catalog Record")</f>
        <v/>
      </c>
      <c r="AT306">
        <f>HYPERLINK("http://www.worldcat.org/oclc/39131005","WorldCat Record")</f>
        <v/>
      </c>
    </row>
    <row r="307">
      <c r="A307" t="inlineStr">
        <is>
          <t>No</t>
        </is>
      </c>
      <c r="B307" t="inlineStr">
        <is>
          <t>RA395.A3 J64 1996</t>
        </is>
      </c>
      <c r="C307" t="inlineStr">
        <is>
          <t>0                      RA 0395000A  3                  J  64          1996</t>
        </is>
      </c>
      <c r="D307" t="inlineStr">
        <is>
          <t>The System : the American way of politics at the breaking point / by Haynes Johnson and David S. Broder.</t>
        </is>
      </c>
      <c r="F307" t="inlineStr">
        <is>
          <t>No</t>
        </is>
      </c>
      <c r="G307" t="inlineStr">
        <is>
          <t>1</t>
        </is>
      </c>
      <c r="H307" t="inlineStr">
        <is>
          <t>Yes</t>
        </is>
      </c>
      <c r="I307" t="inlineStr">
        <is>
          <t>No</t>
        </is>
      </c>
      <c r="J307" t="inlineStr">
        <is>
          <t>0</t>
        </is>
      </c>
      <c r="K307" t="inlineStr">
        <is>
          <t>Johnson, Haynes, 1931-2013.</t>
        </is>
      </c>
      <c r="L307" t="inlineStr">
        <is>
          <t>Boston : Little, Brown &amp; Co., c1996.</t>
        </is>
      </c>
      <c r="M307" t="inlineStr">
        <is>
          <t>1996</t>
        </is>
      </c>
      <c r="N307" t="inlineStr">
        <is>
          <t>1st ed.</t>
        </is>
      </c>
      <c r="O307" t="inlineStr">
        <is>
          <t>eng</t>
        </is>
      </c>
      <c r="P307" t="inlineStr">
        <is>
          <t>mau</t>
        </is>
      </c>
      <c r="R307" t="inlineStr">
        <is>
          <t xml:space="preserve">RA </t>
        </is>
      </c>
      <c r="S307" t="n">
        <v>31</v>
      </c>
      <c r="T307" t="n">
        <v>39</v>
      </c>
      <c r="U307" t="inlineStr">
        <is>
          <t>2008-03-18</t>
        </is>
      </c>
      <c r="V307" t="inlineStr">
        <is>
          <t>2008-03-18</t>
        </is>
      </c>
      <c r="W307" t="inlineStr">
        <is>
          <t>2002-01-10</t>
        </is>
      </c>
      <c r="X307" t="inlineStr">
        <is>
          <t>2002-01-10</t>
        </is>
      </c>
      <c r="Y307" t="n">
        <v>985</v>
      </c>
      <c r="Z307" t="n">
        <v>930</v>
      </c>
      <c r="AA307" t="n">
        <v>1035</v>
      </c>
      <c r="AB307" t="n">
        <v>3</v>
      </c>
      <c r="AC307" t="n">
        <v>4</v>
      </c>
      <c r="AD307" t="n">
        <v>24</v>
      </c>
      <c r="AE307" t="n">
        <v>28</v>
      </c>
      <c r="AF307" t="n">
        <v>10</v>
      </c>
      <c r="AG307" t="n">
        <v>11</v>
      </c>
      <c r="AH307" t="n">
        <v>7</v>
      </c>
      <c r="AI307" t="n">
        <v>7</v>
      </c>
      <c r="AJ307" t="n">
        <v>10</v>
      </c>
      <c r="AK307" t="n">
        <v>12</v>
      </c>
      <c r="AL307" t="n">
        <v>1</v>
      </c>
      <c r="AM307" t="n">
        <v>2</v>
      </c>
      <c r="AN307" t="n">
        <v>2</v>
      </c>
      <c r="AO307" t="n">
        <v>2</v>
      </c>
      <c r="AP307" t="inlineStr">
        <is>
          <t>No</t>
        </is>
      </c>
      <c r="AQ307" t="inlineStr">
        <is>
          <t>No</t>
        </is>
      </c>
      <c r="AS307">
        <f>HYPERLINK("https://creighton-primo.hosted.exlibrisgroup.com/primo-explore/search?tab=default_tab&amp;search_scope=EVERYTHING&amp;vid=01CRU&amp;lang=en_US&amp;offset=0&amp;query=any,contains,991001690639702656","Catalog Record")</f>
        <v/>
      </c>
      <c r="AT307">
        <f>HYPERLINK("http://www.worldcat.org/oclc/33899910","WorldCat Record")</f>
        <v/>
      </c>
    </row>
    <row r="308">
      <c r="A308" t="inlineStr">
        <is>
          <t>No</t>
        </is>
      </c>
      <c r="B308" t="inlineStr">
        <is>
          <t>RA395.A3 P298 1993</t>
        </is>
      </c>
      <c r="C308" t="inlineStr">
        <is>
          <t>0                      RA 0395000A  3                  P  298         1993</t>
        </is>
      </c>
      <c r="D308" t="inlineStr">
        <is>
          <t>Health status and health policy : quality of life in health care evaluation and resource allocation / Donald L. Patrick, Pennifer Erickson.</t>
        </is>
      </c>
      <c r="F308" t="inlineStr">
        <is>
          <t>No</t>
        </is>
      </c>
      <c r="G308" t="inlineStr">
        <is>
          <t>1</t>
        </is>
      </c>
      <c r="H308" t="inlineStr">
        <is>
          <t>Yes</t>
        </is>
      </c>
      <c r="I308" t="inlineStr">
        <is>
          <t>No</t>
        </is>
      </c>
      <c r="J308" t="inlineStr">
        <is>
          <t>0</t>
        </is>
      </c>
      <c r="K308" t="inlineStr">
        <is>
          <t>Patrick, Donald L.</t>
        </is>
      </c>
      <c r="L308" t="inlineStr">
        <is>
          <t>New York : Oxford University Press, 1993.</t>
        </is>
      </c>
      <c r="M308" t="inlineStr">
        <is>
          <t>1993</t>
        </is>
      </c>
      <c r="O308" t="inlineStr">
        <is>
          <t>eng</t>
        </is>
      </c>
      <c r="P308" t="inlineStr">
        <is>
          <t>nyu</t>
        </is>
      </c>
      <c r="R308" t="inlineStr">
        <is>
          <t xml:space="preserve">RA </t>
        </is>
      </c>
      <c r="S308" t="n">
        <v>9</v>
      </c>
      <c r="T308" t="n">
        <v>15</v>
      </c>
      <c r="U308" t="inlineStr">
        <is>
          <t>1995-04-20</t>
        </is>
      </c>
      <c r="V308" t="inlineStr">
        <is>
          <t>2006-09-22</t>
        </is>
      </c>
      <c r="W308" t="inlineStr">
        <is>
          <t>1993-01-21</t>
        </is>
      </c>
      <c r="X308" t="inlineStr">
        <is>
          <t>1994-05-26</t>
        </is>
      </c>
      <c r="Y308" t="n">
        <v>404</v>
      </c>
      <c r="Z308" t="n">
        <v>297</v>
      </c>
      <c r="AA308" t="n">
        <v>304</v>
      </c>
      <c r="AB308" t="n">
        <v>3</v>
      </c>
      <c r="AC308" t="n">
        <v>3</v>
      </c>
      <c r="AD308" t="n">
        <v>14</v>
      </c>
      <c r="AE308" t="n">
        <v>14</v>
      </c>
      <c r="AF308" t="n">
        <v>6</v>
      </c>
      <c r="AG308" t="n">
        <v>6</v>
      </c>
      <c r="AH308" t="n">
        <v>5</v>
      </c>
      <c r="AI308" t="n">
        <v>5</v>
      </c>
      <c r="AJ308" t="n">
        <v>7</v>
      </c>
      <c r="AK308" t="n">
        <v>7</v>
      </c>
      <c r="AL308" t="n">
        <v>1</v>
      </c>
      <c r="AM308" t="n">
        <v>1</v>
      </c>
      <c r="AN308" t="n">
        <v>0</v>
      </c>
      <c r="AO308" t="n">
        <v>0</v>
      </c>
      <c r="AP308" t="inlineStr">
        <is>
          <t>No</t>
        </is>
      </c>
      <c r="AQ308" t="inlineStr">
        <is>
          <t>Yes</t>
        </is>
      </c>
      <c r="AR308">
        <f>HYPERLINK("http://catalog.hathitrust.org/Record/004547185","HathiTrust Record")</f>
        <v/>
      </c>
      <c r="AS308">
        <f>HYPERLINK("https://creighton-primo.hosted.exlibrisgroup.com/primo-explore/search?tab=default_tab&amp;search_scope=EVERYTHING&amp;vid=01CRU&amp;lang=en_US&amp;offset=0&amp;query=any,contains,991001799799702656","Catalog Record")</f>
        <v/>
      </c>
      <c r="AT308">
        <f>HYPERLINK("http://www.worldcat.org/oclc/25372498","WorldCat Record")</f>
        <v/>
      </c>
    </row>
    <row r="309">
      <c r="A309" t="inlineStr">
        <is>
          <t>No</t>
        </is>
      </c>
      <c r="B309" t="inlineStr">
        <is>
          <t>RA395.A3 R626 1998</t>
        </is>
      </c>
      <c r="C309" t="inlineStr">
        <is>
          <t>0                      RA 0395000A  3                  R  626         1998</t>
        </is>
      </c>
      <c r="D309" t="inlineStr">
        <is>
          <t>An introduction to the U.S. health care system / Steven Jonas.</t>
        </is>
      </c>
      <c r="F309" t="inlineStr">
        <is>
          <t>No</t>
        </is>
      </c>
      <c r="G309" t="inlineStr">
        <is>
          <t>1</t>
        </is>
      </c>
      <c r="H309" t="inlineStr">
        <is>
          <t>Yes</t>
        </is>
      </c>
      <c r="I309" t="inlineStr">
        <is>
          <t>Yes</t>
        </is>
      </c>
      <c r="J309" t="inlineStr">
        <is>
          <t>0</t>
        </is>
      </c>
      <c r="K309" t="inlineStr">
        <is>
          <t>Jonas, Steven.</t>
        </is>
      </c>
      <c r="L309" t="inlineStr">
        <is>
          <t>New York : Springer Pub. Co., c1998.</t>
        </is>
      </c>
      <c r="M309" t="inlineStr">
        <is>
          <t>1998</t>
        </is>
      </c>
      <c r="N309" t="inlineStr">
        <is>
          <t>4th ed.</t>
        </is>
      </c>
      <c r="O309" t="inlineStr">
        <is>
          <t>eng</t>
        </is>
      </c>
      <c r="P309" t="inlineStr">
        <is>
          <t>nyu</t>
        </is>
      </c>
      <c r="R309" t="inlineStr">
        <is>
          <t xml:space="preserve">RA </t>
        </is>
      </c>
      <c r="S309" t="n">
        <v>1</v>
      </c>
      <c r="T309" t="n">
        <v>17</v>
      </c>
      <c r="U309" t="inlineStr">
        <is>
          <t>2017-03-09</t>
        </is>
      </c>
      <c r="V309" t="inlineStr">
        <is>
          <t>2009-11-15</t>
        </is>
      </c>
      <c r="W309" t="inlineStr">
        <is>
          <t>2004-08-27</t>
        </is>
      </c>
      <c r="X309" t="inlineStr">
        <is>
          <t>2004-08-27</t>
        </is>
      </c>
      <c r="Y309" t="n">
        <v>260</v>
      </c>
      <c r="Z309" t="n">
        <v>246</v>
      </c>
      <c r="AA309" t="n">
        <v>1011</v>
      </c>
      <c r="AB309" t="n">
        <v>2</v>
      </c>
      <c r="AC309" t="n">
        <v>7</v>
      </c>
      <c r="AD309" t="n">
        <v>10</v>
      </c>
      <c r="AE309" t="n">
        <v>40</v>
      </c>
      <c r="AF309" t="n">
        <v>4</v>
      </c>
      <c r="AG309" t="n">
        <v>18</v>
      </c>
      <c r="AH309" t="n">
        <v>2</v>
      </c>
      <c r="AI309" t="n">
        <v>9</v>
      </c>
      <c r="AJ309" t="n">
        <v>7</v>
      </c>
      <c r="AK309" t="n">
        <v>15</v>
      </c>
      <c r="AL309" t="n">
        <v>0</v>
      </c>
      <c r="AM309" t="n">
        <v>5</v>
      </c>
      <c r="AN309" t="n">
        <v>0</v>
      </c>
      <c r="AO309" t="n">
        <v>1</v>
      </c>
      <c r="AP309" t="inlineStr">
        <is>
          <t>No</t>
        </is>
      </c>
      <c r="AQ309" t="inlineStr">
        <is>
          <t>Yes</t>
        </is>
      </c>
      <c r="AR309">
        <f>HYPERLINK("http://catalog.hathitrust.org/Record/003960787","HathiTrust Record")</f>
        <v/>
      </c>
      <c r="AS309">
        <f>HYPERLINK("https://creighton-primo.hosted.exlibrisgroup.com/primo-explore/search?tab=default_tab&amp;search_scope=EVERYTHING&amp;vid=01CRU&amp;lang=en_US&amp;offset=0&amp;query=any,contains,991001692379702656","Catalog Record")</f>
        <v/>
      </c>
      <c r="AT309">
        <f>HYPERLINK("http://www.worldcat.org/oclc/37180922","WorldCat Record")</f>
        <v/>
      </c>
    </row>
    <row r="310">
      <c r="A310" t="inlineStr">
        <is>
          <t>No</t>
        </is>
      </c>
      <c r="B310" t="inlineStr">
        <is>
          <t>RA395.A3 R86</t>
        </is>
      </c>
      <c r="C310" t="inlineStr">
        <is>
          <t>0                      RA 0395000A  3                  R  86</t>
        </is>
      </c>
      <c r="D310" t="inlineStr">
        <is>
          <t>Humanizing health care : alternative futures for medicine / Robert F. Rushmer.</t>
        </is>
      </c>
      <c r="F310" t="inlineStr">
        <is>
          <t>No</t>
        </is>
      </c>
      <c r="G310" t="inlineStr">
        <is>
          <t>1</t>
        </is>
      </c>
      <c r="H310" t="inlineStr">
        <is>
          <t>Yes</t>
        </is>
      </c>
      <c r="I310" t="inlineStr">
        <is>
          <t>No</t>
        </is>
      </c>
      <c r="J310" t="inlineStr">
        <is>
          <t>0</t>
        </is>
      </c>
      <c r="K310" t="inlineStr">
        <is>
          <t>Rushmer, Robert F. (Robert Frazer), 1914-2001.</t>
        </is>
      </c>
      <c r="L310" t="inlineStr">
        <is>
          <t>Cambridge, Mass. : MIT Press, [1975]</t>
        </is>
      </c>
      <c r="M310" t="inlineStr">
        <is>
          <t>1975</t>
        </is>
      </c>
      <c r="N310" t="inlineStr">
        <is>
          <t>[1st ed.]</t>
        </is>
      </c>
      <c r="O310" t="inlineStr">
        <is>
          <t>eng</t>
        </is>
      </c>
      <c r="P310" t="inlineStr">
        <is>
          <t>mau</t>
        </is>
      </c>
      <c r="R310" t="inlineStr">
        <is>
          <t xml:space="preserve">RA </t>
        </is>
      </c>
      <c r="S310" t="n">
        <v>1</v>
      </c>
      <c r="T310" t="n">
        <v>12</v>
      </c>
      <c r="U310" t="inlineStr">
        <is>
          <t>1996-07-15</t>
        </is>
      </c>
      <c r="V310" t="inlineStr">
        <is>
          <t>2000-03-23</t>
        </is>
      </c>
      <c r="W310" t="inlineStr">
        <is>
          <t>1987-12-22</t>
        </is>
      </c>
      <c r="X310" t="inlineStr">
        <is>
          <t>1992-04-02</t>
        </is>
      </c>
      <c r="Y310" t="n">
        <v>423</v>
      </c>
      <c r="Z310" t="n">
        <v>366</v>
      </c>
      <c r="AA310" t="n">
        <v>386</v>
      </c>
      <c r="AB310" t="n">
        <v>5</v>
      </c>
      <c r="AC310" t="n">
        <v>5</v>
      </c>
      <c r="AD310" t="n">
        <v>13</v>
      </c>
      <c r="AE310" t="n">
        <v>14</v>
      </c>
      <c r="AF310" t="n">
        <v>2</v>
      </c>
      <c r="AG310" t="n">
        <v>2</v>
      </c>
      <c r="AH310" t="n">
        <v>4</v>
      </c>
      <c r="AI310" t="n">
        <v>4</v>
      </c>
      <c r="AJ310" t="n">
        <v>7</v>
      </c>
      <c r="AK310" t="n">
        <v>8</v>
      </c>
      <c r="AL310" t="n">
        <v>3</v>
      </c>
      <c r="AM310" t="n">
        <v>3</v>
      </c>
      <c r="AN310" t="n">
        <v>1</v>
      </c>
      <c r="AO310" t="n">
        <v>1</v>
      </c>
      <c r="AP310" t="inlineStr">
        <is>
          <t>No</t>
        </is>
      </c>
      <c r="AQ310" t="inlineStr">
        <is>
          <t>Yes</t>
        </is>
      </c>
      <c r="AR310">
        <f>HYPERLINK("http://catalog.hathitrust.org/Record/000042737","HathiTrust Record")</f>
        <v/>
      </c>
      <c r="AS310">
        <f>HYPERLINK("https://creighton-primo.hosted.exlibrisgroup.com/primo-explore/search?tab=default_tab&amp;search_scope=EVERYTHING&amp;vid=01CRU&amp;lang=en_US&amp;offset=0&amp;query=any,contains,991001753079702656","Catalog Record")</f>
        <v/>
      </c>
      <c r="AT310">
        <f>HYPERLINK("http://www.worldcat.org/oclc/1177679","WorldCat Record")</f>
        <v/>
      </c>
    </row>
    <row r="311">
      <c r="A311" t="inlineStr">
        <is>
          <t>No</t>
        </is>
      </c>
      <c r="B311" t="inlineStr">
        <is>
          <t>RA395.A3 S75</t>
        </is>
      </c>
      <c r="C311" t="inlineStr">
        <is>
          <t>0                      RA 0395000A  3                  S  75</t>
        </is>
      </c>
      <c r="D311" t="inlineStr">
        <is>
          <t>Health and health care : policies in perspective / Anne R. Somers, Herman M. Somers.</t>
        </is>
      </c>
      <c r="F311" t="inlineStr">
        <is>
          <t>No</t>
        </is>
      </c>
      <c r="G311" t="inlineStr">
        <is>
          <t>1</t>
        </is>
      </c>
      <c r="H311" t="inlineStr">
        <is>
          <t>Yes</t>
        </is>
      </c>
      <c r="I311" t="inlineStr">
        <is>
          <t>No</t>
        </is>
      </c>
      <c r="J311" t="inlineStr">
        <is>
          <t>0</t>
        </is>
      </c>
      <c r="K311" t="inlineStr">
        <is>
          <t>Somers, Anne Ramsay.</t>
        </is>
      </c>
      <c r="L311" t="inlineStr">
        <is>
          <t>Germantown, Md. : Aspen Systems Corp., 1977.</t>
        </is>
      </c>
      <c r="M311" t="inlineStr">
        <is>
          <t>1977</t>
        </is>
      </c>
      <c r="O311" t="inlineStr">
        <is>
          <t>eng</t>
        </is>
      </c>
      <c r="P311" t="inlineStr">
        <is>
          <t>mdu</t>
        </is>
      </c>
      <c r="R311" t="inlineStr">
        <is>
          <t xml:space="preserve">RA </t>
        </is>
      </c>
      <c r="S311" t="n">
        <v>4</v>
      </c>
      <c r="T311" t="n">
        <v>4</v>
      </c>
      <c r="U311" t="inlineStr">
        <is>
          <t>1992-12-04</t>
        </is>
      </c>
      <c r="V311" t="inlineStr">
        <is>
          <t>1992-12-04</t>
        </is>
      </c>
      <c r="W311" t="inlineStr">
        <is>
          <t>1988-01-05</t>
        </is>
      </c>
      <c r="X311" t="inlineStr">
        <is>
          <t>1997-08-08</t>
        </is>
      </c>
      <c r="Y311" t="n">
        <v>377</v>
      </c>
      <c r="Z311" t="n">
        <v>343</v>
      </c>
      <c r="AA311" t="n">
        <v>351</v>
      </c>
      <c r="AB311" t="n">
        <v>4</v>
      </c>
      <c r="AC311" t="n">
        <v>4</v>
      </c>
      <c r="AD311" t="n">
        <v>13</v>
      </c>
      <c r="AE311" t="n">
        <v>13</v>
      </c>
      <c r="AF311" t="n">
        <v>3</v>
      </c>
      <c r="AG311" t="n">
        <v>3</v>
      </c>
      <c r="AH311" t="n">
        <v>4</v>
      </c>
      <c r="AI311" t="n">
        <v>4</v>
      </c>
      <c r="AJ311" t="n">
        <v>7</v>
      </c>
      <c r="AK311" t="n">
        <v>7</v>
      </c>
      <c r="AL311" t="n">
        <v>2</v>
      </c>
      <c r="AM311" t="n">
        <v>2</v>
      </c>
      <c r="AN311" t="n">
        <v>1</v>
      </c>
      <c r="AO311" t="n">
        <v>1</v>
      </c>
      <c r="AP311" t="inlineStr">
        <is>
          <t>No</t>
        </is>
      </c>
      <c r="AQ311" t="inlineStr">
        <is>
          <t>Yes</t>
        </is>
      </c>
      <c r="AR311">
        <f>HYPERLINK("http://catalog.hathitrust.org/Record/000293596","HathiTrust Record")</f>
        <v/>
      </c>
      <c r="AS311">
        <f>HYPERLINK("https://creighton-primo.hosted.exlibrisgroup.com/primo-explore/search?tab=default_tab&amp;search_scope=EVERYTHING&amp;vid=01CRU&amp;lang=en_US&amp;offset=0&amp;query=any,contains,991001752969702656","Catalog Record")</f>
        <v/>
      </c>
      <c r="AT311">
        <f>HYPERLINK("http://www.worldcat.org/oclc/3168384","WorldCat Record")</f>
        <v/>
      </c>
    </row>
    <row r="312">
      <c r="A312" t="inlineStr">
        <is>
          <t>No</t>
        </is>
      </c>
      <c r="B312" t="inlineStr">
        <is>
          <t>RA395.A4 W273 1995</t>
        </is>
      </c>
      <c r="C312" t="inlineStr">
        <is>
          <t>0                      RA 0395000A  4                  W  273         1995</t>
        </is>
      </c>
      <c r="D312" t="inlineStr">
        <is>
          <t>Voices of the communities : a survey of health care experiences of 22 medically underserved communities in the Seattle area : survey highlights / conducted under the auspices of the Cross Cultural Health Care Program at Pacific Medical Center.</t>
        </is>
      </c>
      <c r="F312" t="inlineStr">
        <is>
          <t>No</t>
        </is>
      </c>
      <c r="G312" t="inlineStr">
        <is>
          <t>1</t>
        </is>
      </c>
      <c r="H312" t="inlineStr">
        <is>
          <t>No</t>
        </is>
      </c>
      <c r="I312" t="inlineStr">
        <is>
          <t>No</t>
        </is>
      </c>
      <c r="J312" t="inlineStr">
        <is>
          <t>0</t>
        </is>
      </c>
      <c r="L312" t="inlineStr">
        <is>
          <t>Seattle, WA : The Program, 1995.</t>
        </is>
      </c>
      <c r="M312" t="inlineStr">
        <is>
          <t>1995</t>
        </is>
      </c>
      <c r="O312" t="inlineStr">
        <is>
          <t>eng</t>
        </is>
      </c>
      <c r="P312" t="inlineStr">
        <is>
          <t>wau</t>
        </is>
      </c>
      <c r="Q312" t="inlineStr">
        <is>
          <t>Voices</t>
        </is>
      </c>
      <c r="R312" t="inlineStr">
        <is>
          <t xml:space="preserve">RA </t>
        </is>
      </c>
      <c r="S312" t="n">
        <v>0</v>
      </c>
      <c r="T312" t="n">
        <v>0</v>
      </c>
      <c r="U312" t="inlineStr">
        <is>
          <t>2004-09-30</t>
        </is>
      </c>
      <c r="V312" t="inlineStr">
        <is>
          <t>2004-09-30</t>
        </is>
      </c>
      <c r="W312" t="inlineStr">
        <is>
          <t>2004-09-29</t>
        </is>
      </c>
      <c r="X312" t="inlineStr">
        <is>
          <t>2004-09-29</t>
        </is>
      </c>
      <c r="Y312" t="n">
        <v>13</v>
      </c>
      <c r="Z312" t="n">
        <v>12</v>
      </c>
      <c r="AA312" t="n">
        <v>12</v>
      </c>
      <c r="AB312" t="n">
        <v>1</v>
      </c>
      <c r="AC312" t="n">
        <v>1</v>
      </c>
      <c r="AD312" t="n">
        <v>0</v>
      </c>
      <c r="AE312" t="n">
        <v>0</v>
      </c>
      <c r="AF312" t="n">
        <v>0</v>
      </c>
      <c r="AG312" t="n">
        <v>0</v>
      </c>
      <c r="AH312" t="n">
        <v>0</v>
      </c>
      <c r="AI312" t="n">
        <v>0</v>
      </c>
      <c r="AJ312" t="n">
        <v>0</v>
      </c>
      <c r="AK312" t="n">
        <v>0</v>
      </c>
      <c r="AL312" t="n">
        <v>0</v>
      </c>
      <c r="AM312" t="n">
        <v>0</v>
      </c>
      <c r="AN312" t="n">
        <v>0</v>
      </c>
      <c r="AO312" t="n">
        <v>0</v>
      </c>
      <c r="AP312" t="inlineStr">
        <is>
          <t>No</t>
        </is>
      </c>
      <c r="AQ312" t="inlineStr">
        <is>
          <t>No</t>
        </is>
      </c>
      <c r="AS312">
        <f>HYPERLINK("https://creighton-primo.hosted.exlibrisgroup.com/primo-explore/search?tab=default_tab&amp;search_scope=EVERYTHING&amp;vid=01CRU&amp;lang=en_US&amp;offset=0&amp;query=any,contains,991000399079702656","Catalog Record")</f>
        <v/>
      </c>
      <c r="AT312">
        <f>HYPERLINK("http://www.worldcat.org/oclc/37834350","WorldCat Record")</f>
        <v/>
      </c>
    </row>
    <row r="313">
      <c r="A313" t="inlineStr">
        <is>
          <t>No</t>
        </is>
      </c>
      <c r="B313" t="inlineStr">
        <is>
          <t>RA407 .S46 2003</t>
        </is>
      </c>
      <c r="C313" t="inlineStr">
        <is>
          <t>0                      RA 0407000S  46          2003</t>
        </is>
      </c>
      <c r="D313" t="inlineStr">
        <is>
          <t>Dicing with death : chance, risk, and health / Stephen Senn.</t>
        </is>
      </c>
      <c r="F313" t="inlineStr">
        <is>
          <t>No</t>
        </is>
      </c>
      <c r="G313" t="inlineStr">
        <is>
          <t>1</t>
        </is>
      </c>
      <c r="H313" t="inlineStr">
        <is>
          <t>Yes</t>
        </is>
      </c>
      <c r="I313" t="inlineStr">
        <is>
          <t>No</t>
        </is>
      </c>
      <c r="J313" t="inlineStr">
        <is>
          <t>1</t>
        </is>
      </c>
      <c r="K313" t="inlineStr">
        <is>
          <t>Senn, Stephen.</t>
        </is>
      </c>
      <c r="L313" t="inlineStr">
        <is>
          <t>New York : Cambridge University Press, 2003.</t>
        </is>
      </c>
      <c r="M313" t="inlineStr">
        <is>
          <t>2003</t>
        </is>
      </c>
      <c r="O313" t="inlineStr">
        <is>
          <t>eng</t>
        </is>
      </c>
      <c r="P313" t="inlineStr">
        <is>
          <t>nyu</t>
        </is>
      </c>
      <c r="R313" t="inlineStr">
        <is>
          <t xml:space="preserve">RA </t>
        </is>
      </c>
      <c r="S313" t="n">
        <v>1</v>
      </c>
      <c r="T313" t="n">
        <v>2</v>
      </c>
      <c r="U313" t="inlineStr">
        <is>
          <t>2004-12-28</t>
        </is>
      </c>
      <c r="V313" t="inlineStr">
        <is>
          <t>2004-12-28</t>
        </is>
      </c>
      <c r="W313" t="inlineStr">
        <is>
          <t>2004-10-08</t>
        </is>
      </c>
      <c r="X313" t="inlineStr">
        <is>
          <t>2004-10-08</t>
        </is>
      </c>
      <c r="Y313" t="n">
        <v>392</v>
      </c>
      <c r="Z313" t="n">
        <v>262</v>
      </c>
      <c r="AA313" t="n">
        <v>1054</v>
      </c>
      <c r="AB313" t="n">
        <v>4</v>
      </c>
      <c r="AC313" t="n">
        <v>15</v>
      </c>
      <c r="AD313" t="n">
        <v>18</v>
      </c>
      <c r="AE313" t="n">
        <v>42</v>
      </c>
      <c r="AF313" t="n">
        <v>5</v>
      </c>
      <c r="AG313" t="n">
        <v>12</v>
      </c>
      <c r="AH313" t="n">
        <v>8</v>
      </c>
      <c r="AI313" t="n">
        <v>11</v>
      </c>
      <c r="AJ313" t="n">
        <v>8</v>
      </c>
      <c r="AK313" t="n">
        <v>12</v>
      </c>
      <c r="AL313" t="n">
        <v>2</v>
      </c>
      <c r="AM313" t="n">
        <v>13</v>
      </c>
      <c r="AN313" t="n">
        <v>0</v>
      </c>
      <c r="AO313" t="n">
        <v>2</v>
      </c>
      <c r="AP313" t="inlineStr">
        <is>
          <t>No</t>
        </is>
      </c>
      <c r="AQ313" t="inlineStr">
        <is>
          <t>No</t>
        </is>
      </c>
      <c r="AS313">
        <f>HYPERLINK("https://creighton-primo.hosted.exlibrisgroup.com/primo-explore/search?tab=default_tab&amp;search_scope=EVERYTHING&amp;vid=01CRU&amp;lang=en_US&amp;offset=0&amp;query=any,contains,991001725939702656","Catalog Record")</f>
        <v/>
      </c>
      <c r="AT313">
        <f>HYPERLINK("http://www.worldcat.org/oclc/52301632","WorldCat Record")</f>
        <v/>
      </c>
    </row>
    <row r="314">
      <c r="A314" t="inlineStr">
        <is>
          <t>No</t>
        </is>
      </c>
      <c r="B314" t="inlineStr">
        <is>
          <t>RA410 .K5</t>
        </is>
      </c>
      <c r="C314" t="inlineStr">
        <is>
          <t>0                      RA 0410000K  5</t>
        </is>
      </c>
      <c r="D314" t="inlineStr">
        <is>
          <t>The economics of health / [by] Herbert E. Klarman.</t>
        </is>
      </c>
      <c r="F314" t="inlineStr">
        <is>
          <t>No</t>
        </is>
      </c>
      <c r="G314" t="inlineStr">
        <is>
          <t>1</t>
        </is>
      </c>
      <c r="H314" t="inlineStr">
        <is>
          <t>Yes</t>
        </is>
      </c>
      <c r="I314" t="inlineStr">
        <is>
          <t>No</t>
        </is>
      </c>
      <c r="J314" t="inlineStr">
        <is>
          <t>0</t>
        </is>
      </c>
      <c r="K314" t="inlineStr">
        <is>
          <t>Klarman, Herbert E.</t>
        </is>
      </c>
      <c r="L314" t="inlineStr">
        <is>
          <t>New York : Columbia University Press, 1965.</t>
        </is>
      </c>
      <c r="M314" t="inlineStr">
        <is>
          <t>1965</t>
        </is>
      </c>
      <c r="O314" t="inlineStr">
        <is>
          <t>eng</t>
        </is>
      </c>
      <c r="P314" t="inlineStr">
        <is>
          <t>nyu</t>
        </is>
      </c>
      <c r="R314" t="inlineStr">
        <is>
          <t xml:space="preserve">RA </t>
        </is>
      </c>
      <c r="S314" t="n">
        <v>4</v>
      </c>
      <c r="T314" t="n">
        <v>4</v>
      </c>
      <c r="U314" t="inlineStr">
        <is>
          <t>2003-11-10</t>
        </is>
      </c>
      <c r="V314" t="inlineStr">
        <is>
          <t>2003-11-10</t>
        </is>
      </c>
      <c r="W314" t="inlineStr">
        <is>
          <t>1987-12-18</t>
        </is>
      </c>
      <c r="X314" t="inlineStr">
        <is>
          <t>1999-10-22</t>
        </is>
      </c>
      <c r="Y314" t="n">
        <v>510</v>
      </c>
      <c r="Z314" t="n">
        <v>370</v>
      </c>
      <c r="AA314" t="n">
        <v>372</v>
      </c>
      <c r="AB314" t="n">
        <v>3</v>
      </c>
      <c r="AC314" t="n">
        <v>3</v>
      </c>
      <c r="AD314" t="n">
        <v>11</v>
      </c>
      <c r="AE314" t="n">
        <v>11</v>
      </c>
      <c r="AF314" t="n">
        <v>2</v>
      </c>
      <c r="AG314" t="n">
        <v>2</v>
      </c>
      <c r="AH314" t="n">
        <v>2</v>
      </c>
      <c r="AI314" t="n">
        <v>2</v>
      </c>
      <c r="AJ314" t="n">
        <v>7</v>
      </c>
      <c r="AK314" t="n">
        <v>7</v>
      </c>
      <c r="AL314" t="n">
        <v>1</v>
      </c>
      <c r="AM314" t="n">
        <v>1</v>
      </c>
      <c r="AN314" t="n">
        <v>1</v>
      </c>
      <c r="AO314" t="n">
        <v>1</v>
      </c>
      <c r="AP314" t="inlineStr">
        <is>
          <t>No</t>
        </is>
      </c>
      <c r="AQ314" t="inlineStr">
        <is>
          <t>No</t>
        </is>
      </c>
      <c r="AS314">
        <f>HYPERLINK("https://creighton-primo.hosted.exlibrisgroup.com/primo-explore/search?tab=default_tab&amp;search_scope=EVERYTHING&amp;vid=01CRU&amp;lang=en_US&amp;offset=0&amp;query=any,contains,991001662549702656","Catalog Record")</f>
        <v/>
      </c>
      <c r="AT314">
        <f>HYPERLINK("http://www.worldcat.org/oclc/625193","WorldCat Record")</f>
        <v/>
      </c>
    </row>
    <row r="315">
      <c r="A315" t="inlineStr">
        <is>
          <t>No</t>
        </is>
      </c>
      <c r="B315" t="inlineStr">
        <is>
          <t>RA410.53 .A27 1991</t>
        </is>
      </c>
      <c r="C315" t="inlineStr">
        <is>
          <t>0                      RA 0410530A  27          1991</t>
        </is>
      </c>
      <c r="D315" t="inlineStr">
        <is>
          <t>Serious and unstable condition : financing America's health care / Henry J. Aaron.</t>
        </is>
      </c>
      <c r="F315" t="inlineStr">
        <is>
          <t>No</t>
        </is>
      </c>
      <c r="G315" t="inlineStr">
        <is>
          <t>1</t>
        </is>
      </c>
      <c r="H315" t="inlineStr">
        <is>
          <t>Yes</t>
        </is>
      </c>
      <c r="I315" t="inlineStr">
        <is>
          <t>No</t>
        </is>
      </c>
      <c r="J315" t="inlineStr">
        <is>
          <t>0</t>
        </is>
      </c>
      <c r="K315" t="inlineStr">
        <is>
          <t>Aaron, Henry J.</t>
        </is>
      </c>
      <c r="L315" t="inlineStr">
        <is>
          <t>Washington, D.C. : Brookings Institution, 1991.</t>
        </is>
      </c>
      <c r="M315" t="inlineStr">
        <is>
          <t>1991</t>
        </is>
      </c>
      <c r="O315" t="inlineStr">
        <is>
          <t>eng</t>
        </is>
      </c>
      <c r="P315" t="inlineStr">
        <is>
          <t>dcu</t>
        </is>
      </c>
      <c r="R315" t="inlineStr">
        <is>
          <t xml:space="preserve">RA </t>
        </is>
      </c>
      <c r="S315" t="n">
        <v>8</v>
      </c>
      <c r="T315" t="n">
        <v>17</v>
      </c>
      <c r="U315" t="inlineStr">
        <is>
          <t>1996-07-28</t>
        </is>
      </c>
      <c r="V315" t="inlineStr">
        <is>
          <t>1998-06-03</t>
        </is>
      </c>
      <c r="W315" t="inlineStr">
        <is>
          <t>1991-06-17</t>
        </is>
      </c>
      <c r="X315" t="inlineStr">
        <is>
          <t>1991-08-14</t>
        </is>
      </c>
      <c r="Y315" t="n">
        <v>907</v>
      </c>
      <c r="Z315" t="n">
        <v>808</v>
      </c>
      <c r="AA315" t="n">
        <v>815</v>
      </c>
      <c r="AB315" t="n">
        <v>8</v>
      </c>
      <c r="AC315" t="n">
        <v>8</v>
      </c>
      <c r="AD315" t="n">
        <v>37</v>
      </c>
      <c r="AE315" t="n">
        <v>37</v>
      </c>
      <c r="AF315" t="n">
        <v>10</v>
      </c>
      <c r="AG315" t="n">
        <v>10</v>
      </c>
      <c r="AH315" t="n">
        <v>7</v>
      </c>
      <c r="AI315" t="n">
        <v>7</v>
      </c>
      <c r="AJ315" t="n">
        <v>12</v>
      </c>
      <c r="AK315" t="n">
        <v>12</v>
      </c>
      <c r="AL315" t="n">
        <v>6</v>
      </c>
      <c r="AM315" t="n">
        <v>6</v>
      </c>
      <c r="AN315" t="n">
        <v>10</v>
      </c>
      <c r="AO315" t="n">
        <v>10</v>
      </c>
      <c r="AP315" t="inlineStr">
        <is>
          <t>No</t>
        </is>
      </c>
      <c r="AQ315" t="inlineStr">
        <is>
          <t>Yes</t>
        </is>
      </c>
      <c r="AR315">
        <f>HYPERLINK("http://catalog.hathitrust.org/Record/002457119","HathiTrust Record")</f>
        <v/>
      </c>
      <c r="AS315">
        <f>HYPERLINK("https://creighton-primo.hosted.exlibrisgroup.com/primo-explore/search?tab=default_tab&amp;search_scope=EVERYTHING&amp;vid=01CRU&amp;lang=en_US&amp;offset=0&amp;query=any,contains,991001768689702656","Catalog Record")</f>
        <v/>
      </c>
      <c r="AT315">
        <f>HYPERLINK("http://www.worldcat.org/oclc/23731925","WorldCat Record")</f>
        <v/>
      </c>
    </row>
    <row r="316">
      <c r="A316" t="inlineStr">
        <is>
          <t>No</t>
        </is>
      </c>
      <c r="B316" t="inlineStr">
        <is>
          <t>RA410.53 .C42 1991</t>
        </is>
      </c>
      <c r="C316" t="inlineStr">
        <is>
          <t>0                      RA 0410530C  42          1991</t>
        </is>
      </c>
      <c r="D316" t="inlineStr">
        <is>
          <t>Challenges in health care : a chartbook perspective, 1991.</t>
        </is>
      </c>
      <c r="F316" t="inlineStr">
        <is>
          <t>No</t>
        </is>
      </c>
      <c r="G316" t="inlineStr">
        <is>
          <t>1</t>
        </is>
      </c>
      <c r="H316" t="inlineStr">
        <is>
          <t>No</t>
        </is>
      </c>
      <c r="I316" t="inlineStr">
        <is>
          <t>No</t>
        </is>
      </c>
      <c r="J316" t="inlineStr">
        <is>
          <t>0</t>
        </is>
      </c>
      <c r="K316" t="inlineStr">
        <is>
          <t>Robert Wood Johnson Foundation.</t>
        </is>
      </c>
      <c r="L316" t="inlineStr">
        <is>
          <t>Princeton, N.J. : Robert Wood Johnson Foundation, [1991]</t>
        </is>
      </c>
      <c r="M316" t="inlineStr">
        <is>
          <t>1991</t>
        </is>
      </c>
      <c r="O316" t="inlineStr">
        <is>
          <t>eng</t>
        </is>
      </c>
      <c r="P316" t="inlineStr">
        <is>
          <t>nju</t>
        </is>
      </c>
      <c r="R316" t="inlineStr">
        <is>
          <t xml:space="preserve">RA </t>
        </is>
      </c>
      <c r="S316" t="n">
        <v>4</v>
      </c>
      <c r="T316" t="n">
        <v>4</v>
      </c>
      <c r="U316" t="inlineStr">
        <is>
          <t>1992-05-01</t>
        </is>
      </c>
      <c r="V316" t="inlineStr">
        <is>
          <t>1992-05-01</t>
        </is>
      </c>
      <c r="W316" t="inlineStr">
        <is>
          <t>1991-11-08</t>
        </is>
      </c>
      <c r="X316" t="inlineStr">
        <is>
          <t>1991-11-08</t>
        </is>
      </c>
      <c r="Y316" t="n">
        <v>820</v>
      </c>
      <c r="Z316" t="n">
        <v>819</v>
      </c>
      <c r="AA316" t="n">
        <v>826</v>
      </c>
      <c r="AB316" t="n">
        <v>6</v>
      </c>
      <c r="AC316" t="n">
        <v>6</v>
      </c>
      <c r="AD316" t="n">
        <v>25</v>
      </c>
      <c r="AE316" t="n">
        <v>25</v>
      </c>
      <c r="AF316" t="n">
        <v>5</v>
      </c>
      <c r="AG316" t="n">
        <v>5</v>
      </c>
      <c r="AH316" t="n">
        <v>5</v>
      </c>
      <c r="AI316" t="n">
        <v>5</v>
      </c>
      <c r="AJ316" t="n">
        <v>8</v>
      </c>
      <c r="AK316" t="n">
        <v>8</v>
      </c>
      <c r="AL316" t="n">
        <v>4</v>
      </c>
      <c r="AM316" t="n">
        <v>4</v>
      </c>
      <c r="AN316" t="n">
        <v>7</v>
      </c>
      <c r="AO316" t="n">
        <v>7</v>
      </c>
      <c r="AP316" t="inlineStr">
        <is>
          <t>No</t>
        </is>
      </c>
      <c r="AQ316" t="inlineStr">
        <is>
          <t>Yes</t>
        </is>
      </c>
      <c r="AR316">
        <f>HYPERLINK("http://catalog.hathitrust.org/Record/002553191","HathiTrust Record")</f>
        <v/>
      </c>
      <c r="AS316">
        <f>HYPERLINK("https://creighton-primo.hosted.exlibrisgroup.com/primo-explore/search?tab=default_tab&amp;search_scope=EVERYTHING&amp;vid=01CRU&amp;lang=en_US&amp;offset=0&amp;query=any,contains,991000155749702656","Catalog Record")</f>
        <v/>
      </c>
      <c r="AT316">
        <f>HYPERLINK("http://www.worldcat.org/oclc/28294146","WorldCat Record")</f>
        <v/>
      </c>
    </row>
    <row r="317">
      <c r="A317" t="inlineStr">
        <is>
          <t>No</t>
        </is>
      </c>
      <c r="B317" t="inlineStr">
        <is>
          <t>RA410.53 .C65  1970</t>
        </is>
      </c>
      <c r="C317" t="inlineStr">
        <is>
          <t>0                      RA 0410530C  65          1970</t>
        </is>
      </c>
      <c r="D317" t="inlineStr">
        <is>
          <t>Medical care for the American people : the final report... Adopted October 31, 1932.</t>
        </is>
      </c>
      <c r="F317" t="inlineStr">
        <is>
          <t>No</t>
        </is>
      </c>
      <c r="G317" t="inlineStr">
        <is>
          <t>1</t>
        </is>
      </c>
      <c r="H317" t="inlineStr">
        <is>
          <t>No</t>
        </is>
      </c>
      <c r="I317" t="inlineStr">
        <is>
          <t>No</t>
        </is>
      </c>
      <c r="J317" t="inlineStr">
        <is>
          <t>0</t>
        </is>
      </c>
      <c r="K317" t="inlineStr">
        <is>
          <t>Committee on the Cost of Medical Care.</t>
        </is>
      </c>
      <c r="L317" t="inlineStr">
        <is>
          <t>-- Washington : Community Health Service, 1970.</t>
        </is>
      </c>
      <c r="M317" t="inlineStr">
        <is>
          <t>1970</t>
        </is>
      </c>
      <c r="O317" t="inlineStr">
        <is>
          <t>eng</t>
        </is>
      </c>
      <c r="P317" t="inlineStr">
        <is>
          <t>dcu</t>
        </is>
      </c>
      <c r="R317" t="inlineStr">
        <is>
          <t xml:space="preserve">RA </t>
        </is>
      </c>
      <c r="S317" t="n">
        <v>0</v>
      </c>
      <c r="T317" t="n">
        <v>0</v>
      </c>
      <c r="U317" t="inlineStr">
        <is>
          <t>2002-09-05</t>
        </is>
      </c>
      <c r="V317" t="inlineStr">
        <is>
          <t>2002-09-05</t>
        </is>
      </c>
      <c r="W317" t="inlineStr">
        <is>
          <t>1987-12-19</t>
        </is>
      </c>
      <c r="X317" t="inlineStr">
        <is>
          <t>1987-12-19</t>
        </is>
      </c>
      <c r="Y317" t="n">
        <v>72</v>
      </c>
      <c r="Z317" t="n">
        <v>61</v>
      </c>
      <c r="AA317" t="n">
        <v>61</v>
      </c>
      <c r="AB317" t="n">
        <v>2</v>
      </c>
      <c r="AC317" t="n">
        <v>2</v>
      </c>
      <c r="AD317" t="n">
        <v>1</v>
      </c>
      <c r="AE317" t="n">
        <v>1</v>
      </c>
      <c r="AF317" t="n">
        <v>0</v>
      </c>
      <c r="AG317" t="n">
        <v>0</v>
      </c>
      <c r="AH317" t="n">
        <v>0</v>
      </c>
      <c r="AI317" t="n">
        <v>0</v>
      </c>
      <c r="AJ317" t="n">
        <v>0</v>
      </c>
      <c r="AK317" t="n">
        <v>0</v>
      </c>
      <c r="AL317" t="n">
        <v>1</v>
      </c>
      <c r="AM317" t="n">
        <v>1</v>
      </c>
      <c r="AN317" t="n">
        <v>0</v>
      </c>
      <c r="AO317" t="n">
        <v>0</v>
      </c>
      <c r="AP317" t="inlineStr">
        <is>
          <t>No</t>
        </is>
      </c>
      <c r="AQ317" t="inlineStr">
        <is>
          <t>Yes</t>
        </is>
      </c>
      <c r="AR317">
        <f>HYPERLINK("http://catalog.hathitrust.org/Record/001577307","HathiTrust Record")</f>
        <v/>
      </c>
      <c r="AS317">
        <f>HYPERLINK("https://creighton-primo.hosted.exlibrisgroup.com/primo-explore/search?tab=default_tab&amp;search_scope=EVERYTHING&amp;vid=01CRU&amp;lang=en_US&amp;offset=0&amp;query=any,contains,991001544149702656","Catalog Record")</f>
        <v/>
      </c>
      <c r="AT317">
        <f>HYPERLINK("http://www.worldcat.org/oclc/1425922","WorldCat Record")</f>
        <v/>
      </c>
    </row>
    <row r="318">
      <c r="A318" t="inlineStr">
        <is>
          <t>No</t>
        </is>
      </c>
      <c r="B318" t="inlineStr">
        <is>
          <t>RA410.53 .C68 1990, v...</t>
        </is>
      </c>
      <c r="C318" t="inlineStr">
        <is>
          <t>0                      RA 0410530C  68          1990                                        v...</t>
        </is>
      </c>
      <c r="D318" t="inlineStr">
        <is>
          <t>The Corporate transformation of health care / J. Warren Salmon, editor.</t>
        </is>
      </c>
      <c r="E318" t="inlineStr">
        <is>
          <t>V.2 PT. 1</t>
        </is>
      </c>
      <c r="F318" t="inlineStr">
        <is>
          <t>Yes</t>
        </is>
      </c>
      <c r="G318" t="inlineStr">
        <is>
          <t>1</t>
        </is>
      </c>
      <c r="H318" t="inlineStr">
        <is>
          <t>No</t>
        </is>
      </c>
      <c r="I318" t="inlineStr">
        <is>
          <t>No</t>
        </is>
      </c>
      <c r="J318" t="inlineStr">
        <is>
          <t>0</t>
        </is>
      </c>
      <c r="L318" t="inlineStr">
        <is>
          <t>Amityville, N.Y. : Baywood Pub. Co., c1990-</t>
        </is>
      </c>
      <c r="M318" t="inlineStr">
        <is>
          <t>1990</t>
        </is>
      </c>
      <c r="O318" t="inlineStr">
        <is>
          <t>eng</t>
        </is>
      </c>
      <c r="P318" t="inlineStr">
        <is>
          <t>nyu</t>
        </is>
      </c>
      <c r="Q318" t="inlineStr">
        <is>
          <t>Policy, politics, health, and medicine series.</t>
        </is>
      </c>
      <c r="R318" t="inlineStr">
        <is>
          <t xml:space="preserve">RA </t>
        </is>
      </c>
      <c r="S318" t="n">
        <v>4</v>
      </c>
      <c r="T318" t="n">
        <v>13</v>
      </c>
      <c r="U318" t="inlineStr">
        <is>
          <t>1994-03-23</t>
        </is>
      </c>
      <c r="V318" t="inlineStr">
        <is>
          <t>1998-11-12</t>
        </is>
      </c>
      <c r="W318" t="inlineStr">
        <is>
          <t>1991-01-21</t>
        </is>
      </c>
      <c r="X318" t="inlineStr">
        <is>
          <t>2000-01-12</t>
        </is>
      </c>
      <c r="Y318" t="n">
        <v>271</v>
      </c>
      <c r="Z318" t="n">
        <v>234</v>
      </c>
      <c r="AA318" t="n">
        <v>239</v>
      </c>
      <c r="AB318" t="n">
        <v>2</v>
      </c>
      <c r="AC318" t="n">
        <v>2</v>
      </c>
      <c r="AD318" t="n">
        <v>15</v>
      </c>
      <c r="AE318" t="n">
        <v>15</v>
      </c>
      <c r="AF318" t="n">
        <v>3</v>
      </c>
      <c r="AG318" t="n">
        <v>3</v>
      </c>
      <c r="AH318" t="n">
        <v>4</v>
      </c>
      <c r="AI318" t="n">
        <v>4</v>
      </c>
      <c r="AJ318" t="n">
        <v>10</v>
      </c>
      <c r="AK318" t="n">
        <v>10</v>
      </c>
      <c r="AL318" t="n">
        <v>0</v>
      </c>
      <c r="AM318" t="n">
        <v>0</v>
      </c>
      <c r="AN318" t="n">
        <v>2</v>
      </c>
      <c r="AO318" t="n">
        <v>2</v>
      </c>
      <c r="AP318" t="inlineStr">
        <is>
          <t>No</t>
        </is>
      </c>
      <c r="AQ318" t="inlineStr">
        <is>
          <t>Yes</t>
        </is>
      </c>
      <c r="AR318">
        <f>HYPERLINK("http://catalog.hathitrust.org/Record/002205353","HathiTrust Record")</f>
        <v/>
      </c>
      <c r="AS318">
        <f>HYPERLINK("https://creighton-primo.hosted.exlibrisgroup.com/primo-explore/search?tab=default_tab&amp;search_scope=EVERYTHING&amp;vid=01CRU&amp;lang=en_US&amp;offset=0&amp;query=any,contains,991001744879702656","Catalog Record")</f>
        <v/>
      </c>
      <c r="AT318">
        <f>HYPERLINK("http://www.worldcat.org/oclc/20934347","WorldCat Record")</f>
        <v/>
      </c>
    </row>
    <row r="319">
      <c r="A319" t="inlineStr">
        <is>
          <t>No</t>
        </is>
      </c>
      <c r="B319" t="inlineStr">
        <is>
          <t>RA410.53 .C68 1990, v...</t>
        </is>
      </c>
      <c r="C319" t="inlineStr">
        <is>
          <t>0                      RA 0410530C  68          1990                                        v...</t>
        </is>
      </c>
      <c r="D319" t="inlineStr">
        <is>
          <t>The Corporate transformation of health care / J. Warren Salmon, editor.</t>
        </is>
      </c>
      <c r="E319" t="inlineStr">
        <is>
          <t>V.2 PT. 2</t>
        </is>
      </c>
      <c r="F319" t="inlineStr">
        <is>
          <t>Yes</t>
        </is>
      </c>
      <c r="G319" t="inlineStr">
        <is>
          <t>1</t>
        </is>
      </c>
      <c r="H319" t="inlineStr">
        <is>
          <t>No</t>
        </is>
      </c>
      <c r="I319" t="inlineStr">
        <is>
          <t>No</t>
        </is>
      </c>
      <c r="J319" t="inlineStr">
        <is>
          <t>0</t>
        </is>
      </c>
      <c r="L319" t="inlineStr">
        <is>
          <t>Amityville, N.Y. : Baywood Pub. Co., c1990-</t>
        </is>
      </c>
      <c r="M319" t="inlineStr">
        <is>
          <t>1990</t>
        </is>
      </c>
      <c r="O319" t="inlineStr">
        <is>
          <t>eng</t>
        </is>
      </c>
      <c r="P319" t="inlineStr">
        <is>
          <t>nyu</t>
        </is>
      </c>
      <c r="Q319" t="inlineStr">
        <is>
          <t>Policy, politics, health, and medicine series.</t>
        </is>
      </c>
      <c r="R319" t="inlineStr">
        <is>
          <t xml:space="preserve">RA </t>
        </is>
      </c>
      <c r="S319" t="n">
        <v>9</v>
      </c>
      <c r="T319" t="n">
        <v>13</v>
      </c>
      <c r="U319" t="inlineStr">
        <is>
          <t>1998-11-12</t>
        </is>
      </c>
      <c r="V319" t="inlineStr">
        <is>
          <t>1998-11-12</t>
        </is>
      </c>
      <c r="W319" t="inlineStr">
        <is>
          <t>1993-11-15</t>
        </is>
      </c>
      <c r="X319" t="inlineStr">
        <is>
          <t>2000-01-12</t>
        </is>
      </c>
      <c r="Y319" t="n">
        <v>271</v>
      </c>
      <c r="Z319" t="n">
        <v>234</v>
      </c>
      <c r="AA319" t="n">
        <v>239</v>
      </c>
      <c r="AB319" t="n">
        <v>2</v>
      </c>
      <c r="AC319" t="n">
        <v>2</v>
      </c>
      <c r="AD319" t="n">
        <v>15</v>
      </c>
      <c r="AE319" t="n">
        <v>15</v>
      </c>
      <c r="AF319" t="n">
        <v>3</v>
      </c>
      <c r="AG319" t="n">
        <v>3</v>
      </c>
      <c r="AH319" t="n">
        <v>4</v>
      </c>
      <c r="AI319" t="n">
        <v>4</v>
      </c>
      <c r="AJ319" t="n">
        <v>10</v>
      </c>
      <c r="AK319" t="n">
        <v>10</v>
      </c>
      <c r="AL319" t="n">
        <v>0</v>
      </c>
      <c r="AM319" t="n">
        <v>0</v>
      </c>
      <c r="AN319" t="n">
        <v>2</v>
      </c>
      <c r="AO319" t="n">
        <v>2</v>
      </c>
      <c r="AP319" t="inlineStr">
        <is>
          <t>No</t>
        </is>
      </c>
      <c r="AQ319" t="inlineStr">
        <is>
          <t>Yes</t>
        </is>
      </c>
      <c r="AR319">
        <f>HYPERLINK("http://catalog.hathitrust.org/Record/002205353","HathiTrust Record")</f>
        <v/>
      </c>
      <c r="AS319">
        <f>HYPERLINK("https://creighton-primo.hosted.exlibrisgroup.com/primo-explore/search?tab=default_tab&amp;search_scope=EVERYTHING&amp;vid=01CRU&amp;lang=en_US&amp;offset=0&amp;query=any,contains,991001744879702656","Catalog Record")</f>
        <v/>
      </c>
      <c r="AT319">
        <f>HYPERLINK("http://www.worldcat.org/oclc/20934347","WorldCat Record")</f>
        <v/>
      </c>
    </row>
    <row r="320">
      <c r="A320" t="inlineStr">
        <is>
          <t>No</t>
        </is>
      </c>
      <c r="B320" t="inlineStr">
        <is>
          <t>RA410.53 .F8 1994</t>
        </is>
      </c>
      <c r="C320" t="inlineStr">
        <is>
          <t>0                      RA 0410530F  8           1994</t>
        </is>
      </c>
      <c r="D320" t="inlineStr">
        <is>
          <t>The future of health policy / Victor R. Fuchs.</t>
        </is>
      </c>
      <c r="F320" t="inlineStr">
        <is>
          <t>No</t>
        </is>
      </c>
      <c r="G320" t="inlineStr">
        <is>
          <t>1</t>
        </is>
      </c>
      <c r="H320" t="inlineStr">
        <is>
          <t>Yes</t>
        </is>
      </c>
      <c r="I320" t="inlineStr">
        <is>
          <t>No</t>
        </is>
      </c>
      <c r="J320" t="inlineStr">
        <is>
          <t>0</t>
        </is>
      </c>
      <c r="K320" t="inlineStr">
        <is>
          <t>Fuchs, Victor R.</t>
        </is>
      </c>
      <c r="L320" t="inlineStr">
        <is>
          <t>Cambridge, Mass. : Harvard University Press, 1994, c1993.</t>
        </is>
      </c>
      <c r="M320" t="inlineStr">
        <is>
          <t>1994</t>
        </is>
      </c>
      <c r="N320" t="inlineStr">
        <is>
          <t>1st Harvard University Press pbk. ed.</t>
        </is>
      </c>
      <c r="O320" t="inlineStr">
        <is>
          <t>eng</t>
        </is>
      </c>
      <c r="P320" t="inlineStr">
        <is>
          <t>mau</t>
        </is>
      </c>
      <c r="R320" t="inlineStr">
        <is>
          <t xml:space="preserve">RA </t>
        </is>
      </c>
      <c r="S320" t="n">
        <v>5</v>
      </c>
      <c r="T320" t="n">
        <v>18</v>
      </c>
      <c r="U320" t="inlineStr">
        <is>
          <t>2007-09-27</t>
        </is>
      </c>
      <c r="V320" t="inlineStr">
        <is>
          <t>2007-09-27</t>
        </is>
      </c>
      <c r="W320" t="inlineStr">
        <is>
          <t>1993-10-12</t>
        </is>
      </c>
      <c r="X320" t="inlineStr">
        <is>
          <t>1995-02-21</t>
        </is>
      </c>
      <c r="Y320" t="n">
        <v>637</v>
      </c>
      <c r="Z320" t="n">
        <v>554</v>
      </c>
      <c r="AA320" t="n">
        <v>587</v>
      </c>
      <c r="AB320" t="n">
        <v>3</v>
      </c>
      <c r="AC320" t="n">
        <v>3</v>
      </c>
      <c r="AD320" t="n">
        <v>27</v>
      </c>
      <c r="AE320" t="n">
        <v>29</v>
      </c>
      <c r="AF320" t="n">
        <v>6</v>
      </c>
      <c r="AG320" t="n">
        <v>8</v>
      </c>
      <c r="AH320" t="n">
        <v>7</v>
      </c>
      <c r="AI320" t="n">
        <v>7</v>
      </c>
      <c r="AJ320" t="n">
        <v>13</v>
      </c>
      <c r="AK320" t="n">
        <v>13</v>
      </c>
      <c r="AL320" t="n">
        <v>1</v>
      </c>
      <c r="AM320" t="n">
        <v>1</v>
      </c>
      <c r="AN320" t="n">
        <v>7</v>
      </c>
      <c r="AO320" t="n">
        <v>7</v>
      </c>
      <c r="AP320" t="inlineStr">
        <is>
          <t>No</t>
        </is>
      </c>
      <c r="AQ320" t="inlineStr">
        <is>
          <t>Yes</t>
        </is>
      </c>
      <c r="AR320">
        <f>HYPERLINK("http://catalog.hathitrust.org/Record/002726447","HathiTrust Record")</f>
        <v/>
      </c>
      <c r="AS320">
        <f>HYPERLINK("https://creighton-primo.hosted.exlibrisgroup.com/primo-explore/search?tab=default_tab&amp;search_scope=EVERYTHING&amp;vid=01CRU&amp;lang=en_US&amp;offset=0&amp;query=any,contains,991001803499702656","Catalog Record")</f>
        <v/>
      </c>
      <c r="AT320">
        <f>HYPERLINK("http://www.worldcat.org/oclc/27811516","WorldCat Record")</f>
        <v/>
      </c>
    </row>
    <row r="321">
      <c r="A321" t="inlineStr">
        <is>
          <t>No</t>
        </is>
      </c>
      <c r="B321" t="inlineStr">
        <is>
          <t>RA410.53 .M46 1983</t>
        </is>
      </c>
      <c r="C321" t="inlineStr">
        <is>
          <t>0                      RA 0410530M  46          1983</t>
        </is>
      </c>
      <c r="D321" t="inlineStr">
        <is>
          <t>Medical costs, moral choices : a philosophy of health care economics in America / Paul T. Menzel.</t>
        </is>
      </c>
      <c r="F321" t="inlineStr">
        <is>
          <t>No</t>
        </is>
      </c>
      <c r="G321" t="inlineStr">
        <is>
          <t>1</t>
        </is>
      </c>
      <c r="H321" t="inlineStr">
        <is>
          <t>Yes</t>
        </is>
      </c>
      <c r="I321" t="inlineStr">
        <is>
          <t>No</t>
        </is>
      </c>
      <c r="J321" t="inlineStr">
        <is>
          <t>0</t>
        </is>
      </c>
      <c r="K321" t="inlineStr">
        <is>
          <t>Menzel, Paul T., 1942-</t>
        </is>
      </c>
      <c r="L321" t="inlineStr">
        <is>
          <t>New Haven [Conn.] : Yale University Press, c1983.</t>
        </is>
      </c>
      <c r="M321" t="inlineStr">
        <is>
          <t>1983</t>
        </is>
      </c>
      <c r="O321" t="inlineStr">
        <is>
          <t>eng</t>
        </is>
      </c>
      <c r="P321" t="inlineStr">
        <is>
          <t>xxu</t>
        </is>
      </c>
      <c r="R321" t="inlineStr">
        <is>
          <t xml:space="preserve">RA </t>
        </is>
      </c>
      <c r="S321" t="n">
        <v>8</v>
      </c>
      <c r="T321" t="n">
        <v>40</v>
      </c>
      <c r="U321" t="inlineStr">
        <is>
          <t>1996-05-28</t>
        </is>
      </c>
      <c r="V321" t="inlineStr">
        <is>
          <t>2010-04-22</t>
        </is>
      </c>
      <c r="W321" t="inlineStr">
        <is>
          <t>1987-12-19</t>
        </is>
      </c>
      <c r="X321" t="inlineStr">
        <is>
          <t>1991-10-28</t>
        </is>
      </c>
      <c r="Y321" t="n">
        <v>781</v>
      </c>
      <c r="Z321" t="n">
        <v>690</v>
      </c>
      <c r="AA321" t="n">
        <v>839</v>
      </c>
      <c r="AB321" t="n">
        <v>5</v>
      </c>
      <c r="AC321" t="n">
        <v>5</v>
      </c>
      <c r="AD321" t="n">
        <v>33</v>
      </c>
      <c r="AE321" t="n">
        <v>40</v>
      </c>
      <c r="AF321" t="n">
        <v>12</v>
      </c>
      <c r="AG321" t="n">
        <v>18</v>
      </c>
      <c r="AH321" t="n">
        <v>6</v>
      </c>
      <c r="AI321" t="n">
        <v>8</v>
      </c>
      <c r="AJ321" t="n">
        <v>16</v>
      </c>
      <c r="AK321" t="n">
        <v>18</v>
      </c>
      <c r="AL321" t="n">
        <v>2</v>
      </c>
      <c r="AM321" t="n">
        <v>2</v>
      </c>
      <c r="AN321" t="n">
        <v>6</v>
      </c>
      <c r="AO321" t="n">
        <v>6</v>
      </c>
      <c r="AP321" t="inlineStr">
        <is>
          <t>No</t>
        </is>
      </c>
      <c r="AQ321" t="inlineStr">
        <is>
          <t>No</t>
        </is>
      </c>
      <c r="AS321">
        <f>HYPERLINK("https://creighton-primo.hosted.exlibrisgroup.com/primo-explore/search?tab=default_tab&amp;search_scope=EVERYTHING&amp;vid=01CRU&amp;lang=en_US&amp;offset=0&amp;query=any,contains,991001806139702656","Catalog Record")</f>
        <v/>
      </c>
      <c r="AT321">
        <f>HYPERLINK("http://www.worldcat.org/oclc/9324142","WorldCat Record")</f>
        <v/>
      </c>
    </row>
    <row r="322">
      <c r="A322" t="inlineStr">
        <is>
          <t>No</t>
        </is>
      </c>
      <c r="B322" t="inlineStr">
        <is>
          <t>RA410.53 .N52 1993</t>
        </is>
      </c>
      <c r="C322" t="inlineStr">
        <is>
          <t>0                      RA 0410530N  52          1993</t>
        </is>
      </c>
      <c r="D322" t="inlineStr">
        <is>
          <t>Free for all? : lessons from the Rand Health Insurance Experiment / Joseph P. Newhouse and the Insurance Experiment Group.</t>
        </is>
      </c>
      <c r="F322" t="inlineStr">
        <is>
          <t>No</t>
        </is>
      </c>
      <c r="G322" t="inlineStr">
        <is>
          <t>1</t>
        </is>
      </c>
      <c r="H322" t="inlineStr">
        <is>
          <t>Yes</t>
        </is>
      </c>
      <c r="I322" t="inlineStr">
        <is>
          <t>No</t>
        </is>
      </c>
      <c r="J322" t="inlineStr">
        <is>
          <t>0</t>
        </is>
      </c>
      <c r="K322" t="inlineStr">
        <is>
          <t>Newhouse, Joseph P.</t>
        </is>
      </c>
      <c r="L322" t="inlineStr">
        <is>
          <t>Cambridge, Mass. : Harvard University Press, 1993.</t>
        </is>
      </c>
      <c r="M322" t="inlineStr">
        <is>
          <t>1993</t>
        </is>
      </c>
      <c r="O322" t="inlineStr">
        <is>
          <t>eng</t>
        </is>
      </c>
      <c r="P322" t="inlineStr">
        <is>
          <t>mau</t>
        </is>
      </c>
      <c r="R322" t="inlineStr">
        <is>
          <t xml:space="preserve">RA </t>
        </is>
      </c>
      <c r="S322" t="n">
        <v>11</v>
      </c>
      <c r="T322" t="n">
        <v>15</v>
      </c>
      <c r="U322" t="inlineStr">
        <is>
          <t>1996-10-19</t>
        </is>
      </c>
      <c r="V322" t="inlineStr">
        <is>
          <t>1996-10-19</t>
        </is>
      </c>
      <c r="W322" t="inlineStr">
        <is>
          <t>1993-10-12</t>
        </is>
      </c>
      <c r="X322" t="inlineStr">
        <is>
          <t>1996-06-06</t>
        </is>
      </c>
      <c r="Y322" t="n">
        <v>446</v>
      </c>
      <c r="Z322" t="n">
        <v>366</v>
      </c>
      <c r="AA322" t="n">
        <v>390</v>
      </c>
      <c r="AB322" t="n">
        <v>4</v>
      </c>
      <c r="AC322" t="n">
        <v>4</v>
      </c>
      <c r="AD322" t="n">
        <v>17</v>
      </c>
      <c r="AE322" t="n">
        <v>17</v>
      </c>
      <c r="AF322" t="n">
        <v>3</v>
      </c>
      <c r="AG322" t="n">
        <v>3</v>
      </c>
      <c r="AH322" t="n">
        <v>7</v>
      </c>
      <c r="AI322" t="n">
        <v>7</v>
      </c>
      <c r="AJ322" t="n">
        <v>9</v>
      </c>
      <c r="AK322" t="n">
        <v>9</v>
      </c>
      <c r="AL322" t="n">
        <v>2</v>
      </c>
      <c r="AM322" t="n">
        <v>2</v>
      </c>
      <c r="AN322" t="n">
        <v>2</v>
      </c>
      <c r="AO322" t="n">
        <v>2</v>
      </c>
      <c r="AP322" t="inlineStr">
        <is>
          <t>No</t>
        </is>
      </c>
      <c r="AQ322" t="inlineStr">
        <is>
          <t>No</t>
        </is>
      </c>
      <c r="AS322">
        <f>HYPERLINK("https://creighton-primo.hosted.exlibrisgroup.com/primo-explore/search?tab=default_tab&amp;search_scope=EVERYTHING&amp;vid=01CRU&amp;lang=en_US&amp;offset=0&amp;query=any,contains,991001803459702656","Catalog Record")</f>
        <v/>
      </c>
      <c r="AT322">
        <f>HYPERLINK("http://www.worldcat.org/oclc/27974577","WorldCat Record")</f>
        <v/>
      </c>
    </row>
    <row r="323">
      <c r="A323" t="inlineStr">
        <is>
          <t>No</t>
        </is>
      </c>
      <c r="B323" t="inlineStr">
        <is>
          <t>RA410.53 .S7 1988</t>
        </is>
      </c>
      <c r="C323" t="inlineStr">
        <is>
          <t>0                      RA 0410530S  7           1988</t>
        </is>
      </c>
      <c r="D323" t="inlineStr">
        <is>
          <t>Stemming the rising costs of medical care : answers and antidotes.</t>
        </is>
      </c>
      <c r="F323" t="inlineStr">
        <is>
          <t>No</t>
        </is>
      </c>
      <c r="G323" t="inlineStr">
        <is>
          <t>1</t>
        </is>
      </c>
      <c r="H323" t="inlineStr">
        <is>
          <t>Yes</t>
        </is>
      </c>
      <c r="I323" t="inlineStr">
        <is>
          <t>No</t>
        </is>
      </c>
      <c r="J323" t="inlineStr">
        <is>
          <t>0</t>
        </is>
      </c>
      <c r="L323" t="inlineStr">
        <is>
          <t>Battle Creek, Mich. : W.K. Kellogg Foundation, 1988.</t>
        </is>
      </c>
      <c r="M323" t="inlineStr">
        <is>
          <t>1988</t>
        </is>
      </c>
      <c r="O323" t="inlineStr">
        <is>
          <t>eng</t>
        </is>
      </c>
      <c r="P323" t="inlineStr">
        <is>
          <t>miu</t>
        </is>
      </c>
      <c r="R323" t="inlineStr">
        <is>
          <t xml:space="preserve">RA </t>
        </is>
      </c>
      <c r="S323" t="n">
        <v>6</v>
      </c>
      <c r="T323" t="n">
        <v>14</v>
      </c>
      <c r="U323" t="inlineStr">
        <is>
          <t>1996-10-16</t>
        </is>
      </c>
      <c r="V323" t="inlineStr">
        <is>
          <t>2007-11-16</t>
        </is>
      </c>
      <c r="W323" t="inlineStr">
        <is>
          <t>1988-04-28</t>
        </is>
      </c>
      <c r="X323" t="inlineStr">
        <is>
          <t>1991-12-10</t>
        </is>
      </c>
      <c r="Y323" t="n">
        <v>527</v>
      </c>
      <c r="Z323" t="n">
        <v>506</v>
      </c>
      <c r="AA323" t="n">
        <v>507</v>
      </c>
      <c r="AB323" t="n">
        <v>6</v>
      </c>
      <c r="AC323" t="n">
        <v>6</v>
      </c>
      <c r="AD323" t="n">
        <v>19</v>
      </c>
      <c r="AE323" t="n">
        <v>19</v>
      </c>
      <c r="AF323" t="n">
        <v>6</v>
      </c>
      <c r="AG323" t="n">
        <v>6</v>
      </c>
      <c r="AH323" t="n">
        <v>3</v>
      </c>
      <c r="AI323" t="n">
        <v>3</v>
      </c>
      <c r="AJ323" t="n">
        <v>13</v>
      </c>
      <c r="AK323" t="n">
        <v>13</v>
      </c>
      <c r="AL323" t="n">
        <v>4</v>
      </c>
      <c r="AM323" t="n">
        <v>4</v>
      </c>
      <c r="AN323" t="n">
        <v>0</v>
      </c>
      <c r="AO323" t="n">
        <v>0</v>
      </c>
      <c r="AP323" t="inlineStr">
        <is>
          <t>No</t>
        </is>
      </c>
      <c r="AQ323" t="inlineStr">
        <is>
          <t>Yes</t>
        </is>
      </c>
      <c r="AR323">
        <f>HYPERLINK("http://catalog.hathitrust.org/Record/000902040","HathiTrust Record")</f>
        <v/>
      </c>
      <c r="AS323">
        <f>HYPERLINK("https://creighton-primo.hosted.exlibrisgroup.com/primo-explore/search?tab=default_tab&amp;search_scope=EVERYTHING&amp;vid=01CRU&amp;lang=en_US&amp;offset=0&amp;query=any,contains,991001789639702656","Catalog Record")</f>
        <v/>
      </c>
      <c r="AT323">
        <f>HYPERLINK("http://www.worldcat.org/oclc/17747965","WorldCat Record")</f>
        <v/>
      </c>
    </row>
    <row r="324">
      <c r="A324" t="inlineStr">
        <is>
          <t>No</t>
        </is>
      </c>
      <c r="B324" t="inlineStr">
        <is>
          <t>RA410.53 .W64 1984</t>
        </is>
      </c>
      <c r="C324" t="inlineStr">
        <is>
          <t>0                      RA 0410530W  64          1984</t>
        </is>
      </c>
      <c r="D324" t="inlineStr">
        <is>
          <t>The medical industrial complex / Stanley Wohl.</t>
        </is>
      </c>
      <c r="F324" t="inlineStr">
        <is>
          <t>No</t>
        </is>
      </c>
      <c r="G324" t="inlineStr">
        <is>
          <t>1</t>
        </is>
      </c>
      <c r="H324" t="inlineStr">
        <is>
          <t>No</t>
        </is>
      </c>
      <c r="I324" t="inlineStr">
        <is>
          <t>No</t>
        </is>
      </c>
      <c r="J324" t="inlineStr">
        <is>
          <t>0</t>
        </is>
      </c>
      <c r="K324" t="inlineStr">
        <is>
          <t>Wohl, Stanley.</t>
        </is>
      </c>
      <c r="L324" t="inlineStr">
        <is>
          <t>New York : Harmony Books, c1984.</t>
        </is>
      </c>
      <c r="M324" t="inlineStr">
        <is>
          <t>1984</t>
        </is>
      </c>
      <c r="N324" t="inlineStr">
        <is>
          <t>1st ed.</t>
        </is>
      </c>
      <c r="O324" t="inlineStr">
        <is>
          <t>eng</t>
        </is>
      </c>
      <c r="P324" t="inlineStr">
        <is>
          <t>nyu</t>
        </is>
      </c>
      <c r="R324" t="inlineStr">
        <is>
          <t xml:space="preserve">RA </t>
        </is>
      </c>
      <c r="S324" t="n">
        <v>3</v>
      </c>
      <c r="T324" t="n">
        <v>3</v>
      </c>
      <c r="U324" t="inlineStr">
        <is>
          <t>1993-10-09</t>
        </is>
      </c>
      <c r="V324" t="inlineStr">
        <is>
          <t>1993-10-09</t>
        </is>
      </c>
      <c r="W324" t="inlineStr">
        <is>
          <t>1987-12-19</t>
        </is>
      </c>
      <c r="X324" t="inlineStr">
        <is>
          <t>1987-12-19</t>
        </is>
      </c>
      <c r="Y324" t="n">
        <v>763</v>
      </c>
      <c r="Z324" t="n">
        <v>716</v>
      </c>
      <c r="AA324" t="n">
        <v>723</v>
      </c>
      <c r="AB324" t="n">
        <v>2</v>
      </c>
      <c r="AC324" t="n">
        <v>2</v>
      </c>
      <c r="AD324" t="n">
        <v>22</v>
      </c>
      <c r="AE324" t="n">
        <v>22</v>
      </c>
      <c r="AF324" t="n">
        <v>8</v>
      </c>
      <c r="AG324" t="n">
        <v>8</v>
      </c>
      <c r="AH324" t="n">
        <v>3</v>
      </c>
      <c r="AI324" t="n">
        <v>3</v>
      </c>
      <c r="AJ324" t="n">
        <v>14</v>
      </c>
      <c r="AK324" t="n">
        <v>14</v>
      </c>
      <c r="AL324" t="n">
        <v>1</v>
      </c>
      <c r="AM324" t="n">
        <v>1</v>
      </c>
      <c r="AN324" t="n">
        <v>3</v>
      </c>
      <c r="AO324" t="n">
        <v>3</v>
      </c>
      <c r="AP324" t="inlineStr">
        <is>
          <t>No</t>
        </is>
      </c>
      <c r="AQ324" t="inlineStr">
        <is>
          <t>Yes</t>
        </is>
      </c>
      <c r="AR324">
        <f>HYPERLINK("http://catalog.hathitrust.org/Record/000779679","HathiTrust Record")</f>
        <v/>
      </c>
      <c r="AS324">
        <f>HYPERLINK("https://creighton-primo.hosted.exlibrisgroup.com/primo-explore/search?tab=default_tab&amp;search_scope=EVERYTHING&amp;vid=01CRU&amp;lang=en_US&amp;offset=0&amp;query=any,contains,991001544009702656","Catalog Record")</f>
        <v/>
      </c>
      <c r="AT324">
        <f>HYPERLINK("http://www.worldcat.org/oclc/10277764","WorldCat Record")</f>
        <v/>
      </c>
    </row>
    <row r="325">
      <c r="A325" t="inlineStr">
        <is>
          <t>No</t>
        </is>
      </c>
      <c r="B325" t="inlineStr">
        <is>
          <t>RA410.54.O7 R37 1992</t>
        </is>
      </c>
      <c r="C325" t="inlineStr">
        <is>
          <t>0                      RA 0410540O  7                  R  37          1992</t>
        </is>
      </c>
      <c r="D325" t="inlineStr">
        <is>
          <t>Rationing America's medical care : the Oregon Plan and beyond / edited by Martin A. Strosberg, Joshua M. Wiener. Robert Baker, with I. Alan Fein.</t>
        </is>
      </c>
      <c r="F325" t="inlineStr">
        <is>
          <t>No</t>
        </is>
      </c>
      <c r="G325" t="inlineStr">
        <is>
          <t>1</t>
        </is>
      </c>
      <c r="H325" t="inlineStr">
        <is>
          <t>No</t>
        </is>
      </c>
      <c r="I325" t="inlineStr">
        <is>
          <t>No</t>
        </is>
      </c>
      <c r="J325" t="inlineStr">
        <is>
          <t>0</t>
        </is>
      </c>
      <c r="L325" t="inlineStr">
        <is>
          <t>Washington, D.C. : Brookings Institution, c1992.</t>
        </is>
      </c>
      <c r="M325" t="inlineStr">
        <is>
          <t>1992</t>
        </is>
      </c>
      <c r="O325" t="inlineStr">
        <is>
          <t>eng</t>
        </is>
      </c>
      <c r="P325" t="inlineStr">
        <is>
          <t>dcu</t>
        </is>
      </c>
      <c r="Q325" t="inlineStr">
        <is>
          <t>Brookings dialogues on public policy</t>
        </is>
      </c>
      <c r="R325" t="inlineStr">
        <is>
          <t xml:space="preserve">RA </t>
        </is>
      </c>
      <c r="S325" t="n">
        <v>13</v>
      </c>
      <c r="T325" t="n">
        <v>13</v>
      </c>
      <c r="U325" t="inlineStr">
        <is>
          <t>2001-10-25</t>
        </is>
      </c>
      <c r="V325" t="inlineStr">
        <is>
          <t>2001-10-25</t>
        </is>
      </c>
      <c r="W325" t="inlineStr">
        <is>
          <t>1992-12-10</t>
        </is>
      </c>
      <c r="X325" t="inlineStr">
        <is>
          <t>1992-12-10</t>
        </is>
      </c>
      <c r="Y325" t="n">
        <v>728</v>
      </c>
      <c r="Z325" t="n">
        <v>658</v>
      </c>
      <c r="AA325" t="n">
        <v>663</v>
      </c>
      <c r="AB325" t="n">
        <v>6</v>
      </c>
      <c r="AC325" t="n">
        <v>6</v>
      </c>
      <c r="AD325" t="n">
        <v>40</v>
      </c>
      <c r="AE325" t="n">
        <v>40</v>
      </c>
      <c r="AF325" t="n">
        <v>10</v>
      </c>
      <c r="AG325" t="n">
        <v>10</v>
      </c>
      <c r="AH325" t="n">
        <v>7</v>
      </c>
      <c r="AI325" t="n">
        <v>7</v>
      </c>
      <c r="AJ325" t="n">
        <v>14</v>
      </c>
      <c r="AK325" t="n">
        <v>14</v>
      </c>
      <c r="AL325" t="n">
        <v>5</v>
      </c>
      <c r="AM325" t="n">
        <v>5</v>
      </c>
      <c r="AN325" t="n">
        <v>14</v>
      </c>
      <c r="AO325" t="n">
        <v>14</v>
      </c>
      <c r="AP325" t="inlineStr">
        <is>
          <t>No</t>
        </is>
      </c>
      <c r="AQ325" t="inlineStr">
        <is>
          <t>No</t>
        </is>
      </c>
      <c r="AS325">
        <f>HYPERLINK("https://creighton-primo.hosted.exlibrisgroup.com/primo-explore/search?tab=default_tab&amp;search_scope=EVERYTHING&amp;vid=01CRU&amp;lang=en_US&amp;offset=0&amp;query=any,contains,991001351719702656","Catalog Record")</f>
        <v/>
      </c>
      <c r="AT325">
        <f>HYPERLINK("http://www.worldcat.org/oclc/25500795","WorldCat Record")</f>
        <v/>
      </c>
    </row>
    <row r="326">
      <c r="A326" t="inlineStr">
        <is>
          <t>No</t>
        </is>
      </c>
      <c r="B326" t="inlineStr">
        <is>
          <t>RA411 .R56 1976</t>
        </is>
      </c>
      <c r="C326" t="inlineStr">
        <is>
          <t>0                      RA 0411000R  56          1976</t>
        </is>
      </c>
      <c r="D326" t="inlineStr">
        <is>
          <t>Health care systems in world perspective / Milton I. Roemer.</t>
        </is>
      </c>
      <c r="F326" t="inlineStr">
        <is>
          <t>No</t>
        </is>
      </c>
      <c r="G326" t="inlineStr">
        <is>
          <t>1</t>
        </is>
      </c>
      <c r="H326" t="inlineStr">
        <is>
          <t>Yes</t>
        </is>
      </c>
      <c r="I326" t="inlineStr">
        <is>
          <t>No</t>
        </is>
      </c>
      <c r="J326" t="inlineStr">
        <is>
          <t>0</t>
        </is>
      </c>
      <c r="K326" t="inlineStr">
        <is>
          <t>Roemer, Milton Irwin, 1916-2001.</t>
        </is>
      </c>
      <c r="L326" t="inlineStr">
        <is>
          <t>Ann Arbor : Health Administration Press, 1976.</t>
        </is>
      </c>
      <c r="M326" t="inlineStr">
        <is>
          <t>1976</t>
        </is>
      </c>
      <c r="O326" t="inlineStr">
        <is>
          <t>eng</t>
        </is>
      </c>
      <c r="P326" t="inlineStr">
        <is>
          <t>miu</t>
        </is>
      </c>
      <c r="R326" t="inlineStr">
        <is>
          <t xml:space="preserve">RA </t>
        </is>
      </c>
      <c r="S326" t="n">
        <v>9</v>
      </c>
      <c r="T326" t="n">
        <v>22</v>
      </c>
      <c r="U326" t="inlineStr">
        <is>
          <t>2002-07-24</t>
        </is>
      </c>
      <c r="V326" t="inlineStr">
        <is>
          <t>2002-07-24</t>
        </is>
      </c>
      <c r="W326" t="inlineStr">
        <is>
          <t>1987-12-22</t>
        </is>
      </c>
      <c r="X326" t="inlineStr">
        <is>
          <t>1992-03-17</t>
        </is>
      </c>
      <c r="Y326" t="n">
        <v>347</v>
      </c>
      <c r="Z326" t="n">
        <v>279</v>
      </c>
      <c r="AA326" t="n">
        <v>286</v>
      </c>
      <c r="AB326" t="n">
        <v>2</v>
      </c>
      <c r="AC326" t="n">
        <v>2</v>
      </c>
      <c r="AD326" t="n">
        <v>10</v>
      </c>
      <c r="AE326" t="n">
        <v>10</v>
      </c>
      <c r="AF326" t="n">
        <v>0</v>
      </c>
      <c r="AG326" t="n">
        <v>0</v>
      </c>
      <c r="AH326" t="n">
        <v>2</v>
      </c>
      <c r="AI326" t="n">
        <v>2</v>
      </c>
      <c r="AJ326" t="n">
        <v>5</v>
      </c>
      <c r="AK326" t="n">
        <v>5</v>
      </c>
      <c r="AL326" t="n">
        <v>0</v>
      </c>
      <c r="AM326" t="n">
        <v>0</v>
      </c>
      <c r="AN326" t="n">
        <v>5</v>
      </c>
      <c r="AO326" t="n">
        <v>5</v>
      </c>
      <c r="AP326" t="inlineStr">
        <is>
          <t>No</t>
        </is>
      </c>
      <c r="AQ326" t="inlineStr">
        <is>
          <t>Yes</t>
        </is>
      </c>
      <c r="AR326">
        <f>HYPERLINK("http://catalog.hathitrust.org/Record/000724909","HathiTrust Record")</f>
        <v/>
      </c>
      <c r="AS326">
        <f>HYPERLINK("https://creighton-primo.hosted.exlibrisgroup.com/primo-explore/search?tab=default_tab&amp;search_scope=EVERYTHING&amp;vid=01CRU&amp;lang=en_US&amp;offset=0&amp;query=any,contains,991001753359702656","Catalog Record")</f>
        <v/>
      </c>
      <c r="AT326">
        <f>HYPERLINK("http://www.worldcat.org/oclc/2345853","WorldCat Record")</f>
        <v/>
      </c>
    </row>
    <row r="327">
      <c r="A327" t="inlineStr">
        <is>
          <t>No</t>
        </is>
      </c>
      <c r="B327" t="inlineStr">
        <is>
          <t>RA412.5.S9 I45 1992</t>
        </is>
      </c>
      <c r="C327" t="inlineStr">
        <is>
          <t>0                      RA 0412500S  9                  I  45          1992</t>
        </is>
      </c>
      <c r="D327" t="inlineStr">
        <is>
          <t>Health politics : interests and institutions in Western Europe / Ellen M. Immergut.</t>
        </is>
      </c>
      <c r="F327" t="inlineStr">
        <is>
          <t>No</t>
        </is>
      </c>
      <c r="G327" t="inlineStr">
        <is>
          <t>1</t>
        </is>
      </c>
      <c r="H327" t="inlineStr">
        <is>
          <t>Yes</t>
        </is>
      </c>
      <c r="I327" t="inlineStr">
        <is>
          <t>No</t>
        </is>
      </c>
      <c r="J327" t="inlineStr">
        <is>
          <t>0</t>
        </is>
      </c>
      <c r="K327" t="inlineStr">
        <is>
          <t>Immergut, Ellen M.</t>
        </is>
      </c>
      <c r="L327" t="inlineStr">
        <is>
          <t>Cambridge [England] ; New York, NY, USA : Cambridge University Press, 1992.</t>
        </is>
      </c>
      <c r="M327" t="inlineStr">
        <is>
          <t>1992</t>
        </is>
      </c>
      <c r="O327" t="inlineStr">
        <is>
          <t>eng</t>
        </is>
      </c>
      <c r="P327" t="inlineStr">
        <is>
          <t>enk</t>
        </is>
      </c>
      <c r="Q327" t="inlineStr">
        <is>
          <t>Cambridge studies in comparative politics</t>
        </is>
      </c>
      <c r="R327" t="inlineStr">
        <is>
          <t xml:space="preserve">RA </t>
        </is>
      </c>
      <c r="S327" t="n">
        <v>9</v>
      </c>
      <c r="T327" t="n">
        <v>10</v>
      </c>
      <c r="U327" t="inlineStr">
        <is>
          <t>1995-11-07</t>
        </is>
      </c>
      <c r="V327" t="inlineStr">
        <is>
          <t>1995-11-07</t>
        </is>
      </c>
      <c r="W327" t="inlineStr">
        <is>
          <t>1993-12-06</t>
        </is>
      </c>
      <c r="X327" t="inlineStr">
        <is>
          <t>1995-07-23</t>
        </is>
      </c>
      <c r="Y327" t="n">
        <v>359</v>
      </c>
      <c r="Z327" t="n">
        <v>235</v>
      </c>
      <c r="AA327" t="n">
        <v>235</v>
      </c>
      <c r="AB327" t="n">
        <v>3</v>
      </c>
      <c r="AC327" t="n">
        <v>3</v>
      </c>
      <c r="AD327" t="n">
        <v>12</v>
      </c>
      <c r="AE327" t="n">
        <v>12</v>
      </c>
      <c r="AF327" t="n">
        <v>3</v>
      </c>
      <c r="AG327" t="n">
        <v>3</v>
      </c>
      <c r="AH327" t="n">
        <v>6</v>
      </c>
      <c r="AI327" t="n">
        <v>6</v>
      </c>
      <c r="AJ327" t="n">
        <v>6</v>
      </c>
      <c r="AK327" t="n">
        <v>6</v>
      </c>
      <c r="AL327" t="n">
        <v>1</v>
      </c>
      <c r="AM327" t="n">
        <v>1</v>
      </c>
      <c r="AN327" t="n">
        <v>1</v>
      </c>
      <c r="AO327" t="n">
        <v>1</v>
      </c>
      <c r="AP327" t="inlineStr">
        <is>
          <t>No</t>
        </is>
      </c>
      <c r="AQ327" t="inlineStr">
        <is>
          <t>No</t>
        </is>
      </c>
      <c r="AS327">
        <f>HYPERLINK("https://creighton-primo.hosted.exlibrisgroup.com/primo-explore/search?tab=default_tab&amp;search_scope=EVERYTHING&amp;vid=01CRU&amp;lang=en_US&amp;offset=0&amp;query=any,contains,991001745019702656","Catalog Record")</f>
        <v/>
      </c>
      <c r="AT327">
        <f>HYPERLINK("http://www.worldcat.org/oclc/25317487","WorldCat Record")</f>
        <v/>
      </c>
    </row>
    <row r="328">
      <c r="A328" t="inlineStr">
        <is>
          <t>No</t>
        </is>
      </c>
      <c r="B328" t="inlineStr">
        <is>
          <t>RA412.5.U6 W52 1992</t>
        </is>
      </c>
      <c r="C328" t="inlineStr">
        <is>
          <t>0                      RA 0412500U  6                  W  52          1992</t>
        </is>
      </c>
      <c r="D328" t="inlineStr">
        <is>
          <t>Why the United States does not have a national health program / Vicente Navarro, editor.</t>
        </is>
      </c>
      <c r="F328" t="inlineStr">
        <is>
          <t>No</t>
        </is>
      </c>
      <c r="G328" t="inlineStr">
        <is>
          <t>1</t>
        </is>
      </c>
      <c r="H328" t="inlineStr">
        <is>
          <t>Yes</t>
        </is>
      </c>
      <c r="I328" t="inlineStr">
        <is>
          <t>No</t>
        </is>
      </c>
      <c r="J328" t="inlineStr">
        <is>
          <t>0</t>
        </is>
      </c>
      <c r="L328" t="inlineStr">
        <is>
          <t>Amityville, N.Y. : Baywood Pub. Co., c1992.</t>
        </is>
      </c>
      <c r="M328" t="inlineStr">
        <is>
          <t>1992</t>
        </is>
      </c>
      <c r="O328" t="inlineStr">
        <is>
          <t>eng</t>
        </is>
      </c>
      <c r="P328" t="inlineStr">
        <is>
          <t>nyu</t>
        </is>
      </c>
      <c r="Q328" t="inlineStr">
        <is>
          <t>Policy, politics, health and medicine series</t>
        </is>
      </c>
      <c r="R328" t="inlineStr">
        <is>
          <t xml:space="preserve">RA </t>
        </is>
      </c>
      <c r="S328" t="n">
        <v>6</v>
      </c>
      <c r="T328" t="n">
        <v>15</v>
      </c>
      <c r="U328" t="inlineStr">
        <is>
          <t>1996-06-14</t>
        </is>
      </c>
      <c r="V328" t="inlineStr">
        <is>
          <t>2007-04-29</t>
        </is>
      </c>
      <c r="W328" t="inlineStr">
        <is>
          <t>1993-11-15</t>
        </is>
      </c>
      <c r="X328" t="inlineStr">
        <is>
          <t>1996-10-28</t>
        </is>
      </c>
      <c r="Y328" t="n">
        <v>438</v>
      </c>
      <c r="Z328" t="n">
        <v>400</v>
      </c>
      <c r="AA328" t="n">
        <v>428</v>
      </c>
      <c r="AB328" t="n">
        <v>3</v>
      </c>
      <c r="AC328" t="n">
        <v>3</v>
      </c>
      <c r="AD328" t="n">
        <v>23</v>
      </c>
      <c r="AE328" t="n">
        <v>24</v>
      </c>
      <c r="AF328" t="n">
        <v>11</v>
      </c>
      <c r="AG328" t="n">
        <v>11</v>
      </c>
      <c r="AH328" t="n">
        <v>5</v>
      </c>
      <c r="AI328" t="n">
        <v>6</v>
      </c>
      <c r="AJ328" t="n">
        <v>12</v>
      </c>
      <c r="AK328" t="n">
        <v>13</v>
      </c>
      <c r="AL328" t="n">
        <v>1</v>
      </c>
      <c r="AM328" t="n">
        <v>1</v>
      </c>
      <c r="AN328" t="n">
        <v>1</v>
      </c>
      <c r="AO328" t="n">
        <v>1</v>
      </c>
      <c r="AP328" t="inlineStr">
        <is>
          <t>No</t>
        </is>
      </c>
      <c r="AQ328" t="inlineStr">
        <is>
          <t>Yes</t>
        </is>
      </c>
      <c r="AR328">
        <f>HYPERLINK("http://catalog.hathitrust.org/Record/002610246","HathiTrust Record")</f>
        <v/>
      </c>
      <c r="AS328">
        <f>HYPERLINK("https://creighton-primo.hosted.exlibrisgroup.com/primo-explore/search?tab=default_tab&amp;search_scope=EVERYTHING&amp;vid=01CRU&amp;lang=en_US&amp;offset=0&amp;query=any,contains,991001744959702656","Catalog Record")</f>
        <v/>
      </c>
      <c r="AT328">
        <f>HYPERLINK("http://www.worldcat.org/oclc/26400212","WorldCat Record")</f>
        <v/>
      </c>
    </row>
    <row r="329">
      <c r="A329" t="inlineStr">
        <is>
          <t>No</t>
        </is>
      </c>
      <c r="B329" t="inlineStr">
        <is>
          <t>RA413.5.U5 Z44 1998</t>
        </is>
      </c>
      <c r="C329" t="inlineStr">
        <is>
          <t>0                      RA 0413500U  5                  Z  44          1998</t>
        </is>
      </c>
      <c r="D329" t="inlineStr">
        <is>
          <t>The managed care blues and how to cure them / Walter A. Zelman, Robert A. Berenson.</t>
        </is>
      </c>
      <c r="F329" t="inlineStr">
        <is>
          <t>No</t>
        </is>
      </c>
      <c r="G329" t="inlineStr">
        <is>
          <t>1</t>
        </is>
      </c>
      <c r="H329" t="inlineStr">
        <is>
          <t>Yes</t>
        </is>
      </c>
      <c r="I329" t="inlineStr">
        <is>
          <t>No</t>
        </is>
      </c>
      <c r="J329" t="inlineStr">
        <is>
          <t>0</t>
        </is>
      </c>
      <c r="K329" t="inlineStr">
        <is>
          <t>Zelman, Walter A.</t>
        </is>
      </c>
      <c r="L329" t="inlineStr">
        <is>
          <t>Washington, D.C. : Georgetown University Press, c1998.</t>
        </is>
      </c>
      <c r="M329" t="inlineStr">
        <is>
          <t>1998</t>
        </is>
      </c>
      <c r="O329" t="inlineStr">
        <is>
          <t>eng</t>
        </is>
      </c>
      <c r="P329" t="inlineStr">
        <is>
          <t>dcu</t>
        </is>
      </c>
      <c r="R329" t="inlineStr">
        <is>
          <t xml:space="preserve">RA </t>
        </is>
      </c>
      <c r="S329" t="n">
        <v>1</v>
      </c>
      <c r="T329" t="n">
        <v>19</v>
      </c>
      <c r="U329" t="inlineStr">
        <is>
          <t>2005-10-05</t>
        </is>
      </c>
      <c r="V329" t="inlineStr">
        <is>
          <t>2007-04-11</t>
        </is>
      </c>
      <c r="W329" t="inlineStr">
        <is>
          <t>2004-09-24</t>
        </is>
      </c>
      <c r="X329" t="inlineStr">
        <is>
          <t>2004-09-24</t>
        </is>
      </c>
      <c r="Y329" t="n">
        <v>351</v>
      </c>
      <c r="Z329" t="n">
        <v>339</v>
      </c>
      <c r="AA329" t="n">
        <v>344</v>
      </c>
      <c r="AB329" t="n">
        <v>2</v>
      </c>
      <c r="AC329" t="n">
        <v>2</v>
      </c>
      <c r="AD329" t="n">
        <v>13</v>
      </c>
      <c r="AE329" t="n">
        <v>13</v>
      </c>
      <c r="AF329" t="n">
        <v>3</v>
      </c>
      <c r="AG329" t="n">
        <v>3</v>
      </c>
      <c r="AH329" t="n">
        <v>4</v>
      </c>
      <c r="AI329" t="n">
        <v>4</v>
      </c>
      <c r="AJ329" t="n">
        <v>10</v>
      </c>
      <c r="AK329" t="n">
        <v>10</v>
      </c>
      <c r="AL329" t="n">
        <v>0</v>
      </c>
      <c r="AM329" t="n">
        <v>0</v>
      </c>
      <c r="AN329" t="n">
        <v>2</v>
      </c>
      <c r="AO329" t="n">
        <v>2</v>
      </c>
      <c r="AP329" t="inlineStr">
        <is>
          <t>No</t>
        </is>
      </c>
      <c r="AQ329" t="inlineStr">
        <is>
          <t>No</t>
        </is>
      </c>
      <c r="AS329">
        <f>HYPERLINK("https://creighton-primo.hosted.exlibrisgroup.com/primo-explore/search?tab=default_tab&amp;search_scope=EVERYTHING&amp;vid=01CRU&amp;lang=en_US&amp;offset=0&amp;query=any,contains,991001693309702656","Catalog Record")</f>
        <v/>
      </c>
      <c r="AT329">
        <f>HYPERLINK("http://www.worldcat.org/oclc/38992920","WorldCat Record")</f>
        <v/>
      </c>
    </row>
    <row r="330">
      <c r="A330" t="inlineStr">
        <is>
          <t>No</t>
        </is>
      </c>
      <c r="B330" t="inlineStr">
        <is>
          <t>RA418 .P54 1986</t>
        </is>
      </c>
      <c r="C330" t="inlineStr">
        <is>
          <t>0                      RA 0418000P  54          1986</t>
        </is>
      </c>
      <c r="D330" t="inlineStr">
        <is>
          <t>The healing web : social networks and human survival / Marc Pilisuk, Susan Hillier Parks.</t>
        </is>
      </c>
      <c r="F330" t="inlineStr">
        <is>
          <t>No</t>
        </is>
      </c>
      <c r="G330" t="inlineStr">
        <is>
          <t>1</t>
        </is>
      </c>
      <c r="H330" t="inlineStr">
        <is>
          <t>No</t>
        </is>
      </c>
      <c r="I330" t="inlineStr">
        <is>
          <t>No</t>
        </is>
      </c>
      <c r="J330" t="inlineStr">
        <is>
          <t>0</t>
        </is>
      </c>
      <c r="K330" t="inlineStr">
        <is>
          <t>Pilisuk, Marc.</t>
        </is>
      </c>
      <c r="L330" t="inlineStr">
        <is>
          <t>Hanover, NH : University Press of New England, 1986.</t>
        </is>
      </c>
      <c r="M330" t="inlineStr">
        <is>
          <t>1986</t>
        </is>
      </c>
      <c r="O330" t="inlineStr">
        <is>
          <t>eng</t>
        </is>
      </c>
      <c r="P330" t="inlineStr">
        <is>
          <t>nhu</t>
        </is>
      </c>
      <c r="R330" t="inlineStr">
        <is>
          <t xml:space="preserve">RA </t>
        </is>
      </c>
      <c r="S330" t="n">
        <v>1</v>
      </c>
      <c r="T330" t="n">
        <v>1</v>
      </c>
      <c r="U330" t="inlineStr">
        <is>
          <t>1991-04-26</t>
        </is>
      </c>
      <c r="V330" t="inlineStr">
        <is>
          <t>1991-04-26</t>
        </is>
      </c>
      <c r="W330" t="inlineStr">
        <is>
          <t>1988-01-08</t>
        </is>
      </c>
      <c r="X330" t="inlineStr">
        <is>
          <t>1988-01-08</t>
        </is>
      </c>
      <c r="Y330" t="n">
        <v>429</v>
      </c>
      <c r="Z330" t="n">
        <v>357</v>
      </c>
      <c r="AA330" t="n">
        <v>668</v>
      </c>
      <c r="AB330" t="n">
        <v>1</v>
      </c>
      <c r="AC330" t="n">
        <v>2</v>
      </c>
      <c r="AD330" t="n">
        <v>10</v>
      </c>
      <c r="AE330" t="n">
        <v>16</v>
      </c>
      <c r="AF330" t="n">
        <v>4</v>
      </c>
      <c r="AG330" t="n">
        <v>8</v>
      </c>
      <c r="AH330" t="n">
        <v>3</v>
      </c>
      <c r="AI330" t="n">
        <v>4</v>
      </c>
      <c r="AJ330" t="n">
        <v>6</v>
      </c>
      <c r="AK330" t="n">
        <v>7</v>
      </c>
      <c r="AL330" t="n">
        <v>0</v>
      </c>
      <c r="AM330" t="n">
        <v>1</v>
      </c>
      <c r="AN330" t="n">
        <v>0</v>
      </c>
      <c r="AO330" t="n">
        <v>0</v>
      </c>
      <c r="AP330" t="inlineStr">
        <is>
          <t>No</t>
        </is>
      </c>
      <c r="AQ330" t="inlineStr">
        <is>
          <t>Yes</t>
        </is>
      </c>
      <c r="AR330">
        <f>HYPERLINK("http://catalog.hathitrust.org/Record/000667938","HathiTrust Record")</f>
        <v/>
      </c>
      <c r="AS330">
        <f>HYPERLINK("https://creighton-primo.hosted.exlibrisgroup.com/primo-explore/search?tab=default_tab&amp;search_scope=EVERYTHING&amp;vid=01CRU&amp;lang=en_US&amp;offset=0&amp;query=any,contains,991000686719702656","Catalog Record")</f>
        <v/>
      </c>
      <c r="AT330">
        <f>HYPERLINK("http://www.worldcat.org/oclc/12749816","WorldCat Record")</f>
        <v/>
      </c>
    </row>
    <row r="331">
      <c r="A331" t="inlineStr">
        <is>
          <t>No</t>
        </is>
      </c>
      <c r="B331" t="inlineStr">
        <is>
          <t>RA427 .R87 1986</t>
        </is>
      </c>
      <c r="C331" t="inlineStr">
        <is>
          <t>0                      RA 0427000R  87          1986</t>
        </is>
      </c>
      <c r="D331" t="inlineStr">
        <is>
          <t>Is prevention better than cure? / Louise B. Russell.</t>
        </is>
      </c>
      <c r="F331" t="inlineStr">
        <is>
          <t>No</t>
        </is>
      </c>
      <c r="G331" t="inlineStr">
        <is>
          <t>1</t>
        </is>
      </c>
      <c r="H331" t="inlineStr">
        <is>
          <t>Yes</t>
        </is>
      </c>
      <c r="I331" t="inlineStr">
        <is>
          <t>No</t>
        </is>
      </c>
      <c r="J331" t="inlineStr">
        <is>
          <t>0</t>
        </is>
      </c>
      <c r="K331" t="inlineStr">
        <is>
          <t>Russell, Louise B.</t>
        </is>
      </c>
      <c r="L331" t="inlineStr">
        <is>
          <t>Washington, D.C. : Brookings Institution, c1986.</t>
        </is>
      </c>
      <c r="M331" t="inlineStr">
        <is>
          <t>1986</t>
        </is>
      </c>
      <c r="O331" t="inlineStr">
        <is>
          <t>eng</t>
        </is>
      </c>
      <c r="P331" t="inlineStr">
        <is>
          <t>dcu</t>
        </is>
      </c>
      <c r="Q331" t="inlineStr">
        <is>
          <t>Studies in social economics</t>
        </is>
      </c>
      <c r="R331" t="inlineStr">
        <is>
          <t xml:space="preserve">RA </t>
        </is>
      </c>
      <c r="S331" t="n">
        <v>3</v>
      </c>
      <c r="T331" t="n">
        <v>7</v>
      </c>
      <c r="U331" t="inlineStr">
        <is>
          <t>1993-02-11</t>
        </is>
      </c>
      <c r="V331" t="inlineStr">
        <is>
          <t>2003-11-11</t>
        </is>
      </c>
      <c r="W331" t="inlineStr">
        <is>
          <t>1988-01-08</t>
        </is>
      </c>
      <c r="X331" t="inlineStr">
        <is>
          <t>1993-03-10</t>
        </is>
      </c>
      <c r="Y331" t="n">
        <v>724</v>
      </c>
      <c r="Z331" t="n">
        <v>618</v>
      </c>
      <c r="AA331" t="n">
        <v>624</v>
      </c>
      <c r="AB331" t="n">
        <v>4</v>
      </c>
      <c r="AC331" t="n">
        <v>4</v>
      </c>
      <c r="AD331" t="n">
        <v>25</v>
      </c>
      <c r="AE331" t="n">
        <v>25</v>
      </c>
      <c r="AF331" t="n">
        <v>7</v>
      </c>
      <c r="AG331" t="n">
        <v>7</v>
      </c>
      <c r="AH331" t="n">
        <v>7</v>
      </c>
      <c r="AI331" t="n">
        <v>7</v>
      </c>
      <c r="AJ331" t="n">
        <v>16</v>
      </c>
      <c r="AK331" t="n">
        <v>16</v>
      </c>
      <c r="AL331" t="n">
        <v>2</v>
      </c>
      <c r="AM331" t="n">
        <v>2</v>
      </c>
      <c r="AN331" t="n">
        <v>2</v>
      </c>
      <c r="AO331" t="n">
        <v>2</v>
      </c>
      <c r="AP331" t="inlineStr">
        <is>
          <t>No</t>
        </is>
      </c>
      <c r="AQ331" t="inlineStr">
        <is>
          <t>Yes</t>
        </is>
      </c>
      <c r="AR331">
        <f>HYPERLINK("http://catalog.hathitrust.org/Record/000583360","HathiTrust Record")</f>
        <v/>
      </c>
      <c r="AS331">
        <f>HYPERLINK("https://creighton-primo.hosted.exlibrisgroup.com/primo-explore/search?tab=default_tab&amp;search_scope=EVERYTHING&amp;vid=01CRU&amp;lang=en_US&amp;offset=0&amp;query=any,contains,991001758299702656","Catalog Record")</f>
        <v/>
      </c>
      <c r="AT331">
        <f>HYPERLINK("http://www.worldcat.org/oclc/12557363","WorldCat Record")</f>
        <v/>
      </c>
    </row>
    <row r="332">
      <c r="A332" t="inlineStr">
        <is>
          <t>No</t>
        </is>
      </c>
      <c r="B332" t="inlineStr">
        <is>
          <t>RA427 .W49 1994</t>
        </is>
      </c>
      <c r="C332" t="inlineStr">
        <is>
          <t>0                      RA 0427000W  49          1994</t>
        </is>
      </c>
      <c r="D332" t="inlineStr">
        <is>
          <t>Why are some people healthy and others not? : the determinants of health of populations / Robert G. Evans, Morris L. Barer, and Theodore R. Marmor, editors.</t>
        </is>
      </c>
      <c r="F332" t="inlineStr">
        <is>
          <t>No</t>
        </is>
      </c>
      <c r="G332" t="inlineStr">
        <is>
          <t>1</t>
        </is>
      </c>
      <c r="H332" t="inlineStr">
        <is>
          <t>Yes</t>
        </is>
      </c>
      <c r="I332" t="inlineStr">
        <is>
          <t>No</t>
        </is>
      </c>
      <c r="J332" t="inlineStr">
        <is>
          <t>0</t>
        </is>
      </c>
      <c r="L332" t="inlineStr">
        <is>
          <t>New York : A. de Gruyter, c1994.</t>
        </is>
      </c>
      <c r="M332" t="inlineStr">
        <is>
          <t>1994</t>
        </is>
      </c>
      <c r="O332" t="inlineStr">
        <is>
          <t>eng</t>
        </is>
      </c>
      <c r="P332" t="inlineStr">
        <is>
          <t>nyu</t>
        </is>
      </c>
      <c r="Q332" t="inlineStr">
        <is>
          <t>Social institutions and social change</t>
        </is>
      </c>
      <c r="R332" t="inlineStr">
        <is>
          <t xml:space="preserve">RA </t>
        </is>
      </c>
      <c r="S332" t="n">
        <v>7</v>
      </c>
      <c r="T332" t="n">
        <v>15</v>
      </c>
      <c r="U332" t="inlineStr">
        <is>
          <t>2008-01-08</t>
        </is>
      </c>
      <c r="V332" t="inlineStr">
        <is>
          <t>2008-01-08</t>
        </is>
      </c>
      <c r="W332" t="inlineStr">
        <is>
          <t>1994-09-23</t>
        </is>
      </c>
      <c r="X332" t="inlineStr">
        <is>
          <t>1995-04-05</t>
        </is>
      </c>
      <c r="Y332" t="n">
        <v>684</v>
      </c>
      <c r="Z332" t="n">
        <v>514</v>
      </c>
      <c r="AA332" t="n">
        <v>542</v>
      </c>
      <c r="AB332" t="n">
        <v>6</v>
      </c>
      <c r="AC332" t="n">
        <v>6</v>
      </c>
      <c r="AD332" t="n">
        <v>28</v>
      </c>
      <c r="AE332" t="n">
        <v>28</v>
      </c>
      <c r="AF332" t="n">
        <v>9</v>
      </c>
      <c r="AG332" t="n">
        <v>9</v>
      </c>
      <c r="AH332" t="n">
        <v>6</v>
      </c>
      <c r="AI332" t="n">
        <v>6</v>
      </c>
      <c r="AJ332" t="n">
        <v>15</v>
      </c>
      <c r="AK332" t="n">
        <v>15</v>
      </c>
      <c r="AL332" t="n">
        <v>4</v>
      </c>
      <c r="AM332" t="n">
        <v>4</v>
      </c>
      <c r="AN332" t="n">
        <v>0</v>
      </c>
      <c r="AO332" t="n">
        <v>0</v>
      </c>
      <c r="AP332" t="inlineStr">
        <is>
          <t>No</t>
        </is>
      </c>
      <c r="AQ332" t="inlineStr">
        <is>
          <t>No</t>
        </is>
      </c>
      <c r="AS332">
        <f>HYPERLINK("https://creighton-primo.hosted.exlibrisgroup.com/primo-explore/search?tab=default_tab&amp;search_scope=EVERYTHING&amp;vid=01CRU&amp;lang=en_US&amp;offset=0&amp;query=any,contains,991001795719702656","Catalog Record")</f>
        <v/>
      </c>
      <c r="AT332">
        <f>HYPERLINK("http://www.worldcat.org/oclc/30319256","WorldCat Record")</f>
        <v/>
      </c>
    </row>
    <row r="333">
      <c r="A333" t="inlineStr">
        <is>
          <t>No</t>
        </is>
      </c>
      <c r="B333" t="inlineStr">
        <is>
          <t>RA427.8 .H494 1990</t>
        </is>
      </c>
      <c r="C333" t="inlineStr">
        <is>
          <t>0                      RA 0427800H  494         1990</t>
        </is>
      </c>
      <c r="D333" t="inlineStr">
        <is>
          <t>Health promotion at the community level / Neil Bracht, editor.</t>
        </is>
      </c>
      <c r="F333" t="inlineStr">
        <is>
          <t>No</t>
        </is>
      </c>
      <c r="G333" t="inlineStr">
        <is>
          <t>1</t>
        </is>
      </c>
      <c r="H333" t="inlineStr">
        <is>
          <t>Yes</t>
        </is>
      </c>
      <c r="I333" t="inlineStr">
        <is>
          <t>No</t>
        </is>
      </c>
      <c r="J333" t="inlineStr">
        <is>
          <t>0</t>
        </is>
      </c>
      <c r="L333" t="inlineStr">
        <is>
          <t>Newbury Park, Calif. : Sage Publications, c1990.</t>
        </is>
      </c>
      <c r="M333" t="inlineStr">
        <is>
          <t>1990</t>
        </is>
      </c>
      <c r="O333" t="inlineStr">
        <is>
          <t>eng</t>
        </is>
      </c>
      <c r="P333" t="inlineStr">
        <is>
          <t>cau</t>
        </is>
      </c>
      <c r="Q333" t="inlineStr">
        <is>
          <t>Sage sourcebooks for the human services series ; 15</t>
        </is>
      </c>
      <c r="R333" t="inlineStr">
        <is>
          <t xml:space="preserve">RA </t>
        </is>
      </c>
      <c r="S333" t="n">
        <v>19</v>
      </c>
      <c r="T333" t="n">
        <v>29</v>
      </c>
      <c r="U333" t="inlineStr">
        <is>
          <t>2001-12-30</t>
        </is>
      </c>
      <c r="V333" t="inlineStr">
        <is>
          <t>2001-12-30</t>
        </is>
      </c>
      <c r="W333" t="inlineStr">
        <is>
          <t>1992-08-21</t>
        </is>
      </c>
      <c r="X333" t="inlineStr">
        <is>
          <t>1994-05-06</t>
        </is>
      </c>
      <c r="Y333" t="n">
        <v>384</v>
      </c>
      <c r="Z333" t="n">
        <v>256</v>
      </c>
      <c r="AA333" t="n">
        <v>263</v>
      </c>
      <c r="AB333" t="n">
        <v>4</v>
      </c>
      <c r="AC333" t="n">
        <v>4</v>
      </c>
      <c r="AD333" t="n">
        <v>12</v>
      </c>
      <c r="AE333" t="n">
        <v>12</v>
      </c>
      <c r="AF333" t="n">
        <v>5</v>
      </c>
      <c r="AG333" t="n">
        <v>5</v>
      </c>
      <c r="AH333" t="n">
        <v>4</v>
      </c>
      <c r="AI333" t="n">
        <v>4</v>
      </c>
      <c r="AJ333" t="n">
        <v>6</v>
      </c>
      <c r="AK333" t="n">
        <v>6</v>
      </c>
      <c r="AL333" t="n">
        <v>2</v>
      </c>
      <c r="AM333" t="n">
        <v>2</v>
      </c>
      <c r="AN333" t="n">
        <v>0</v>
      </c>
      <c r="AO333" t="n">
        <v>0</v>
      </c>
      <c r="AP333" t="inlineStr">
        <is>
          <t>No</t>
        </is>
      </c>
      <c r="AQ333" t="inlineStr">
        <is>
          <t>Yes</t>
        </is>
      </c>
      <c r="AR333">
        <f>HYPERLINK("http://catalog.hathitrust.org/Record/002238424","HathiTrust Record")</f>
        <v/>
      </c>
      <c r="AS333">
        <f>HYPERLINK("https://creighton-primo.hosted.exlibrisgroup.com/primo-explore/search?tab=default_tab&amp;search_scope=EVERYTHING&amp;vid=01CRU&amp;lang=en_US&amp;offset=0&amp;query=any,contains,991001796059702656","Catalog Record")</f>
        <v/>
      </c>
      <c r="AT333">
        <f>HYPERLINK("http://www.worldcat.org/oclc/21763176","WorldCat Record")</f>
        <v/>
      </c>
    </row>
    <row r="334">
      <c r="A334" t="inlineStr">
        <is>
          <t>No</t>
        </is>
      </c>
      <c r="B334" t="inlineStr">
        <is>
          <t>RA440.6 .C36 1997</t>
        </is>
      </c>
      <c r="C334" t="inlineStr">
        <is>
          <t>0                      RA 0440600C  36          1997</t>
        </is>
      </c>
      <c r="D334" t="inlineStr">
        <is>
          <t>Quality care : prescriptions for injecting quality into healthcare systems / Marlene Caroselli, with Linda Edison.</t>
        </is>
      </c>
      <c r="F334" t="inlineStr">
        <is>
          <t>No</t>
        </is>
      </c>
      <c r="G334" t="inlineStr">
        <is>
          <t>1</t>
        </is>
      </c>
      <c r="H334" t="inlineStr">
        <is>
          <t>Yes</t>
        </is>
      </c>
      <c r="I334" t="inlineStr">
        <is>
          <t>No</t>
        </is>
      </c>
      <c r="J334" t="inlineStr">
        <is>
          <t>0</t>
        </is>
      </c>
      <c r="K334" t="inlineStr">
        <is>
          <t>Caroselli, Marlene.</t>
        </is>
      </c>
      <c r="L334" t="inlineStr">
        <is>
          <t>Boca Raton, Fla. : St. Lucie Press, c1997.</t>
        </is>
      </c>
      <c r="M334" t="inlineStr">
        <is>
          <t>1997</t>
        </is>
      </c>
      <c r="O334" t="inlineStr">
        <is>
          <t>eng</t>
        </is>
      </c>
      <c r="P334" t="inlineStr">
        <is>
          <t>flu</t>
        </is>
      </c>
      <c r="R334" t="inlineStr">
        <is>
          <t xml:space="preserve">RA </t>
        </is>
      </c>
      <c r="S334" t="n">
        <v>10</v>
      </c>
      <c r="T334" t="n">
        <v>10</v>
      </c>
      <c r="U334" t="inlineStr">
        <is>
          <t>2006-10-10</t>
        </is>
      </c>
      <c r="V334" t="inlineStr">
        <is>
          <t>2006-10-10</t>
        </is>
      </c>
      <c r="W334" t="inlineStr">
        <is>
          <t>1997-06-30</t>
        </is>
      </c>
      <c r="X334" t="inlineStr">
        <is>
          <t>1998-08-03</t>
        </is>
      </c>
      <c r="Y334" t="n">
        <v>150</v>
      </c>
      <c r="Z334" t="n">
        <v>119</v>
      </c>
      <c r="AA334" t="n">
        <v>119</v>
      </c>
      <c r="AB334" t="n">
        <v>2</v>
      </c>
      <c r="AC334" t="n">
        <v>2</v>
      </c>
      <c r="AD334" t="n">
        <v>5</v>
      </c>
      <c r="AE334" t="n">
        <v>5</v>
      </c>
      <c r="AF334" t="n">
        <v>2</v>
      </c>
      <c r="AG334" t="n">
        <v>2</v>
      </c>
      <c r="AH334" t="n">
        <v>2</v>
      </c>
      <c r="AI334" t="n">
        <v>2</v>
      </c>
      <c r="AJ334" t="n">
        <v>3</v>
      </c>
      <c r="AK334" t="n">
        <v>3</v>
      </c>
      <c r="AL334" t="n">
        <v>0</v>
      </c>
      <c r="AM334" t="n">
        <v>0</v>
      </c>
      <c r="AN334" t="n">
        <v>0</v>
      </c>
      <c r="AO334" t="n">
        <v>0</v>
      </c>
      <c r="AP334" t="inlineStr">
        <is>
          <t>No</t>
        </is>
      </c>
      <c r="AQ334" t="inlineStr">
        <is>
          <t>No</t>
        </is>
      </c>
      <c r="AS334">
        <f>HYPERLINK("https://creighton-primo.hosted.exlibrisgroup.com/primo-explore/search?tab=default_tab&amp;search_scope=EVERYTHING&amp;vid=01CRU&amp;lang=en_US&amp;offset=0&amp;query=any,contains,991001792119702656","Catalog Record")</f>
        <v/>
      </c>
      <c r="AT334">
        <f>HYPERLINK("http://www.worldcat.org/oclc/37019372","WorldCat Record")</f>
        <v/>
      </c>
    </row>
    <row r="335">
      <c r="A335" t="inlineStr">
        <is>
          <t>No</t>
        </is>
      </c>
      <c r="B335" t="inlineStr">
        <is>
          <t>RA445 .H3364 2000</t>
        </is>
      </c>
      <c r="C335" t="inlineStr">
        <is>
          <t>0                      RA 0445000H  3364        2000</t>
        </is>
      </c>
      <c r="D335" t="inlineStr">
        <is>
          <t>Health and health care 2010 : the forecast, the challenge / [contributors, Roy Amara ... [et al.]].</t>
        </is>
      </c>
      <c r="F335" t="inlineStr">
        <is>
          <t>No</t>
        </is>
      </c>
      <c r="G335" t="inlineStr">
        <is>
          <t>1</t>
        </is>
      </c>
      <c r="H335" t="inlineStr">
        <is>
          <t>Yes</t>
        </is>
      </c>
      <c r="I335" t="inlineStr">
        <is>
          <t>No</t>
        </is>
      </c>
      <c r="J335" t="inlineStr">
        <is>
          <t>0</t>
        </is>
      </c>
      <c r="L335" t="inlineStr">
        <is>
          <t>San Francisco : Jossey-Bass, 2000.</t>
        </is>
      </c>
      <c r="M335" t="inlineStr">
        <is>
          <t>2000</t>
        </is>
      </c>
      <c r="O335" t="inlineStr">
        <is>
          <t>eng</t>
        </is>
      </c>
      <c r="P335" t="inlineStr">
        <is>
          <t>cau</t>
        </is>
      </c>
      <c r="R335" t="inlineStr">
        <is>
          <t xml:space="preserve">RA </t>
        </is>
      </c>
      <c r="S335" t="n">
        <v>5</v>
      </c>
      <c r="T335" t="n">
        <v>15</v>
      </c>
      <c r="U335" t="inlineStr">
        <is>
          <t>2003-03-06</t>
        </is>
      </c>
      <c r="V335" t="inlineStr">
        <is>
          <t>2003-11-08</t>
        </is>
      </c>
      <c r="W335" t="inlineStr">
        <is>
          <t>2001-11-15</t>
        </is>
      </c>
      <c r="X335" t="inlineStr">
        <is>
          <t>2001-11-15</t>
        </is>
      </c>
      <c r="Y335" t="n">
        <v>457</v>
      </c>
      <c r="Z335" t="n">
        <v>417</v>
      </c>
      <c r="AA335" t="n">
        <v>677</v>
      </c>
      <c r="AB335" t="n">
        <v>4</v>
      </c>
      <c r="AC335" t="n">
        <v>4</v>
      </c>
      <c r="AD335" t="n">
        <v>20</v>
      </c>
      <c r="AE335" t="n">
        <v>29</v>
      </c>
      <c r="AF335" t="n">
        <v>10</v>
      </c>
      <c r="AG335" t="n">
        <v>13</v>
      </c>
      <c r="AH335" t="n">
        <v>5</v>
      </c>
      <c r="AI335" t="n">
        <v>7</v>
      </c>
      <c r="AJ335" t="n">
        <v>6</v>
      </c>
      <c r="AK335" t="n">
        <v>12</v>
      </c>
      <c r="AL335" t="n">
        <v>2</v>
      </c>
      <c r="AM335" t="n">
        <v>2</v>
      </c>
      <c r="AN335" t="n">
        <v>0</v>
      </c>
      <c r="AO335" t="n">
        <v>0</v>
      </c>
      <c r="AP335" t="inlineStr">
        <is>
          <t>No</t>
        </is>
      </c>
      <c r="AQ335" t="inlineStr">
        <is>
          <t>Yes</t>
        </is>
      </c>
      <c r="AR335">
        <f>HYPERLINK("http://catalog.hathitrust.org/Record/003513176","HathiTrust Record")</f>
        <v/>
      </c>
      <c r="AS335">
        <f>HYPERLINK("https://creighton-primo.hosted.exlibrisgroup.com/primo-explore/search?tab=default_tab&amp;search_scope=EVERYTHING&amp;vid=01CRU&amp;lang=en_US&amp;offset=0&amp;query=any,contains,991001702479702656","Catalog Record")</f>
        <v/>
      </c>
      <c r="AT335">
        <f>HYPERLINK("http://www.worldcat.org/oclc/42980220","WorldCat Record")</f>
        <v/>
      </c>
    </row>
    <row r="336">
      <c r="A336" t="inlineStr">
        <is>
          <t>No</t>
        </is>
      </c>
      <c r="B336" t="inlineStr">
        <is>
          <t>RA448.4 .M566 2000</t>
        </is>
      </c>
      <c r="C336" t="inlineStr">
        <is>
          <t>0                      RA 0448400M  566         2000</t>
        </is>
      </c>
      <c r="D336" t="inlineStr">
        <is>
          <t>Minority health in America : findings and policy implications from the Commonwealth Fund minority health survey / edited by Carol J.R. Hogue, Martha A. Hargraves, Karen Scott Collins.</t>
        </is>
      </c>
      <c r="F336" t="inlineStr">
        <is>
          <t>No</t>
        </is>
      </c>
      <c r="G336" t="inlineStr">
        <is>
          <t>2</t>
        </is>
      </c>
      <c r="H336" t="inlineStr">
        <is>
          <t>Yes</t>
        </is>
      </c>
      <c r="I336" t="inlineStr">
        <is>
          <t>No</t>
        </is>
      </c>
      <c r="J336" t="inlineStr">
        <is>
          <t>0</t>
        </is>
      </c>
      <c r="L336" t="inlineStr">
        <is>
          <t>Baltimore, Md. : Johns Hopkins University Press, 2000.</t>
        </is>
      </c>
      <c r="M336" t="inlineStr">
        <is>
          <t>2000</t>
        </is>
      </c>
      <c r="O336" t="inlineStr">
        <is>
          <t>eng</t>
        </is>
      </c>
      <c r="P336" t="inlineStr">
        <is>
          <t>mdu</t>
        </is>
      </c>
      <c r="R336" t="inlineStr">
        <is>
          <t xml:space="preserve">RA </t>
        </is>
      </c>
      <c r="S336" t="n">
        <v>4</v>
      </c>
      <c r="T336" t="n">
        <v>14</v>
      </c>
      <c r="U336" t="inlineStr">
        <is>
          <t>2001-03-31</t>
        </is>
      </c>
      <c r="V336" t="inlineStr">
        <is>
          <t>2006-10-30</t>
        </is>
      </c>
      <c r="W336" t="inlineStr">
        <is>
          <t>2001-03-19</t>
        </is>
      </c>
      <c r="X336" t="inlineStr">
        <is>
          <t>2004-06-05</t>
        </is>
      </c>
      <c r="Y336" t="n">
        <v>474</v>
      </c>
      <c r="Z336" t="n">
        <v>451</v>
      </c>
      <c r="AA336" t="n">
        <v>453</v>
      </c>
      <c r="AB336" t="n">
        <v>2</v>
      </c>
      <c r="AC336" t="n">
        <v>2</v>
      </c>
      <c r="AD336" t="n">
        <v>22</v>
      </c>
      <c r="AE336" t="n">
        <v>22</v>
      </c>
      <c r="AF336" t="n">
        <v>11</v>
      </c>
      <c r="AG336" t="n">
        <v>11</v>
      </c>
      <c r="AH336" t="n">
        <v>6</v>
      </c>
      <c r="AI336" t="n">
        <v>6</v>
      </c>
      <c r="AJ336" t="n">
        <v>10</v>
      </c>
      <c r="AK336" t="n">
        <v>10</v>
      </c>
      <c r="AL336" t="n">
        <v>1</v>
      </c>
      <c r="AM336" t="n">
        <v>1</v>
      </c>
      <c r="AN336" t="n">
        <v>0</v>
      </c>
      <c r="AO336" t="n">
        <v>0</v>
      </c>
      <c r="AP336" t="inlineStr">
        <is>
          <t>No</t>
        </is>
      </c>
      <c r="AQ336" t="inlineStr">
        <is>
          <t>Yes</t>
        </is>
      </c>
      <c r="AR336">
        <f>HYPERLINK("http://catalog.hathitrust.org/Record/004097620","HathiTrust Record")</f>
        <v/>
      </c>
      <c r="AS336">
        <f>HYPERLINK("https://creighton-primo.hosted.exlibrisgroup.com/primo-explore/search?tab=default_tab&amp;search_scope=EVERYTHING&amp;vid=01CRU&amp;lang=en_US&amp;offset=0&amp;query=any,contains,991001813109702656","Catalog Record")</f>
        <v/>
      </c>
      <c r="AT336">
        <f>HYPERLINK("http://www.worldcat.org/oclc/41326247","WorldCat Record")</f>
        <v/>
      </c>
    </row>
    <row r="337">
      <c r="A337" t="inlineStr">
        <is>
          <t>No</t>
        </is>
      </c>
      <c r="B337" t="inlineStr">
        <is>
          <t>RA448.4 .M566 2000</t>
        </is>
      </c>
      <c r="C337" t="inlineStr">
        <is>
          <t>0                      RA 0448400M  566         2000</t>
        </is>
      </c>
      <c r="D337" t="inlineStr">
        <is>
          <t>Minority health in America : findings and policy implications from the Commonwealth Fund minority health survey / edited by Carol J.R. Hogue, Martha A. Hargraves, Karen Scott Collins.</t>
        </is>
      </c>
      <c r="F337" t="inlineStr">
        <is>
          <t>No</t>
        </is>
      </c>
      <c r="G337" t="inlineStr">
        <is>
          <t>1</t>
        </is>
      </c>
      <c r="H337" t="inlineStr">
        <is>
          <t>Yes</t>
        </is>
      </c>
      <c r="I337" t="inlineStr">
        <is>
          <t>No</t>
        </is>
      </c>
      <c r="J337" t="inlineStr">
        <is>
          <t>0</t>
        </is>
      </c>
      <c r="L337" t="inlineStr">
        <is>
          <t>Baltimore, Md. : Johns Hopkins University Press, 2000.</t>
        </is>
      </c>
      <c r="M337" t="inlineStr">
        <is>
          <t>2000</t>
        </is>
      </c>
      <c r="O337" t="inlineStr">
        <is>
          <t>eng</t>
        </is>
      </c>
      <c r="P337" t="inlineStr">
        <is>
          <t>mdu</t>
        </is>
      </c>
      <c r="R337" t="inlineStr">
        <is>
          <t xml:space="preserve">RA </t>
        </is>
      </c>
      <c r="S337" t="n">
        <v>2</v>
      </c>
      <c r="T337" t="n">
        <v>14</v>
      </c>
      <c r="U337" t="inlineStr">
        <is>
          <t>2004-08-05</t>
        </is>
      </c>
      <c r="V337" t="inlineStr">
        <is>
          <t>2006-10-30</t>
        </is>
      </c>
      <c r="W337" t="inlineStr">
        <is>
          <t>2004-06-05</t>
        </is>
      </c>
      <c r="X337" t="inlineStr">
        <is>
          <t>2004-06-05</t>
        </is>
      </c>
      <c r="Y337" t="n">
        <v>474</v>
      </c>
      <c r="Z337" t="n">
        <v>451</v>
      </c>
      <c r="AA337" t="n">
        <v>453</v>
      </c>
      <c r="AB337" t="n">
        <v>2</v>
      </c>
      <c r="AC337" t="n">
        <v>2</v>
      </c>
      <c r="AD337" t="n">
        <v>22</v>
      </c>
      <c r="AE337" t="n">
        <v>22</v>
      </c>
      <c r="AF337" t="n">
        <v>11</v>
      </c>
      <c r="AG337" t="n">
        <v>11</v>
      </c>
      <c r="AH337" t="n">
        <v>6</v>
      </c>
      <c r="AI337" t="n">
        <v>6</v>
      </c>
      <c r="AJ337" t="n">
        <v>10</v>
      </c>
      <c r="AK337" t="n">
        <v>10</v>
      </c>
      <c r="AL337" t="n">
        <v>1</v>
      </c>
      <c r="AM337" t="n">
        <v>1</v>
      </c>
      <c r="AN337" t="n">
        <v>0</v>
      </c>
      <c r="AO337" t="n">
        <v>0</v>
      </c>
      <c r="AP337" t="inlineStr">
        <is>
          <t>No</t>
        </is>
      </c>
      <c r="AQ337" t="inlineStr">
        <is>
          <t>Yes</t>
        </is>
      </c>
      <c r="AR337">
        <f>HYPERLINK("http://catalog.hathitrust.org/Record/004097620","HathiTrust Record")</f>
        <v/>
      </c>
      <c r="AS337">
        <f>HYPERLINK("https://creighton-primo.hosted.exlibrisgroup.com/primo-explore/search?tab=default_tab&amp;search_scope=EVERYTHING&amp;vid=01CRU&amp;lang=en_US&amp;offset=0&amp;query=any,contains,991001813109702656","Catalog Record")</f>
        <v/>
      </c>
      <c r="AT337">
        <f>HYPERLINK("http://www.worldcat.org/oclc/41326247","WorldCat Record")</f>
        <v/>
      </c>
    </row>
    <row r="338">
      <c r="A338" t="inlineStr">
        <is>
          <t>No</t>
        </is>
      </c>
      <c r="B338" t="inlineStr">
        <is>
          <t>RA448.5.I5 D57 1998</t>
        </is>
      </c>
      <c r="C338" t="inlineStr">
        <is>
          <t>0                      RA 0448500I  5                  D  57          1998</t>
        </is>
      </c>
      <c r="D338" t="inlineStr">
        <is>
          <t>Managed care in American Indian and Alaska native communities / Mim Dixon.</t>
        </is>
      </c>
      <c r="F338" t="inlineStr">
        <is>
          <t>No</t>
        </is>
      </c>
      <c r="G338" t="inlineStr">
        <is>
          <t>1</t>
        </is>
      </c>
      <c r="H338" t="inlineStr">
        <is>
          <t>No</t>
        </is>
      </c>
      <c r="I338" t="inlineStr">
        <is>
          <t>No</t>
        </is>
      </c>
      <c r="J338" t="inlineStr">
        <is>
          <t>0</t>
        </is>
      </c>
      <c r="K338" t="inlineStr">
        <is>
          <t>Dixon, Mim.</t>
        </is>
      </c>
      <c r="L338" t="inlineStr">
        <is>
          <t>Washington, D.C. : American Public Health Association, c1998.</t>
        </is>
      </c>
      <c r="M338" t="inlineStr">
        <is>
          <t>1998</t>
        </is>
      </c>
      <c r="O338" t="inlineStr">
        <is>
          <t>eng</t>
        </is>
      </c>
      <c r="P338" t="inlineStr">
        <is>
          <t>dcu</t>
        </is>
      </c>
      <c r="R338" t="inlineStr">
        <is>
          <t xml:space="preserve">RA </t>
        </is>
      </c>
      <c r="S338" t="n">
        <v>0</v>
      </c>
      <c r="T338" t="n">
        <v>0</v>
      </c>
      <c r="U338" t="inlineStr">
        <is>
          <t>2004-06-06</t>
        </is>
      </c>
      <c r="V338" t="inlineStr">
        <is>
          <t>2004-06-06</t>
        </is>
      </c>
      <c r="W338" t="inlineStr">
        <is>
          <t>2004-06-03</t>
        </is>
      </c>
      <c r="X338" t="inlineStr">
        <is>
          <t>2004-06-03</t>
        </is>
      </c>
      <c r="Y338" t="n">
        <v>85</v>
      </c>
      <c r="Z338" t="n">
        <v>84</v>
      </c>
      <c r="AA338" t="n">
        <v>86</v>
      </c>
      <c r="AB338" t="n">
        <v>1</v>
      </c>
      <c r="AC338" t="n">
        <v>1</v>
      </c>
      <c r="AD338" t="n">
        <v>2</v>
      </c>
      <c r="AE338" t="n">
        <v>2</v>
      </c>
      <c r="AF338" t="n">
        <v>1</v>
      </c>
      <c r="AG338" t="n">
        <v>1</v>
      </c>
      <c r="AH338" t="n">
        <v>0</v>
      </c>
      <c r="AI338" t="n">
        <v>0</v>
      </c>
      <c r="AJ338" t="n">
        <v>1</v>
      </c>
      <c r="AK338" t="n">
        <v>1</v>
      </c>
      <c r="AL338" t="n">
        <v>0</v>
      </c>
      <c r="AM338" t="n">
        <v>0</v>
      </c>
      <c r="AN338" t="n">
        <v>1</v>
      </c>
      <c r="AO338" t="n">
        <v>1</v>
      </c>
      <c r="AP338" t="inlineStr">
        <is>
          <t>No</t>
        </is>
      </c>
      <c r="AQ338" t="inlineStr">
        <is>
          <t>Yes</t>
        </is>
      </c>
      <c r="AR338">
        <f>HYPERLINK("http://catalog.hathitrust.org/Record/004576181","HathiTrust Record")</f>
        <v/>
      </c>
      <c r="AS338">
        <f>HYPERLINK("https://creighton-primo.hosted.exlibrisgroup.com/primo-explore/search?tab=default_tab&amp;search_scope=EVERYTHING&amp;vid=01CRU&amp;lang=en_US&amp;offset=0&amp;query=any,contains,991000370999702656","Catalog Record")</f>
        <v/>
      </c>
      <c r="AT338">
        <f>HYPERLINK("http://www.worldcat.org/oclc/40908083","WorldCat Record")</f>
        <v/>
      </c>
    </row>
    <row r="339">
      <c r="A339" t="inlineStr">
        <is>
          <t>No</t>
        </is>
      </c>
      <c r="B339" t="inlineStr">
        <is>
          <t>RA527 .W54 1976</t>
        </is>
      </c>
      <c r="C339" t="inlineStr">
        <is>
          <t>0                      RA 0527000W  54          1976</t>
        </is>
      </c>
      <c r="D339" t="inlineStr">
        <is>
          <t>The delivery of health services in the People's Republic of China.</t>
        </is>
      </c>
      <c r="F339" t="inlineStr">
        <is>
          <t>No</t>
        </is>
      </c>
      <c r="G339" t="inlineStr">
        <is>
          <t>1</t>
        </is>
      </c>
      <c r="H339" t="inlineStr">
        <is>
          <t>No</t>
        </is>
      </c>
      <c r="I339" t="inlineStr">
        <is>
          <t>No</t>
        </is>
      </c>
      <c r="J339" t="inlineStr">
        <is>
          <t>0</t>
        </is>
      </c>
      <c r="K339" t="inlineStr">
        <is>
          <t>Wilenski, Peter.</t>
        </is>
      </c>
      <c r="L339" t="inlineStr">
        <is>
          <t>-- Ottawa : International Development Research Centre, 1976.</t>
        </is>
      </c>
      <c r="M339" t="inlineStr">
        <is>
          <t>1976</t>
        </is>
      </c>
      <c r="O339" t="inlineStr">
        <is>
          <t>eng</t>
        </is>
      </c>
      <c r="P339" t="inlineStr">
        <is>
          <t xml:space="preserve">xx </t>
        </is>
      </c>
      <c r="Q339" t="inlineStr">
        <is>
          <t>IDRC ; 056e</t>
        </is>
      </c>
      <c r="R339" t="inlineStr">
        <is>
          <t xml:space="preserve">RA </t>
        </is>
      </c>
      <c r="S339" t="n">
        <v>4</v>
      </c>
      <c r="T339" t="n">
        <v>4</v>
      </c>
      <c r="U339" t="inlineStr">
        <is>
          <t>1993-01-21</t>
        </is>
      </c>
      <c r="V339" t="inlineStr">
        <is>
          <t>1993-01-21</t>
        </is>
      </c>
      <c r="W339" t="inlineStr">
        <is>
          <t>1987-12-22</t>
        </is>
      </c>
      <c r="X339" t="inlineStr">
        <is>
          <t>1987-12-22</t>
        </is>
      </c>
      <c r="Y339" t="n">
        <v>124</v>
      </c>
      <c r="Z339" t="n">
        <v>56</v>
      </c>
      <c r="AA339" t="n">
        <v>72</v>
      </c>
      <c r="AB339" t="n">
        <v>1</v>
      </c>
      <c r="AC339" t="n">
        <v>1</v>
      </c>
      <c r="AD339" t="n">
        <v>1</v>
      </c>
      <c r="AE339" t="n">
        <v>2</v>
      </c>
      <c r="AF339" t="n">
        <v>0</v>
      </c>
      <c r="AG339" t="n">
        <v>0</v>
      </c>
      <c r="AH339" t="n">
        <v>0</v>
      </c>
      <c r="AI339" t="n">
        <v>1</v>
      </c>
      <c r="AJ339" t="n">
        <v>1</v>
      </c>
      <c r="AK339" t="n">
        <v>1</v>
      </c>
      <c r="AL339" t="n">
        <v>0</v>
      </c>
      <c r="AM339" t="n">
        <v>0</v>
      </c>
      <c r="AN339" t="n">
        <v>0</v>
      </c>
      <c r="AO339" t="n">
        <v>0</v>
      </c>
      <c r="AP339" t="inlineStr">
        <is>
          <t>No</t>
        </is>
      </c>
      <c r="AQ339" t="inlineStr">
        <is>
          <t>Yes</t>
        </is>
      </c>
      <c r="AR339">
        <f>HYPERLINK("http://catalog.hathitrust.org/Record/102219538","HathiTrust Record")</f>
        <v/>
      </c>
      <c r="AS339">
        <f>HYPERLINK("https://creighton-primo.hosted.exlibrisgroup.com/primo-explore/search?tab=default_tab&amp;search_scope=EVERYTHING&amp;vid=01CRU&amp;lang=en_US&amp;offset=0&amp;query=any,contains,991000657859702656","Catalog Record")</f>
        <v/>
      </c>
      <c r="AT339">
        <f>HYPERLINK("http://www.worldcat.org/oclc/28912440","WorldCat Record")</f>
        <v/>
      </c>
    </row>
    <row r="340">
      <c r="A340" t="inlineStr">
        <is>
          <t>No</t>
        </is>
      </c>
      <c r="B340" t="inlineStr">
        <is>
          <t>RA552.S6 H43</t>
        </is>
      </c>
      <c r="C340" t="inlineStr">
        <is>
          <t>0                      RA 0552000S  6                  H  43</t>
        </is>
      </c>
      <c r="D340" t="inlineStr">
        <is>
          <t>The Health of the people : a review of health services in the Republic of South Africa in the mid-seventies.</t>
        </is>
      </c>
      <c r="F340" t="inlineStr">
        <is>
          <t>No</t>
        </is>
      </c>
      <c r="G340" t="inlineStr">
        <is>
          <t>1</t>
        </is>
      </c>
      <c r="H340" t="inlineStr">
        <is>
          <t>Yes</t>
        </is>
      </c>
      <c r="I340" t="inlineStr">
        <is>
          <t>No</t>
        </is>
      </c>
      <c r="J340" t="inlineStr">
        <is>
          <t>0</t>
        </is>
      </c>
      <c r="L340" t="inlineStr">
        <is>
          <t>Johannesburg : C. van Rensburg Publications, 1977.</t>
        </is>
      </c>
      <c r="M340" t="inlineStr">
        <is>
          <t>1977</t>
        </is>
      </c>
      <c r="O340" t="inlineStr">
        <is>
          <t>eng</t>
        </is>
      </c>
      <c r="P340" t="inlineStr">
        <is>
          <t xml:space="preserve">sa </t>
        </is>
      </c>
      <c r="R340" t="inlineStr">
        <is>
          <t xml:space="preserve">RA </t>
        </is>
      </c>
      <c r="S340" t="n">
        <v>1</v>
      </c>
      <c r="T340" t="n">
        <v>6</v>
      </c>
      <c r="U340" t="inlineStr">
        <is>
          <t>1995-04-10</t>
        </is>
      </c>
      <c r="V340" t="inlineStr">
        <is>
          <t>2008-04-05</t>
        </is>
      </c>
      <c r="W340" t="inlineStr">
        <is>
          <t>1987-12-22</t>
        </is>
      </c>
      <c r="X340" t="inlineStr">
        <is>
          <t>1993-03-11</t>
        </is>
      </c>
      <c r="Y340" t="n">
        <v>326</v>
      </c>
      <c r="Z340" t="n">
        <v>225</v>
      </c>
      <c r="AA340" t="n">
        <v>232</v>
      </c>
      <c r="AB340" t="n">
        <v>2</v>
      </c>
      <c r="AC340" t="n">
        <v>2</v>
      </c>
      <c r="AD340" t="n">
        <v>3</v>
      </c>
      <c r="AE340" t="n">
        <v>3</v>
      </c>
      <c r="AF340" t="n">
        <v>1</v>
      </c>
      <c r="AG340" t="n">
        <v>1</v>
      </c>
      <c r="AH340" t="n">
        <v>1</v>
      </c>
      <c r="AI340" t="n">
        <v>1</v>
      </c>
      <c r="AJ340" t="n">
        <v>1</v>
      </c>
      <c r="AK340" t="n">
        <v>1</v>
      </c>
      <c r="AL340" t="n">
        <v>0</v>
      </c>
      <c r="AM340" t="n">
        <v>0</v>
      </c>
      <c r="AN340" t="n">
        <v>0</v>
      </c>
      <c r="AO340" t="n">
        <v>0</v>
      </c>
      <c r="AP340" t="inlineStr">
        <is>
          <t>No</t>
        </is>
      </c>
      <c r="AQ340" t="inlineStr">
        <is>
          <t>Yes</t>
        </is>
      </c>
      <c r="AR340">
        <f>HYPERLINK("http://catalog.hathitrust.org/Record/000134414","HathiTrust Record")</f>
        <v/>
      </c>
      <c r="AS340">
        <f>HYPERLINK("https://creighton-primo.hosted.exlibrisgroup.com/primo-explore/search?tab=default_tab&amp;search_scope=EVERYTHING&amp;vid=01CRU&amp;lang=en_US&amp;offset=0&amp;query=any,contains,991001753129702656","Catalog Record")</f>
        <v/>
      </c>
      <c r="AT340">
        <f>HYPERLINK("http://www.worldcat.org/oclc/3813037","WorldCat Record")</f>
        <v/>
      </c>
    </row>
    <row r="341">
      <c r="A341" t="inlineStr">
        <is>
          <t>No</t>
        </is>
      </c>
      <c r="B341" t="inlineStr">
        <is>
          <t>RA564.8 .C654 1982</t>
        </is>
      </c>
      <c r="C341" t="inlineStr">
        <is>
          <t>0                      RA 0564800C  654         1982</t>
        </is>
      </c>
      <c r="D341" t="inlineStr">
        <is>
          <t>Coordinating community services for the elderly : the triage experience / Joan Quinn ... [et al.] editors ; foreword by Claude Pepper.</t>
        </is>
      </c>
      <c r="F341" t="inlineStr">
        <is>
          <t>No</t>
        </is>
      </c>
      <c r="G341" t="inlineStr">
        <is>
          <t>1</t>
        </is>
      </c>
      <c r="H341" t="inlineStr">
        <is>
          <t>No</t>
        </is>
      </c>
      <c r="I341" t="inlineStr">
        <is>
          <t>No</t>
        </is>
      </c>
      <c r="J341" t="inlineStr">
        <is>
          <t>0</t>
        </is>
      </c>
      <c r="L341" t="inlineStr">
        <is>
          <t>New York : Springer Pub. Co., c1982.</t>
        </is>
      </c>
      <c r="M341" t="inlineStr">
        <is>
          <t>1982</t>
        </is>
      </c>
      <c r="O341" t="inlineStr">
        <is>
          <t>eng</t>
        </is>
      </c>
      <c r="P341" t="inlineStr">
        <is>
          <t>nyu</t>
        </is>
      </c>
      <c r="R341" t="inlineStr">
        <is>
          <t xml:space="preserve">RA </t>
        </is>
      </c>
      <c r="S341" t="n">
        <v>9</v>
      </c>
      <c r="T341" t="n">
        <v>9</v>
      </c>
      <c r="U341" t="inlineStr">
        <is>
          <t>1990-10-18</t>
        </is>
      </c>
      <c r="V341" t="inlineStr">
        <is>
          <t>1990-10-18</t>
        </is>
      </c>
      <c r="W341" t="inlineStr">
        <is>
          <t>1988-01-07</t>
        </is>
      </c>
      <c r="X341" t="inlineStr">
        <is>
          <t>1988-01-07</t>
        </is>
      </c>
      <c r="Y341" t="n">
        <v>347</v>
      </c>
      <c r="Z341" t="n">
        <v>306</v>
      </c>
      <c r="AA341" t="n">
        <v>314</v>
      </c>
      <c r="AB341" t="n">
        <v>2</v>
      </c>
      <c r="AC341" t="n">
        <v>2</v>
      </c>
      <c r="AD341" t="n">
        <v>11</v>
      </c>
      <c r="AE341" t="n">
        <v>11</v>
      </c>
      <c r="AF341" t="n">
        <v>3</v>
      </c>
      <c r="AG341" t="n">
        <v>3</v>
      </c>
      <c r="AH341" t="n">
        <v>2</v>
      </c>
      <c r="AI341" t="n">
        <v>2</v>
      </c>
      <c r="AJ341" t="n">
        <v>8</v>
      </c>
      <c r="AK341" t="n">
        <v>8</v>
      </c>
      <c r="AL341" t="n">
        <v>1</v>
      </c>
      <c r="AM341" t="n">
        <v>1</v>
      </c>
      <c r="AN341" t="n">
        <v>0</v>
      </c>
      <c r="AO341" t="n">
        <v>0</v>
      </c>
      <c r="AP341" t="inlineStr">
        <is>
          <t>No</t>
        </is>
      </c>
      <c r="AQ341" t="inlineStr">
        <is>
          <t>Yes</t>
        </is>
      </c>
      <c r="AR341">
        <f>HYPERLINK("http://catalog.hathitrust.org/Record/000271230","HathiTrust Record")</f>
        <v/>
      </c>
      <c r="AS341">
        <f>HYPERLINK("https://creighton-primo.hosted.exlibrisgroup.com/primo-explore/search?tab=default_tab&amp;search_scope=EVERYTHING&amp;vid=01CRU&amp;lang=en_US&amp;offset=0&amp;query=any,contains,991001068729702656","Catalog Record")</f>
        <v/>
      </c>
      <c r="AT341">
        <f>HYPERLINK("http://www.worldcat.org/oclc/7948630","WorldCat Record")</f>
        <v/>
      </c>
    </row>
    <row r="342">
      <c r="A342" t="inlineStr">
        <is>
          <t>No</t>
        </is>
      </c>
      <c r="B342" t="inlineStr">
        <is>
          <t>RA564.8 .W44</t>
        </is>
      </c>
      <c r="C342" t="inlineStr">
        <is>
          <t>0                      RA 0564800W  44</t>
        </is>
      </c>
      <c r="D342" t="inlineStr">
        <is>
          <t>Adult day care : community work with the elderly / Philip G. Weiler, Eloise Rathbone-McCuan, with contributions by Annette Castle &amp; Larry Pickard.</t>
        </is>
      </c>
      <c r="F342" t="inlineStr">
        <is>
          <t>No</t>
        </is>
      </c>
      <c r="G342" t="inlineStr">
        <is>
          <t>1</t>
        </is>
      </c>
      <c r="H342" t="inlineStr">
        <is>
          <t>Yes</t>
        </is>
      </c>
      <c r="I342" t="inlineStr">
        <is>
          <t>No</t>
        </is>
      </c>
      <c r="J342" t="inlineStr">
        <is>
          <t>0</t>
        </is>
      </c>
      <c r="K342" t="inlineStr">
        <is>
          <t>Weiler, Philip G.</t>
        </is>
      </c>
      <c r="L342" t="inlineStr">
        <is>
          <t>New York : Springer Pub. Co., c1978.</t>
        </is>
      </c>
      <c r="M342" t="inlineStr">
        <is>
          <t>1978</t>
        </is>
      </c>
      <c r="O342" t="inlineStr">
        <is>
          <t>eng</t>
        </is>
      </c>
      <c r="P342" t="inlineStr">
        <is>
          <t>nyu</t>
        </is>
      </c>
      <c r="Q342" t="inlineStr">
        <is>
          <t>Springer series on adulthood and aging ; v. 1</t>
        </is>
      </c>
      <c r="R342" t="inlineStr">
        <is>
          <t xml:space="preserve">RA </t>
        </is>
      </c>
      <c r="S342" t="n">
        <v>8</v>
      </c>
      <c r="T342" t="n">
        <v>10</v>
      </c>
      <c r="U342" t="inlineStr">
        <is>
          <t>1997-03-19</t>
        </is>
      </c>
      <c r="V342" t="inlineStr">
        <is>
          <t>1997-03-19</t>
        </is>
      </c>
      <c r="W342" t="inlineStr">
        <is>
          <t>1988-01-07</t>
        </is>
      </c>
      <c r="X342" t="inlineStr">
        <is>
          <t>1992-03-24</t>
        </is>
      </c>
      <c r="Y342" t="n">
        <v>483</v>
      </c>
      <c r="Z342" t="n">
        <v>424</v>
      </c>
      <c r="AA342" t="n">
        <v>428</v>
      </c>
      <c r="AB342" t="n">
        <v>5</v>
      </c>
      <c r="AC342" t="n">
        <v>5</v>
      </c>
      <c r="AD342" t="n">
        <v>14</v>
      </c>
      <c r="AE342" t="n">
        <v>14</v>
      </c>
      <c r="AF342" t="n">
        <v>3</v>
      </c>
      <c r="AG342" t="n">
        <v>3</v>
      </c>
      <c r="AH342" t="n">
        <v>3</v>
      </c>
      <c r="AI342" t="n">
        <v>3</v>
      </c>
      <c r="AJ342" t="n">
        <v>9</v>
      </c>
      <c r="AK342" t="n">
        <v>9</v>
      </c>
      <c r="AL342" t="n">
        <v>3</v>
      </c>
      <c r="AM342" t="n">
        <v>3</v>
      </c>
      <c r="AN342" t="n">
        <v>0</v>
      </c>
      <c r="AO342" t="n">
        <v>0</v>
      </c>
      <c r="AP342" t="inlineStr">
        <is>
          <t>No</t>
        </is>
      </c>
      <c r="AQ342" t="inlineStr">
        <is>
          <t>Yes</t>
        </is>
      </c>
      <c r="AR342">
        <f>HYPERLINK("http://catalog.hathitrust.org/Record/000751845","HathiTrust Record")</f>
        <v/>
      </c>
      <c r="AS342">
        <f>HYPERLINK("https://creighton-primo.hosted.exlibrisgroup.com/primo-explore/search?tab=default_tab&amp;search_scope=EVERYTHING&amp;vid=01CRU&amp;lang=en_US&amp;offset=0&amp;query=any,contains,991001782939702656","Catalog Record")</f>
        <v/>
      </c>
      <c r="AT342">
        <f>HYPERLINK("http://www.worldcat.org/oclc/3414259","WorldCat Record")</f>
        <v/>
      </c>
    </row>
    <row r="343">
      <c r="A343" t="inlineStr">
        <is>
          <t>No</t>
        </is>
      </c>
      <c r="B343" t="inlineStr">
        <is>
          <t>RA564.8 .W49 1993</t>
        </is>
      </c>
      <c r="C343" t="inlineStr">
        <is>
          <t>0                      RA 0564800W  49          1993</t>
        </is>
      </c>
      <c r="D343" t="inlineStr">
        <is>
          <t>Ethics and the elderly / Mark R. Wicclair.</t>
        </is>
      </c>
      <c r="F343" t="inlineStr">
        <is>
          <t>No</t>
        </is>
      </c>
      <c r="G343" t="inlineStr">
        <is>
          <t>1</t>
        </is>
      </c>
      <c r="H343" t="inlineStr">
        <is>
          <t>Yes</t>
        </is>
      </c>
      <c r="I343" t="inlineStr">
        <is>
          <t>No</t>
        </is>
      </c>
      <c r="J343" t="inlineStr">
        <is>
          <t>0</t>
        </is>
      </c>
      <c r="K343" t="inlineStr">
        <is>
          <t>Wicclair, Mark R.</t>
        </is>
      </c>
      <c r="L343" t="inlineStr">
        <is>
          <t>New York : Oxford University Press, 1993.</t>
        </is>
      </c>
      <c r="M343" t="inlineStr">
        <is>
          <t>1993</t>
        </is>
      </c>
      <c r="O343" t="inlineStr">
        <is>
          <t>eng</t>
        </is>
      </c>
      <c r="P343" t="inlineStr">
        <is>
          <t>nyu</t>
        </is>
      </c>
      <c r="R343" t="inlineStr">
        <is>
          <t xml:space="preserve">RA </t>
        </is>
      </c>
      <c r="S343" t="n">
        <v>9</v>
      </c>
      <c r="T343" t="n">
        <v>14</v>
      </c>
      <c r="U343" t="inlineStr">
        <is>
          <t>2009-04-23</t>
        </is>
      </c>
      <c r="V343" t="inlineStr">
        <is>
          <t>2009-04-23</t>
        </is>
      </c>
      <c r="W343" t="inlineStr">
        <is>
          <t>1993-07-13</t>
        </is>
      </c>
      <c r="X343" t="inlineStr">
        <is>
          <t>1995-02-21</t>
        </is>
      </c>
      <c r="Y343" t="n">
        <v>745</v>
      </c>
      <c r="Z343" t="n">
        <v>619</v>
      </c>
      <c r="AA343" t="n">
        <v>619</v>
      </c>
      <c r="AB343" t="n">
        <v>5</v>
      </c>
      <c r="AC343" t="n">
        <v>5</v>
      </c>
      <c r="AD343" t="n">
        <v>37</v>
      </c>
      <c r="AE343" t="n">
        <v>37</v>
      </c>
      <c r="AF343" t="n">
        <v>12</v>
      </c>
      <c r="AG343" t="n">
        <v>12</v>
      </c>
      <c r="AH343" t="n">
        <v>7</v>
      </c>
      <c r="AI343" t="n">
        <v>7</v>
      </c>
      <c r="AJ343" t="n">
        <v>16</v>
      </c>
      <c r="AK343" t="n">
        <v>16</v>
      </c>
      <c r="AL343" t="n">
        <v>2</v>
      </c>
      <c r="AM343" t="n">
        <v>2</v>
      </c>
      <c r="AN343" t="n">
        <v>9</v>
      </c>
      <c r="AO343" t="n">
        <v>9</v>
      </c>
      <c r="AP343" t="inlineStr">
        <is>
          <t>No</t>
        </is>
      </c>
      <c r="AQ343" t="inlineStr">
        <is>
          <t>No</t>
        </is>
      </c>
      <c r="AS343">
        <f>HYPERLINK("https://creighton-primo.hosted.exlibrisgroup.com/primo-explore/search?tab=default_tab&amp;search_scope=EVERYTHING&amp;vid=01CRU&amp;lang=en_US&amp;offset=0&amp;query=any,contains,991001655109702656","Catalog Record")</f>
        <v/>
      </c>
      <c r="AT343">
        <f>HYPERLINK("http://www.worldcat.org/oclc/26934609","WorldCat Record")</f>
        <v/>
      </c>
    </row>
    <row r="344">
      <c r="A344" t="inlineStr">
        <is>
          <t>No</t>
        </is>
      </c>
      <c r="B344" t="inlineStr">
        <is>
          <t>RA564.85 .B445 1998</t>
        </is>
      </c>
      <c r="C344" t="inlineStr">
        <is>
          <t>0                      RA 0564850B  445         1998</t>
        </is>
      </c>
      <c r="D344" t="inlineStr">
        <is>
          <t>Behavioral medicine and women : a comprehensive handbook / edited by Elaine A. Blechman, Kelly D. Brownell ; forewords by W. Stewart Agras, Bonnie R. Strickland.</t>
        </is>
      </c>
      <c r="F344" t="inlineStr">
        <is>
          <t>No</t>
        </is>
      </c>
      <c r="G344" t="inlineStr">
        <is>
          <t>1</t>
        </is>
      </c>
      <c r="H344" t="inlineStr">
        <is>
          <t>Yes</t>
        </is>
      </c>
      <c r="I344" t="inlineStr">
        <is>
          <t>No</t>
        </is>
      </c>
      <c r="J344" t="inlineStr">
        <is>
          <t>0</t>
        </is>
      </c>
      <c r="L344" t="inlineStr">
        <is>
          <t>New York : Guilford Press, c1998.</t>
        </is>
      </c>
      <c r="M344" t="inlineStr">
        <is>
          <t>1998</t>
        </is>
      </c>
      <c r="O344" t="inlineStr">
        <is>
          <t>eng</t>
        </is>
      </c>
      <c r="P344" t="inlineStr">
        <is>
          <t>nyu</t>
        </is>
      </c>
      <c r="R344" t="inlineStr">
        <is>
          <t xml:space="preserve">RA </t>
        </is>
      </c>
      <c r="S344" t="n">
        <v>4</v>
      </c>
      <c r="T344" t="n">
        <v>5</v>
      </c>
      <c r="U344" t="inlineStr">
        <is>
          <t>2002-11-05</t>
        </is>
      </c>
      <c r="V344" t="inlineStr">
        <is>
          <t>2002-11-05</t>
        </is>
      </c>
      <c r="W344" t="inlineStr">
        <is>
          <t>1999-11-05</t>
        </is>
      </c>
      <c r="X344" t="inlineStr">
        <is>
          <t>2000-03-13</t>
        </is>
      </c>
      <c r="Y344" t="n">
        <v>475</v>
      </c>
      <c r="Z344" t="n">
        <v>413</v>
      </c>
      <c r="AA344" t="n">
        <v>425</v>
      </c>
      <c r="AB344" t="n">
        <v>2</v>
      </c>
      <c r="AC344" t="n">
        <v>2</v>
      </c>
      <c r="AD344" t="n">
        <v>16</v>
      </c>
      <c r="AE344" t="n">
        <v>16</v>
      </c>
      <c r="AF344" t="n">
        <v>6</v>
      </c>
      <c r="AG344" t="n">
        <v>6</v>
      </c>
      <c r="AH344" t="n">
        <v>3</v>
      </c>
      <c r="AI344" t="n">
        <v>3</v>
      </c>
      <c r="AJ344" t="n">
        <v>11</v>
      </c>
      <c r="AK344" t="n">
        <v>11</v>
      </c>
      <c r="AL344" t="n">
        <v>0</v>
      </c>
      <c r="AM344" t="n">
        <v>0</v>
      </c>
      <c r="AN344" t="n">
        <v>0</v>
      </c>
      <c r="AO344" t="n">
        <v>0</v>
      </c>
      <c r="AP344" t="inlineStr">
        <is>
          <t>No</t>
        </is>
      </c>
      <c r="AQ344" t="inlineStr">
        <is>
          <t>No</t>
        </is>
      </c>
      <c r="AS344">
        <f>HYPERLINK("https://creighton-primo.hosted.exlibrisgroup.com/primo-explore/search?tab=default_tab&amp;search_scope=EVERYTHING&amp;vid=01CRU&amp;lang=en_US&amp;offset=0&amp;query=any,contains,991001809729702656","Catalog Record")</f>
        <v/>
      </c>
      <c r="AT344">
        <f>HYPERLINK("http://www.worldcat.org/oclc/37444012","WorldCat Record")</f>
        <v/>
      </c>
    </row>
    <row r="345">
      <c r="A345" t="inlineStr">
        <is>
          <t>No</t>
        </is>
      </c>
      <c r="B345" t="inlineStr">
        <is>
          <t>RA564.85 .M35 1993</t>
        </is>
      </c>
      <c r="C345" t="inlineStr">
        <is>
          <t>0                      RA 0564850M  35          1993</t>
        </is>
      </c>
      <c r="D345" t="inlineStr">
        <is>
          <t>Women and children in health care : an unequal majority / Mary Briody Mahowald.</t>
        </is>
      </c>
      <c r="F345" t="inlineStr">
        <is>
          <t>No</t>
        </is>
      </c>
      <c r="G345" t="inlineStr">
        <is>
          <t>1</t>
        </is>
      </c>
      <c r="H345" t="inlineStr">
        <is>
          <t>Yes</t>
        </is>
      </c>
      <c r="I345" t="inlineStr">
        <is>
          <t>No</t>
        </is>
      </c>
      <c r="J345" t="inlineStr">
        <is>
          <t>0</t>
        </is>
      </c>
      <c r="K345" t="inlineStr">
        <is>
          <t>Mahowald, Mary Briody.</t>
        </is>
      </c>
      <c r="L345" t="inlineStr">
        <is>
          <t>New York : Oxford University Press, 1993.</t>
        </is>
      </c>
      <c r="M345" t="inlineStr">
        <is>
          <t>1993</t>
        </is>
      </c>
      <c r="O345" t="inlineStr">
        <is>
          <t>eng</t>
        </is>
      </c>
      <c r="P345" t="inlineStr">
        <is>
          <t>nyu</t>
        </is>
      </c>
      <c r="R345" t="inlineStr">
        <is>
          <t xml:space="preserve">RA </t>
        </is>
      </c>
      <c r="S345" t="n">
        <v>9</v>
      </c>
      <c r="T345" t="n">
        <v>19</v>
      </c>
      <c r="U345" t="inlineStr">
        <is>
          <t>1999-03-27</t>
        </is>
      </c>
      <c r="V345" t="inlineStr">
        <is>
          <t>2000-03-14</t>
        </is>
      </c>
      <c r="W345" t="inlineStr">
        <is>
          <t>1993-07-13</t>
        </is>
      </c>
      <c r="X345" t="inlineStr">
        <is>
          <t>1994-02-08</t>
        </is>
      </c>
      <c r="Y345" t="n">
        <v>616</v>
      </c>
      <c r="Z345" t="n">
        <v>514</v>
      </c>
      <c r="AA345" t="n">
        <v>534</v>
      </c>
      <c r="AB345" t="n">
        <v>5</v>
      </c>
      <c r="AC345" t="n">
        <v>5</v>
      </c>
      <c r="AD345" t="n">
        <v>21</v>
      </c>
      <c r="AE345" t="n">
        <v>21</v>
      </c>
      <c r="AF345" t="n">
        <v>7</v>
      </c>
      <c r="AG345" t="n">
        <v>7</v>
      </c>
      <c r="AH345" t="n">
        <v>5</v>
      </c>
      <c r="AI345" t="n">
        <v>5</v>
      </c>
      <c r="AJ345" t="n">
        <v>11</v>
      </c>
      <c r="AK345" t="n">
        <v>11</v>
      </c>
      <c r="AL345" t="n">
        <v>3</v>
      </c>
      <c r="AM345" t="n">
        <v>3</v>
      </c>
      <c r="AN345" t="n">
        <v>2</v>
      </c>
      <c r="AO345" t="n">
        <v>2</v>
      </c>
      <c r="AP345" t="inlineStr">
        <is>
          <t>No</t>
        </is>
      </c>
      <c r="AQ345" t="inlineStr">
        <is>
          <t>Yes</t>
        </is>
      </c>
      <c r="AR345">
        <f>HYPERLINK("http://catalog.hathitrust.org/Record/002640423","HathiTrust Record")</f>
        <v/>
      </c>
      <c r="AS345">
        <f>HYPERLINK("https://creighton-primo.hosted.exlibrisgroup.com/primo-explore/search?tab=default_tab&amp;search_scope=EVERYTHING&amp;vid=01CRU&amp;lang=en_US&amp;offset=0&amp;query=any,contains,991001802499702656","Catalog Record")</f>
        <v/>
      </c>
      <c r="AT345">
        <f>HYPERLINK("http://www.worldcat.org/oclc/25676148","WorldCat Record")</f>
        <v/>
      </c>
    </row>
    <row r="346">
      <c r="A346" t="inlineStr">
        <is>
          <t>No</t>
        </is>
      </c>
      <c r="B346" t="inlineStr">
        <is>
          <t>RA564.85 .R44 1994</t>
        </is>
      </c>
      <c r="C346" t="inlineStr">
        <is>
          <t>0                      RA 0564850R  44          1994</t>
        </is>
      </c>
      <c r="D346" t="inlineStr">
        <is>
          <t>Reframing women's health : multidisciplinary research and practice / edited by Alice J. Dan.</t>
        </is>
      </c>
      <c r="F346" t="inlineStr">
        <is>
          <t>No</t>
        </is>
      </c>
      <c r="G346" t="inlineStr">
        <is>
          <t>1</t>
        </is>
      </c>
      <c r="H346" t="inlineStr">
        <is>
          <t>Yes</t>
        </is>
      </c>
      <c r="I346" t="inlineStr">
        <is>
          <t>No</t>
        </is>
      </c>
      <c r="J346" t="inlineStr">
        <is>
          <t>1</t>
        </is>
      </c>
      <c r="L346" t="inlineStr">
        <is>
          <t>Thousand Oaks, [Calif.] : Sage Publications, c1994.</t>
        </is>
      </c>
      <c r="M346" t="inlineStr">
        <is>
          <t>1994</t>
        </is>
      </c>
      <c r="O346" t="inlineStr">
        <is>
          <t>eng</t>
        </is>
      </c>
      <c r="P346" t="inlineStr">
        <is>
          <t>cau</t>
        </is>
      </c>
      <c r="R346" t="inlineStr">
        <is>
          <t xml:space="preserve">RA </t>
        </is>
      </c>
      <c r="S346" t="n">
        <v>5</v>
      </c>
      <c r="T346" t="n">
        <v>12</v>
      </c>
      <c r="U346" t="inlineStr">
        <is>
          <t>2005-03-28</t>
        </is>
      </c>
      <c r="V346" t="inlineStr">
        <is>
          <t>2005-03-28</t>
        </is>
      </c>
      <c r="W346" t="inlineStr">
        <is>
          <t>1995-02-20</t>
        </is>
      </c>
      <c r="X346" t="inlineStr">
        <is>
          <t>1995-02-20</t>
        </is>
      </c>
      <c r="Y346" t="n">
        <v>402</v>
      </c>
      <c r="Z346" t="n">
        <v>296</v>
      </c>
      <c r="AA346" t="n">
        <v>1001</v>
      </c>
      <c r="AB346" t="n">
        <v>4</v>
      </c>
      <c r="AC346" t="n">
        <v>14</v>
      </c>
      <c r="AD346" t="n">
        <v>14</v>
      </c>
      <c r="AE346" t="n">
        <v>36</v>
      </c>
      <c r="AF346" t="n">
        <v>3</v>
      </c>
      <c r="AG346" t="n">
        <v>10</v>
      </c>
      <c r="AH346" t="n">
        <v>3</v>
      </c>
      <c r="AI346" t="n">
        <v>7</v>
      </c>
      <c r="AJ346" t="n">
        <v>11</v>
      </c>
      <c r="AK346" t="n">
        <v>14</v>
      </c>
      <c r="AL346" t="n">
        <v>2</v>
      </c>
      <c r="AM346" t="n">
        <v>12</v>
      </c>
      <c r="AN346" t="n">
        <v>0</v>
      </c>
      <c r="AO346" t="n">
        <v>1</v>
      </c>
      <c r="AP346" t="inlineStr">
        <is>
          <t>No</t>
        </is>
      </c>
      <c r="AQ346" t="inlineStr">
        <is>
          <t>Yes</t>
        </is>
      </c>
      <c r="AR346">
        <f>HYPERLINK("http://catalog.hathitrust.org/Record/002865570","HathiTrust Record")</f>
        <v/>
      </c>
      <c r="AS346">
        <f>HYPERLINK("https://creighton-primo.hosted.exlibrisgroup.com/primo-explore/search?tab=default_tab&amp;search_scope=EVERYTHING&amp;vid=01CRU&amp;lang=en_US&amp;offset=0&amp;query=any,contains,991001798329702656","Catalog Record")</f>
        <v/>
      </c>
      <c r="AT346">
        <f>HYPERLINK("http://www.worldcat.org/oclc/29954403","WorldCat Record")</f>
        <v/>
      </c>
    </row>
    <row r="347">
      <c r="A347" t="inlineStr">
        <is>
          <t>No</t>
        </is>
      </c>
      <c r="B347" t="inlineStr">
        <is>
          <t>RA564.85 .W66684 1995</t>
        </is>
      </c>
      <c r="C347" t="inlineStr">
        <is>
          <t>0                      RA 0564850W  66684       1995</t>
        </is>
      </c>
      <c r="D347" t="inlineStr">
        <is>
          <t>Women's health care : a comprehensive handbook / edited by Catherine Ingram Fogel, Nancy Fugate Woods.</t>
        </is>
      </c>
      <c r="F347" t="inlineStr">
        <is>
          <t>No</t>
        </is>
      </c>
      <c r="G347" t="inlineStr">
        <is>
          <t>1</t>
        </is>
      </c>
      <c r="H347" t="inlineStr">
        <is>
          <t>Yes</t>
        </is>
      </c>
      <c r="I347" t="inlineStr">
        <is>
          <t>No</t>
        </is>
      </c>
      <c r="J347" t="inlineStr">
        <is>
          <t>0</t>
        </is>
      </c>
      <c r="L347" t="inlineStr">
        <is>
          <t>Thousand Oaks, Calif. : Sage Publications, c1995.</t>
        </is>
      </c>
      <c r="M347" t="inlineStr">
        <is>
          <t>1995</t>
        </is>
      </c>
      <c r="O347" t="inlineStr">
        <is>
          <t>eng</t>
        </is>
      </c>
      <c r="P347" t="inlineStr">
        <is>
          <t>cau</t>
        </is>
      </c>
      <c r="R347" t="inlineStr">
        <is>
          <t xml:space="preserve">RA </t>
        </is>
      </c>
      <c r="S347" t="n">
        <v>17</v>
      </c>
      <c r="T347" t="n">
        <v>25</v>
      </c>
      <c r="U347" t="inlineStr">
        <is>
          <t>2001-02-26</t>
        </is>
      </c>
      <c r="V347" t="inlineStr">
        <is>
          <t>2006-03-26</t>
        </is>
      </c>
      <c r="W347" t="inlineStr">
        <is>
          <t>1995-05-12</t>
        </is>
      </c>
      <c r="X347" t="inlineStr">
        <is>
          <t>1995-11-09</t>
        </is>
      </c>
      <c r="Y347" t="n">
        <v>486</v>
      </c>
      <c r="Z347" t="n">
        <v>394</v>
      </c>
      <c r="AA347" t="n">
        <v>401</v>
      </c>
      <c r="AB347" t="n">
        <v>4</v>
      </c>
      <c r="AC347" t="n">
        <v>4</v>
      </c>
      <c r="AD347" t="n">
        <v>17</v>
      </c>
      <c r="AE347" t="n">
        <v>17</v>
      </c>
      <c r="AF347" t="n">
        <v>4</v>
      </c>
      <c r="AG347" t="n">
        <v>4</v>
      </c>
      <c r="AH347" t="n">
        <v>4</v>
      </c>
      <c r="AI347" t="n">
        <v>4</v>
      </c>
      <c r="AJ347" t="n">
        <v>13</v>
      </c>
      <c r="AK347" t="n">
        <v>13</v>
      </c>
      <c r="AL347" t="n">
        <v>2</v>
      </c>
      <c r="AM347" t="n">
        <v>2</v>
      </c>
      <c r="AN347" t="n">
        <v>0</v>
      </c>
      <c r="AO347" t="n">
        <v>0</v>
      </c>
      <c r="AP347" t="inlineStr">
        <is>
          <t>No</t>
        </is>
      </c>
      <c r="AQ347" t="inlineStr">
        <is>
          <t>Yes</t>
        </is>
      </c>
      <c r="AR347">
        <f>HYPERLINK("http://catalog.hathitrust.org/Record/002916533","HathiTrust Record")</f>
        <v/>
      </c>
      <c r="AS347">
        <f>HYPERLINK("https://creighton-primo.hosted.exlibrisgroup.com/primo-explore/search?tab=default_tab&amp;search_scope=EVERYTHING&amp;vid=01CRU&amp;lang=en_US&amp;offset=0&amp;query=any,contains,991001798479702656","Catalog Record")</f>
        <v/>
      </c>
      <c r="AT347">
        <f>HYPERLINK("http://www.worldcat.org/oclc/31243236","WorldCat Record")</f>
        <v/>
      </c>
    </row>
    <row r="348">
      <c r="A348" t="inlineStr">
        <is>
          <t>No</t>
        </is>
      </c>
      <c r="B348" t="inlineStr">
        <is>
          <t>RA564.85 .W683 1994</t>
        </is>
      </c>
      <c r="C348" t="inlineStr">
        <is>
          <t>0                      RA 0564850W  683         1994</t>
        </is>
      </c>
      <c r="D348" t="inlineStr">
        <is>
          <t>Women's health, politics, and power : essays on sex/gender, medicine, and public health / editors, Elizabeth Fee and Nancy Krieger.</t>
        </is>
      </c>
      <c r="F348" t="inlineStr">
        <is>
          <t>No</t>
        </is>
      </c>
      <c r="G348" t="inlineStr">
        <is>
          <t>1</t>
        </is>
      </c>
      <c r="H348" t="inlineStr">
        <is>
          <t>Yes</t>
        </is>
      </c>
      <c r="I348" t="inlineStr">
        <is>
          <t>No</t>
        </is>
      </c>
      <c r="J348" t="inlineStr">
        <is>
          <t>0</t>
        </is>
      </c>
      <c r="L348" t="inlineStr">
        <is>
          <t>Amityville, N.Y. : Baywood Pub. Co., c1994.</t>
        </is>
      </c>
      <c r="M348" t="inlineStr">
        <is>
          <t>1994</t>
        </is>
      </c>
      <c r="O348" t="inlineStr">
        <is>
          <t>eng</t>
        </is>
      </c>
      <c r="P348" t="inlineStr">
        <is>
          <t>nyu</t>
        </is>
      </c>
      <c r="Q348" t="inlineStr">
        <is>
          <t>Policy, politics, health, and medicine series</t>
        </is>
      </c>
      <c r="R348" t="inlineStr">
        <is>
          <t xml:space="preserve">RA </t>
        </is>
      </c>
      <c r="S348" t="n">
        <v>15</v>
      </c>
      <c r="T348" t="n">
        <v>16</v>
      </c>
      <c r="U348" t="inlineStr">
        <is>
          <t>2000-02-12</t>
        </is>
      </c>
      <c r="V348" t="inlineStr">
        <is>
          <t>2000-02-12</t>
        </is>
      </c>
      <c r="W348" t="inlineStr">
        <is>
          <t>1993-11-15</t>
        </is>
      </c>
      <c r="X348" t="inlineStr">
        <is>
          <t>2000-01-12</t>
        </is>
      </c>
      <c r="Y348" t="n">
        <v>367</v>
      </c>
      <c r="Z348" t="n">
        <v>273</v>
      </c>
      <c r="AA348" t="n">
        <v>292</v>
      </c>
      <c r="AB348" t="n">
        <v>3</v>
      </c>
      <c r="AC348" t="n">
        <v>3</v>
      </c>
      <c r="AD348" t="n">
        <v>9</v>
      </c>
      <c r="AE348" t="n">
        <v>9</v>
      </c>
      <c r="AF348" t="n">
        <v>2</v>
      </c>
      <c r="AG348" t="n">
        <v>2</v>
      </c>
      <c r="AH348" t="n">
        <v>2</v>
      </c>
      <c r="AI348" t="n">
        <v>2</v>
      </c>
      <c r="AJ348" t="n">
        <v>5</v>
      </c>
      <c r="AK348" t="n">
        <v>5</v>
      </c>
      <c r="AL348" t="n">
        <v>1</v>
      </c>
      <c r="AM348" t="n">
        <v>1</v>
      </c>
      <c r="AN348" t="n">
        <v>1</v>
      </c>
      <c r="AO348" t="n">
        <v>1</v>
      </c>
      <c r="AP348" t="inlineStr">
        <is>
          <t>No</t>
        </is>
      </c>
      <c r="AQ348" t="inlineStr">
        <is>
          <t>Yes</t>
        </is>
      </c>
      <c r="AR348">
        <f>HYPERLINK("http://catalog.hathitrust.org/Record/002858418","HathiTrust Record")</f>
        <v/>
      </c>
      <c r="AS348">
        <f>HYPERLINK("https://creighton-primo.hosted.exlibrisgroup.com/primo-explore/search?tab=default_tab&amp;search_scope=EVERYTHING&amp;vid=01CRU&amp;lang=en_US&amp;offset=0&amp;query=any,contains,991001744919702656","Catalog Record")</f>
        <v/>
      </c>
      <c r="AT348">
        <f>HYPERLINK("http://www.worldcat.org/oclc/29702339","WorldCat Record")</f>
        <v/>
      </c>
    </row>
    <row r="349">
      <c r="A349" t="inlineStr">
        <is>
          <t>No</t>
        </is>
      </c>
      <c r="B349" t="inlineStr">
        <is>
          <t>RA577.5 .M39 2006</t>
        </is>
      </c>
      <c r="C349" t="inlineStr">
        <is>
          <t>0                      RA 0577500M  39          2006</t>
        </is>
      </c>
      <c r="D349" t="inlineStr">
        <is>
          <t>My office is killing me! : the sick building survival guide / Jeffrey C. May.</t>
        </is>
      </c>
      <c r="F349" t="inlineStr">
        <is>
          <t>No</t>
        </is>
      </c>
      <c r="G349" t="inlineStr">
        <is>
          <t>1</t>
        </is>
      </c>
      <c r="H349" t="inlineStr">
        <is>
          <t>Yes</t>
        </is>
      </c>
      <c r="I349" t="inlineStr">
        <is>
          <t>No</t>
        </is>
      </c>
      <c r="J349" t="inlineStr">
        <is>
          <t>0</t>
        </is>
      </c>
      <c r="K349" t="inlineStr">
        <is>
          <t>May, Jeffrey C.</t>
        </is>
      </c>
      <c r="L349" t="inlineStr">
        <is>
          <t>Baltimore, Md. : Johns Hopkins University Press, 2006.</t>
        </is>
      </c>
      <c r="M349" t="inlineStr">
        <is>
          <t>2006</t>
        </is>
      </c>
      <c r="O349" t="inlineStr">
        <is>
          <t>eng</t>
        </is>
      </c>
      <c r="P349" t="inlineStr">
        <is>
          <t>mdu</t>
        </is>
      </c>
      <c r="R349" t="inlineStr">
        <is>
          <t xml:space="preserve">RA </t>
        </is>
      </c>
      <c r="S349" t="n">
        <v>0</v>
      </c>
      <c r="T349" t="n">
        <v>3</v>
      </c>
      <c r="U349" t="inlineStr">
        <is>
          <t>2008-05-28</t>
        </is>
      </c>
      <c r="V349" t="inlineStr">
        <is>
          <t>2010-03-26</t>
        </is>
      </c>
      <c r="W349" t="inlineStr">
        <is>
          <t>2008-04-30</t>
        </is>
      </c>
      <c r="X349" t="inlineStr">
        <is>
          <t>2008-04-30</t>
        </is>
      </c>
      <c r="Y349" t="n">
        <v>536</v>
      </c>
      <c r="Z349" t="n">
        <v>472</v>
      </c>
      <c r="AA349" t="n">
        <v>594</v>
      </c>
      <c r="AB349" t="n">
        <v>2</v>
      </c>
      <c r="AC349" t="n">
        <v>3</v>
      </c>
      <c r="AD349" t="n">
        <v>9</v>
      </c>
      <c r="AE349" t="n">
        <v>14</v>
      </c>
      <c r="AF349" t="n">
        <v>2</v>
      </c>
      <c r="AG349" t="n">
        <v>5</v>
      </c>
      <c r="AH349" t="n">
        <v>3</v>
      </c>
      <c r="AI349" t="n">
        <v>5</v>
      </c>
      <c r="AJ349" t="n">
        <v>5</v>
      </c>
      <c r="AK349" t="n">
        <v>5</v>
      </c>
      <c r="AL349" t="n">
        <v>0</v>
      </c>
      <c r="AM349" t="n">
        <v>1</v>
      </c>
      <c r="AN349" t="n">
        <v>0</v>
      </c>
      <c r="AO349" t="n">
        <v>0</v>
      </c>
      <c r="AP349" t="inlineStr">
        <is>
          <t>No</t>
        </is>
      </c>
      <c r="AQ349" t="inlineStr">
        <is>
          <t>No</t>
        </is>
      </c>
      <c r="AS349">
        <f>HYPERLINK("https://creighton-primo.hosted.exlibrisgroup.com/primo-explore/search?tab=default_tab&amp;search_scope=EVERYTHING&amp;vid=01CRU&amp;lang=en_US&amp;offset=0&amp;query=any,contains,991001750559702656","Catalog Record")</f>
        <v/>
      </c>
      <c r="AT349">
        <f>HYPERLINK("http://www.worldcat.org/oclc/61757990","WorldCat Record")</f>
        <v/>
      </c>
    </row>
    <row r="350">
      <c r="A350" t="inlineStr">
        <is>
          <t>No</t>
        </is>
      </c>
      <c r="B350" t="inlineStr">
        <is>
          <t>RA643 .A5 1975</t>
        </is>
      </c>
      <c r="C350" t="inlineStr">
        <is>
          <t>0                      RA 0643000A  5           1975</t>
        </is>
      </c>
      <c r="D350" t="inlineStr">
        <is>
          <t>Control of communicable diseases in man / Abram S. Beneson, ed.</t>
        </is>
      </c>
      <c r="F350" t="inlineStr">
        <is>
          <t>No</t>
        </is>
      </c>
      <c r="G350" t="inlineStr">
        <is>
          <t>1</t>
        </is>
      </c>
      <c r="H350" t="inlineStr">
        <is>
          <t>No</t>
        </is>
      </c>
      <c r="I350" t="inlineStr">
        <is>
          <t>No</t>
        </is>
      </c>
      <c r="J350" t="inlineStr">
        <is>
          <t>0</t>
        </is>
      </c>
      <c r="L350" t="inlineStr">
        <is>
          <t>Washington : American Public Health Association, 1975.</t>
        </is>
      </c>
      <c r="M350" t="inlineStr">
        <is>
          <t>1975</t>
        </is>
      </c>
      <c r="N350" t="inlineStr">
        <is>
          <t>-- 12th ed.--</t>
        </is>
      </c>
      <c r="O350" t="inlineStr">
        <is>
          <t>eng</t>
        </is>
      </c>
      <c r="P350" t="inlineStr">
        <is>
          <t>dcu</t>
        </is>
      </c>
      <c r="R350" t="inlineStr">
        <is>
          <t xml:space="preserve">RA </t>
        </is>
      </c>
      <c r="S350" t="n">
        <v>0</v>
      </c>
      <c r="T350" t="n">
        <v>0</v>
      </c>
      <c r="U350" t="inlineStr">
        <is>
          <t>2002-07-07</t>
        </is>
      </c>
      <c r="V350" t="inlineStr">
        <is>
          <t>2002-07-07</t>
        </is>
      </c>
      <c r="W350" t="inlineStr">
        <is>
          <t>2000-06-15</t>
        </is>
      </c>
      <c r="X350" t="inlineStr">
        <is>
          <t>2000-06-15</t>
        </is>
      </c>
      <c r="Y350" t="n">
        <v>376</v>
      </c>
      <c r="Z350" t="n">
        <v>302</v>
      </c>
      <c r="AA350" t="n">
        <v>356</v>
      </c>
      <c r="AB350" t="n">
        <v>1</v>
      </c>
      <c r="AC350" t="n">
        <v>1</v>
      </c>
      <c r="AD350" t="n">
        <v>2</v>
      </c>
      <c r="AE350" t="n">
        <v>4</v>
      </c>
      <c r="AF350" t="n">
        <v>1</v>
      </c>
      <c r="AG350" t="n">
        <v>3</v>
      </c>
      <c r="AH350" t="n">
        <v>0</v>
      </c>
      <c r="AI350" t="n">
        <v>0</v>
      </c>
      <c r="AJ350" t="n">
        <v>0</v>
      </c>
      <c r="AK350" t="n">
        <v>1</v>
      </c>
      <c r="AL350" t="n">
        <v>1</v>
      </c>
      <c r="AM350" t="n">
        <v>1</v>
      </c>
      <c r="AN350" t="n">
        <v>0</v>
      </c>
      <c r="AO350" t="n">
        <v>0</v>
      </c>
      <c r="AP350" t="inlineStr">
        <is>
          <t>No</t>
        </is>
      </c>
      <c r="AQ350" t="inlineStr">
        <is>
          <t>No</t>
        </is>
      </c>
      <c r="AS350">
        <f>HYPERLINK("https://creighton-primo.hosted.exlibrisgroup.com/primo-explore/search?tab=default_tab&amp;search_scope=EVERYTHING&amp;vid=01CRU&amp;lang=en_US&amp;offset=0&amp;query=any,contains,991000164629702656","Catalog Record")</f>
        <v/>
      </c>
      <c r="AT350">
        <f>HYPERLINK("http://www.worldcat.org/oclc/1805190","WorldCat Record")</f>
        <v/>
      </c>
    </row>
    <row r="351">
      <c r="A351" t="inlineStr">
        <is>
          <t>No</t>
        </is>
      </c>
      <c r="B351" t="inlineStr">
        <is>
          <t>RA644.A25 A363 1986</t>
        </is>
      </c>
      <c r="C351" t="inlineStr">
        <is>
          <t>0                      RA 0644000A  25                 A  363         1986</t>
        </is>
      </c>
      <c r="D351" t="inlineStr">
        <is>
          <t>AIDS, impact on public policy : an international forum--policy, politics, and AIDS / edited by Robert F. Hummel ... [et al.].</t>
        </is>
      </c>
      <c r="F351" t="inlineStr">
        <is>
          <t>No</t>
        </is>
      </c>
      <c r="G351" t="inlineStr">
        <is>
          <t>1</t>
        </is>
      </c>
      <c r="H351" t="inlineStr">
        <is>
          <t>Yes</t>
        </is>
      </c>
      <c r="I351" t="inlineStr">
        <is>
          <t>No</t>
        </is>
      </c>
      <c r="J351" t="inlineStr">
        <is>
          <t>0</t>
        </is>
      </c>
      <c r="L351" t="inlineStr">
        <is>
          <t>New York : Plenum Press, c1986.</t>
        </is>
      </c>
      <c r="M351" t="inlineStr">
        <is>
          <t>1986</t>
        </is>
      </c>
      <c r="O351" t="inlineStr">
        <is>
          <t>eng</t>
        </is>
      </c>
      <c r="P351" t="inlineStr">
        <is>
          <t>nyu</t>
        </is>
      </c>
      <c r="R351" t="inlineStr">
        <is>
          <t xml:space="preserve">RA </t>
        </is>
      </c>
      <c r="S351" t="n">
        <v>26</v>
      </c>
      <c r="T351" t="n">
        <v>75</v>
      </c>
      <c r="U351" t="inlineStr">
        <is>
          <t>2002-04-24</t>
        </is>
      </c>
      <c r="V351" t="inlineStr">
        <is>
          <t>2004-11-16</t>
        </is>
      </c>
      <c r="W351" t="inlineStr">
        <is>
          <t>1989-03-29</t>
        </is>
      </c>
      <c r="X351" t="inlineStr">
        <is>
          <t>1990-06-27</t>
        </is>
      </c>
      <c r="Y351" t="n">
        <v>319</v>
      </c>
      <c r="Z351" t="n">
        <v>245</v>
      </c>
      <c r="AA351" t="n">
        <v>265</v>
      </c>
      <c r="AB351" t="n">
        <v>2</v>
      </c>
      <c r="AC351" t="n">
        <v>2</v>
      </c>
      <c r="AD351" t="n">
        <v>12</v>
      </c>
      <c r="AE351" t="n">
        <v>12</v>
      </c>
      <c r="AF351" t="n">
        <v>3</v>
      </c>
      <c r="AG351" t="n">
        <v>3</v>
      </c>
      <c r="AH351" t="n">
        <v>3</v>
      </c>
      <c r="AI351" t="n">
        <v>3</v>
      </c>
      <c r="AJ351" t="n">
        <v>7</v>
      </c>
      <c r="AK351" t="n">
        <v>7</v>
      </c>
      <c r="AL351" t="n">
        <v>0</v>
      </c>
      <c r="AM351" t="n">
        <v>0</v>
      </c>
      <c r="AN351" t="n">
        <v>2</v>
      </c>
      <c r="AO351" t="n">
        <v>2</v>
      </c>
      <c r="AP351" t="inlineStr">
        <is>
          <t>No</t>
        </is>
      </c>
      <c r="AQ351" t="inlineStr">
        <is>
          <t>Yes</t>
        </is>
      </c>
      <c r="AR351">
        <f>HYPERLINK("http://catalog.hathitrust.org/Record/000821908","HathiTrust Record")</f>
        <v/>
      </c>
      <c r="AS351">
        <f>HYPERLINK("https://creighton-primo.hosted.exlibrisgroup.com/primo-explore/search?tab=default_tab&amp;search_scope=EVERYTHING&amp;vid=01CRU&amp;lang=en_US&amp;offset=0&amp;query=any,contains,991001750159702656","Catalog Record")</f>
        <v/>
      </c>
      <c r="AT351">
        <f>HYPERLINK("http://www.worldcat.org/oclc/15017238","WorldCat Record")</f>
        <v/>
      </c>
    </row>
    <row r="352">
      <c r="A352" t="inlineStr">
        <is>
          <t>No</t>
        </is>
      </c>
      <c r="B352" t="inlineStr">
        <is>
          <t>RA644.I6 H57</t>
        </is>
      </c>
      <c r="C352" t="inlineStr">
        <is>
          <t>0                      RA 0644000I  6                  H  57</t>
        </is>
      </c>
      <c r="D352" t="inlineStr">
        <is>
          <t>History, science, and politics : influenza in America, 1918-1976 / June E. Osborn, editor.</t>
        </is>
      </c>
      <c r="F352" t="inlineStr">
        <is>
          <t>No</t>
        </is>
      </c>
      <c r="G352" t="inlineStr">
        <is>
          <t>1</t>
        </is>
      </c>
      <c r="H352" t="inlineStr">
        <is>
          <t>Yes</t>
        </is>
      </c>
      <c r="I352" t="inlineStr">
        <is>
          <t>No</t>
        </is>
      </c>
      <c r="J352" t="inlineStr">
        <is>
          <t>0</t>
        </is>
      </c>
      <c r="L352" t="inlineStr">
        <is>
          <t>New York : Prodist, 1977.</t>
        </is>
      </c>
      <c r="M352" t="inlineStr">
        <is>
          <t>1977</t>
        </is>
      </c>
      <c r="O352" t="inlineStr">
        <is>
          <t>eng</t>
        </is>
      </c>
      <c r="P352" t="inlineStr">
        <is>
          <t>nyu</t>
        </is>
      </c>
      <c r="R352" t="inlineStr">
        <is>
          <t xml:space="preserve">RA </t>
        </is>
      </c>
      <c r="S352" t="n">
        <v>6</v>
      </c>
      <c r="T352" t="n">
        <v>31</v>
      </c>
      <c r="U352" t="inlineStr">
        <is>
          <t>2006-11-24</t>
        </is>
      </c>
      <c r="V352" t="inlineStr">
        <is>
          <t>2008-02-21</t>
        </is>
      </c>
      <c r="W352" t="inlineStr">
        <is>
          <t>1987-10-29</t>
        </is>
      </c>
      <c r="X352" t="inlineStr">
        <is>
          <t>1993-03-11</t>
        </is>
      </c>
      <c r="Y352" t="n">
        <v>360</v>
      </c>
      <c r="Z352" t="n">
        <v>330</v>
      </c>
      <c r="AA352" t="n">
        <v>335</v>
      </c>
      <c r="AB352" t="n">
        <v>2</v>
      </c>
      <c r="AC352" t="n">
        <v>2</v>
      </c>
      <c r="AD352" t="n">
        <v>9</v>
      </c>
      <c r="AE352" t="n">
        <v>9</v>
      </c>
      <c r="AF352" t="n">
        <v>2</v>
      </c>
      <c r="AG352" t="n">
        <v>2</v>
      </c>
      <c r="AH352" t="n">
        <v>3</v>
      </c>
      <c r="AI352" t="n">
        <v>3</v>
      </c>
      <c r="AJ352" t="n">
        <v>5</v>
      </c>
      <c r="AK352" t="n">
        <v>5</v>
      </c>
      <c r="AL352" t="n">
        <v>0</v>
      </c>
      <c r="AM352" t="n">
        <v>0</v>
      </c>
      <c r="AN352" t="n">
        <v>0</v>
      </c>
      <c r="AO352" t="n">
        <v>0</v>
      </c>
      <c r="AP352" t="inlineStr">
        <is>
          <t>No</t>
        </is>
      </c>
      <c r="AQ352" t="inlineStr">
        <is>
          <t>No</t>
        </is>
      </c>
      <c r="AS352">
        <f>HYPERLINK("https://creighton-primo.hosted.exlibrisgroup.com/primo-explore/search?tab=default_tab&amp;search_scope=EVERYTHING&amp;vid=01CRU&amp;lang=en_US&amp;offset=0&amp;query=any,contains,991001779969702656","Catalog Record")</f>
        <v/>
      </c>
      <c r="AT352">
        <f>HYPERLINK("http://www.worldcat.org/oclc/3274162","WorldCat Record")</f>
        <v/>
      </c>
    </row>
    <row r="353">
      <c r="A353" t="inlineStr">
        <is>
          <t>No</t>
        </is>
      </c>
      <c r="B353" t="inlineStr">
        <is>
          <t>RA644.P93 Y35 2003</t>
        </is>
      </c>
      <c r="C353" t="inlineStr">
        <is>
          <t>0                      RA 0644000P  93                 Y  35          2003</t>
        </is>
      </c>
      <c r="D353" t="inlineStr">
        <is>
          <t>The pathological protein : mad cow, chronic wasting, and other deadly prion diseases/ Philip Yam.</t>
        </is>
      </c>
      <c r="F353" t="inlineStr">
        <is>
          <t>No</t>
        </is>
      </c>
      <c r="G353" t="inlineStr">
        <is>
          <t>1</t>
        </is>
      </c>
      <c r="H353" t="inlineStr">
        <is>
          <t>Yes</t>
        </is>
      </c>
      <c r="I353" t="inlineStr">
        <is>
          <t>No</t>
        </is>
      </c>
      <c r="J353" t="inlineStr">
        <is>
          <t>0</t>
        </is>
      </c>
      <c r="K353" t="inlineStr">
        <is>
          <t>Yam, Philip.</t>
        </is>
      </c>
      <c r="L353" t="inlineStr">
        <is>
          <t>New York : Copernicus, 2003.</t>
        </is>
      </c>
      <c r="M353" t="inlineStr">
        <is>
          <t>2003</t>
        </is>
      </c>
      <c r="O353" t="inlineStr">
        <is>
          <t>eng</t>
        </is>
      </c>
      <c r="P353" t="inlineStr">
        <is>
          <t>nyu</t>
        </is>
      </c>
      <c r="R353" t="inlineStr">
        <is>
          <t xml:space="preserve">RA </t>
        </is>
      </c>
      <c r="S353" t="n">
        <v>4</v>
      </c>
      <c r="T353" t="n">
        <v>6</v>
      </c>
      <c r="U353" t="inlineStr">
        <is>
          <t>2006-11-17</t>
        </is>
      </c>
      <c r="V353" t="inlineStr">
        <is>
          <t>2006-11-17</t>
        </is>
      </c>
      <c r="W353" t="inlineStr">
        <is>
          <t>2003-12-18</t>
        </is>
      </c>
      <c r="X353" t="inlineStr">
        <is>
          <t>2003-12-18</t>
        </is>
      </c>
      <c r="Y353" t="n">
        <v>986</v>
      </c>
      <c r="Z353" t="n">
        <v>881</v>
      </c>
      <c r="AA353" t="n">
        <v>1228</v>
      </c>
      <c r="AB353" t="n">
        <v>7</v>
      </c>
      <c r="AC353" t="n">
        <v>31</v>
      </c>
      <c r="AD353" t="n">
        <v>27</v>
      </c>
      <c r="AE353" t="n">
        <v>38</v>
      </c>
      <c r="AF353" t="n">
        <v>11</v>
      </c>
      <c r="AG353" t="n">
        <v>14</v>
      </c>
      <c r="AH353" t="n">
        <v>4</v>
      </c>
      <c r="AI353" t="n">
        <v>4</v>
      </c>
      <c r="AJ353" t="n">
        <v>11</v>
      </c>
      <c r="AK353" t="n">
        <v>13</v>
      </c>
      <c r="AL353" t="n">
        <v>6</v>
      </c>
      <c r="AM353" t="n">
        <v>12</v>
      </c>
      <c r="AN353" t="n">
        <v>0</v>
      </c>
      <c r="AO353" t="n">
        <v>0</v>
      </c>
      <c r="AP353" t="inlineStr">
        <is>
          <t>No</t>
        </is>
      </c>
      <c r="AQ353" t="inlineStr">
        <is>
          <t>No</t>
        </is>
      </c>
      <c r="AS353">
        <f>HYPERLINK("https://creighton-primo.hosted.exlibrisgroup.com/primo-explore/search?tab=default_tab&amp;search_scope=EVERYTHING&amp;vid=01CRU&amp;lang=en_US&amp;offset=0&amp;query=any,contains,991001724159702656","Catalog Record")</f>
        <v/>
      </c>
      <c r="AT353">
        <f>HYPERLINK("http://www.worldcat.org/oclc/51022709","WorldCat Record")</f>
        <v/>
      </c>
    </row>
    <row r="354">
      <c r="A354" t="inlineStr">
        <is>
          <t>No</t>
        </is>
      </c>
      <c r="B354" t="inlineStr">
        <is>
          <t>RA645.H4 B78</t>
        </is>
      </c>
      <c r="C354" t="inlineStr">
        <is>
          <t>0                      RA 0645000H  4                  B  78</t>
        </is>
      </c>
      <c r="D354" t="inlineStr">
        <is>
          <t>The Roseto Story : an anatomy of health / by John G. Bruhn and Stewart Wolf ; photos by Remsen Wolff.</t>
        </is>
      </c>
      <c r="F354" t="inlineStr">
        <is>
          <t>No</t>
        </is>
      </c>
      <c r="G354" t="inlineStr">
        <is>
          <t>1</t>
        </is>
      </c>
      <c r="H354" t="inlineStr">
        <is>
          <t>Yes</t>
        </is>
      </c>
      <c r="I354" t="inlineStr">
        <is>
          <t>No</t>
        </is>
      </c>
      <c r="J354" t="inlineStr">
        <is>
          <t>0</t>
        </is>
      </c>
      <c r="K354" t="inlineStr">
        <is>
          <t>Bruhn, John G., 1934-</t>
        </is>
      </c>
      <c r="L354" t="inlineStr">
        <is>
          <t>Norman : University of Oklahoma, c1979.</t>
        </is>
      </c>
      <c r="M354" t="inlineStr">
        <is>
          <t>1979</t>
        </is>
      </c>
      <c r="O354" t="inlineStr">
        <is>
          <t>eng</t>
        </is>
      </c>
      <c r="P354" t="inlineStr">
        <is>
          <t>oku</t>
        </is>
      </c>
      <c r="R354" t="inlineStr">
        <is>
          <t xml:space="preserve">RA </t>
        </is>
      </c>
      <c r="S354" t="n">
        <v>0</v>
      </c>
      <c r="T354" t="n">
        <v>3</v>
      </c>
      <c r="V354" t="inlineStr">
        <is>
          <t>1995-02-14</t>
        </is>
      </c>
      <c r="W354" t="inlineStr">
        <is>
          <t>1987-11-12</t>
        </is>
      </c>
      <c r="X354" t="inlineStr">
        <is>
          <t>1993-03-11</t>
        </is>
      </c>
      <c r="Y354" t="n">
        <v>345</v>
      </c>
      <c r="Z354" t="n">
        <v>322</v>
      </c>
      <c r="AA354" t="n">
        <v>332</v>
      </c>
      <c r="AB354" t="n">
        <v>4</v>
      </c>
      <c r="AC354" t="n">
        <v>4</v>
      </c>
      <c r="AD354" t="n">
        <v>13</v>
      </c>
      <c r="AE354" t="n">
        <v>14</v>
      </c>
      <c r="AF354" t="n">
        <v>4</v>
      </c>
      <c r="AG354" t="n">
        <v>5</v>
      </c>
      <c r="AH354" t="n">
        <v>4</v>
      </c>
      <c r="AI354" t="n">
        <v>5</v>
      </c>
      <c r="AJ354" t="n">
        <v>6</v>
      </c>
      <c r="AK354" t="n">
        <v>6</v>
      </c>
      <c r="AL354" t="n">
        <v>1</v>
      </c>
      <c r="AM354" t="n">
        <v>1</v>
      </c>
      <c r="AN354" t="n">
        <v>0</v>
      </c>
      <c r="AO354" t="n">
        <v>0</v>
      </c>
      <c r="AP354" t="inlineStr">
        <is>
          <t>No</t>
        </is>
      </c>
      <c r="AQ354" t="inlineStr">
        <is>
          <t>No</t>
        </is>
      </c>
      <c r="AS354">
        <f>HYPERLINK("https://creighton-primo.hosted.exlibrisgroup.com/primo-explore/search?tab=default_tab&amp;search_scope=EVERYTHING&amp;vid=01CRU&amp;lang=en_US&amp;offset=0&amp;query=any,contains,991001790789702656","Catalog Record")</f>
        <v/>
      </c>
      <c r="AT354">
        <f>HYPERLINK("http://www.worldcat.org/oclc/4835344","WorldCat Record")</f>
        <v/>
      </c>
    </row>
    <row r="355">
      <c r="A355" t="inlineStr">
        <is>
          <t>No</t>
        </is>
      </c>
      <c r="B355" t="inlineStr">
        <is>
          <t>RA645.N87 .S65 2002</t>
        </is>
      </c>
      <c r="C355" t="inlineStr">
        <is>
          <t>0                      RA 0645000N  87                 S  65          2002</t>
        </is>
      </c>
      <c r="D355" t="inlineStr">
        <is>
          <t>Add years to your life! : maintain or regain a healthy heart / by Phil Sokolof.</t>
        </is>
      </c>
      <c r="F355" t="inlineStr">
        <is>
          <t>No</t>
        </is>
      </c>
      <c r="G355" t="inlineStr">
        <is>
          <t>1</t>
        </is>
      </c>
      <c r="H355" t="inlineStr">
        <is>
          <t>Yes</t>
        </is>
      </c>
      <c r="I355" t="inlineStr">
        <is>
          <t>No</t>
        </is>
      </c>
      <c r="J355" t="inlineStr">
        <is>
          <t>0</t>
        </is>
      </c>
      <c r="K355" t="inlineStr">
        <is>
          <t>Sokolof, Phil.</t>
        </is>
      </c>
      <c r="L355" t="inlineStr">
        <is>
          <t>[Omaha, Neb.] : National Heart Savers Association, 2002.</t>
        </is>
      </c>
      <c r="M355" t="inlineStr">
        <is>
          <t>2002</t>
        </is>
      </c>
      <c r="O355" t="inlineStr">
        <is>
          <t>eng</t>
        </is>
      </c>
      <c r="P355" t="inlineStr">
        <is>
          <t>nbu</t>
        </is>
      </c>
      <c r="R355" t="inlineStr">
        <is>
          <t xml:space="preserve">RA </t>
        </is>
      </c>
      <c r="S355" t="n">
        <v>9</v>
      </c>
      <c r="T355" t="n">
        <v>10</v>
      </c>
      <c r="U355" t="inlineStr">
        <is>
          <t>2005-02-19</t>
        </is>
      </c>
      <c r="V355" t="inlineStr">
        <is>
          <t>2005-02-19</t>
        </is>
      </c>
      <c r="W355" t="inlineStr">
        <is>
          <t>2004-09-15</t>
        </is>
      </c>
      <c r="X355" t="inlineStr">
        <is>
          <t>2004-09-15</t>
        </is>
      </c>
      <c r="Y355" t="n">
        <v>24</v>
      </c>
      <c r="Z355" t="n">
        <v>24</v>
      </c>
      <c r="AA355" t="n">
        <v>24</v>
      </c>
      <c r="AB355" t="n">
        <v>21</v>
      </c>
      <c r="AC355" t="n">
        <v>21</v>
      </c>
      <c r="AD355" t="n">
        <v>7</v>
      </c>
      <c r="AE355" t="n">
        <v>7</v>
      </c>
      <c r="AF355" t="n">
        <v>0</v>
      </c>
      <c r="AG355" t="n">
        <v>0</v>
      </c>
      <c r="AH355" t="n">
        <v>0</v>
      </c>
      <c r="AI355" t="n">
        <v>0</v>
      </c>
      <c r="AJ355" t="n">
        <v>0</v>
      </c>
      <c r="AK355" t="n">
        <v>0</v>
      </c>
      <c r="AL355" t="n">
        <v>7</v>
      </c>
      <c r="AM355" t="n">
        <v>7</v>
      </c>
      <c r="AN355" t="n">
        <v>0</v>
      </c>
      <c r="AO355" t="n">
        <v>0</v>
      </c>
      <c r="AP355" t="inlineStr">
        <is>
          <t>No</t>
        </is>
      </c>
      <c r="AQ355" t="inlineStr">
        <is>
          <t>No</t>
        </is>
      </c>
      <c r="AS355">
        <f>HYPERLINK("https://creighton-primo.hosted.exlibrisgroup.com/primo-explore/search?tab=default_tab&amp;search_scope=EVERYTHING&amp;vid=01CRU&amp;lang=en_US&amp;offset=0&amp;query=any,contains,991001724249702656","Catalog Record")</f>
        <v/>
      </c>
      <c r="AT355">
        <f>HYPERLINK("http://www.worldcat.org/oclc/53112905","WorldCat Record")</f>
        <v/>
      </c>
    </row>
    <row r="356">
      <c r="A356" t="inlineStr">
        <is>
          <t>No</t>
        </is>
      </c>
      <c r="B356" t="inlineStr">
        <is>
          <t>RA651 .G65 2001</t>
        </is>
      </c>
      <c r="C356" t="inlineStr">
        <is>
          <t>0                      RA 0651000G  65          2001</t>
        </is>
      </c>
      <c r="D356" t="inlineStr">
        <is>
          <t>World health and disease / edited [sic] by Alastair Gray.</t>
        </is>
      </c>
      <c r="F356" t="inlineStr">
        <is>
          <t>No</t>
        </is>
      </c>
      <c r="G356" t="inlineStr">
        <is>
          <t>1</t>
        </is>
      </c>
      <c r="H356" t="inlineStr">
        <is>
          <t>No</t>
        </is>
      </c>
      <c r="I356" t="inlineStr">
        <is>
          <t>No</t>
        </is>
      </c>
      <c r="J356" t="inlineStr">
        <is>
          <t>0</t>
        </is>
      </c>
      <c r="K356" t="inlineStr">
        <is>
          <t>Gray, Alastair, 1953-</t>
        </is>
      </c>
      <c r="L356" t="inlineStr">
        <is>
          <t>Buckingham ; Philadelphia : Open University Press, 2001.</t>
        </is>
      </c>
      <c r="M356" t="inlineStr">
        <is>
          <t>2001</t>
        </is>
      </c>
      <c r="N356" t="inlineStr">
        <is>
          <t>3rd ed.</t>
        </is>
      </c>
      <c r="O356" t="inlineStr">
        <is>
          <t>eng</t>
        </is>
      </c>
      <c r="P356" t="inlineStr">
        <is>
          <t>enk</t>
        </is>
      </c>
      <c r="Q356" t="inlineStr">
        <is>
          <t>Health and disease series ; bk. 3</t>
        </is>
      </c>
      <c r="R356" t="inlineStr">
        <is>
          <t xml:space="preserve">RA </t>
        </is>
      </c>
      <c r="S356" t="n">
        <v>4</v>
      </c>
      <c r="T356" t="n">
        <v>4</v>
      </c>
      <c r="U356" t="inlineStr">
        <is>
          <t>2008-01-08</t>
        </is>
      </c>
      <c r="V356" t="inlineStr">
        <is>
          <t>2008-01-08</t>
        </is>
      </c>
      <c r="W356" t="inlineStr">
        <is>
          <t>2003-04-14</t>
        </is>
      </c>
      <c r="X356" t="inlineStr">
        <is>
          <t>2003-04-14</t>
        </is>
      </c>
      <c r="Y356" t="n">
        <v>246</v>
      </c>
      <c r="Z356" t="n">
        <v>130</v>
      </c>
      <c r="AA356" t="n">
        <v>210</v>
      </c>
      <c r="AB356" t="n">
        <v>1</v>
      </c>
      <c r="AC356" t="n">
        <v>1</v>
      </c>
      <c r="AD356" t="n">
        <v>5</v>
      </c>
      <c r="AE356" t="n">
        <v>7</v>
      </c>
      <c r="AF356" t="n">
        <v>2</v>
      </c>
      <c r="AG356" t="n">
        <v>3</v>
      </c>
      <c r="AH356" t="n">
        <v>1</v>
      </c>
      <c r="AI356" t="n">
        <v>2</v>
      </c>
      <c r="AJ356" t="n">
        <v>3</v>
      </c>
      <c r="AK356" t="n">
        <v>4</v>
      </c>
      <c r="AL356" t="n">
        <v>0</v>
      </c>
      <c r="AM356" t="n">
        <v>0</v>
      </c>
      <c r="AN356" t="n">
        <v>0</v>
      </c>
      <c r="AO356" t="n">
        <v>0</v>
      </c>
      <c r="AP356" t="inlineStr">
        <is>
          <t>No</t>
        </is>
      </c>
      <c r="AQ356" t="inlineStr">
        <is>
          <t>Yes</t>
        </is>
      </c>
      <c r="AR356">
        <f>HYPERLINK("http://catalog.hathitrust.org/Record/004195619","HathiTrust Record")</f>
        <v/>
      </c>
      <c r="AS356">
        <f>HYPERLINK("https://creighton-primo.hosted.exlibrisgroup.com/primo-explore/search?tab=default_tab&amp;search_scope=EVERYTHING&amp;vid=01CRU&amp;lang=en_US&amp;offset=0&amp;query=any,contains,991000344959702656","Catalog Record")</f>
        <v/>
      </c>
      <c r="AT356">
        <f>HYPERLINK("http://www.worldcat.org/oclc/45648460","WorldCat Record")</f>
        <v/>
      </c>
    </row>
    <row r="357">
      <c r="A357" t="inlineStr">
        <is>
          <t>No</t>
        </is>
      </c>
      <c r="B357" t="inlineStr">
        <is>
          <t>RA652 .N49 1999</t>
        </is>
      </c>
      <c r="C357" t="inlineStr">
        <is>
          <t>0                      RA 0652000N  49          1999</t>
        </is>
      </c>
      <c r="D357" t="inlineStr">
        <is>
          <t>New ethics for the public's health / edited by Dan E. Beauchamp, Bonnie Steinbock.</t>
        </is>
      </c>
      <c r="F357" t="inlineStr">
        <is>
          <t>No</t>
        </is>
      </c>
      <c r="G357" t="inlineStr">
        <is>
          <t>1</t>
        </is>
      </c>
      <c r="H357" t="inlineStr">
        <is>
          <t>No</t>
        </is>
      </c>
      <c r="I357" t="inlineStr">
        <is>
          <t>No</t>
        </is>
      </c>
      <c r="J357" t="inlineStr">
        <is>
          <t>1</t>
        </is>
      </c>
      <c r="L357" t="inlineStr">
        <is>
          <t>New York : Oxford University Press, 1999.</t>
        </is>
      </c>
      <c r="M357" t="inlineStr">
        <is>
          <t>1999</t>
        </is>
      </c>
      <c r="O357" t="inlineStr">
        <is>
          <t>eng</t>
        </is>
      </c>
      <c r="P357" t="inlineStr">
        <is>
          <t>nyu</t>
        </is>
      </c>
      <c r="R357" t="inlineStr">
        <is>
          <t xml:space="preserve">RA </t>
        </is>
      </c>
      <c r="S357" t="n">
        <v>14</v>
      </c>
      <c r="T357" t="n">
        <v>14</v>
      </c>
      <c r="U357" t="inlineStr">
        <is>
          <t>2010-09-13</t>
        </is>
      </c>
      <c r="V357" t="inlineStr">
        <is>
          <t>2010-09-13</t>
        </is>
      </c>
      <c r="W357" t="inlineStr">
        <is>
          <t>2000-12-28</t>
        </is>
      </c>
      <c r="X357" t="inlineStr">
        <is>
          <t>2000-12-28</t>
        </is>
      </c>
      <c r="Y357" t="n">
        <v>371</v>
      </c>
      <c r="Z357" t="n">
        <v>273</v>
      </c>
      <c r="AA357" t="n">
        <v>1135</v>
      </c>
      <c r="AB357" t="n">
        <v>2</v>
      </c>
      <c r="AC357" t="n">
        <v>15</v>
      </c>
      <c r="AD357" t="n">
        <v>12</v>
      </c>
      <c r="AE357" t="n">
        <v>48</v>
      </c>
      <c r="AF357" t="n">
        <v>3</v>
      </c>
      <c r="AG357" t="n">
        <v>13</v>
      </c>
      <c r="AH357" t="n">
        <v>3</v>
      </c>
      <c r="AI357" t="n">
        <v>10</v>
      </c>
      <c r="AJ357" t="n">
        <v>8</v>
      </c>
      <c r="AK357" t="n">
        <v>17</v>
      </c>
      <c r="AL357" t="n">
        <v>1</v>
      </c>
      <c r="AM357" t="n">
        <v>13</v>
      </c>
      <c r="AN357" t="n">
        <v>1</v>
      </c>
      <c r="AO357" t="n">
        <v>3</v>
      </c>
      <c r="AP357" t="inlineStr">
        <is>
          <t>No</t>
        </is>
      </c>
      <c r="AQ357" t="inlineStr">
        <is>
          <t>Yes</t>
        </is>
      </c>
      <c r="AR357">
        <f>HYPERLINK("http://catalog.hathitrust.org/Record/004050092","HathiTrust Record")</f>
        <v/>
      </c>
      <c r="AS357">
        <f>HYPERLINK("https://creighton-primo.hosted.exlibrisgroup.com/primo-explore/search?tab=default_tab&amp;search_scope=EVERYTHING&amp;vid=01CRU&amp;lang=en_US&amp;offset=0&amp;query=any,contains,991000278189702656","Catalog Record")</f>
        <v/>
      </c>
      <c r="AT357">
        <f>HYPERLINK("http://www.worldcat.org/oclc/41338019","WorldCat Record")</f>
        <v/>
      </c>
    </row>
    <row r="358">
      <c r="A358" t="inlineStr">
        <is>
          <t>No</t>
        </is>
      </c>
      <c r="B358" t="inlineStr">
        <is>
          <t>RA776.9 .C69 1991</t>
        </is>
      </c>
      <c r="C358" t="inlineStr">
        <is>
          <t>0                      RA 0776900C  69          1991</t>
        </is>
      </c>
      <c r="D358" t="inlineStr">
        <is>
          <t>The Costs of poor health habits / Willard G. Manning ... [et al.].</t>
        </is>
      </c>
      <c r="F358" t="inlineStr">
        <is>
          <t>No</t>
        </is>
      </c>
      <c r="G358" t="inlineStr">
        <is>
          <t>1</t>
        </is>
      </c>
      <c r="H358" t="inlineStr">
        <is>
          <t>No</t>
        </is>
      </c>
      <c r="I358" t="inlineStr">
        <is>
          <t>No</t>
        </is>
      </c>
      <c r="J358" t="inlineStr">
        <is>
          <t>0</t>
        </is>
      </c>
      <c r="L358" t="inlineStr">
        <is>
          <t>Cambridge, Mass. : Harvard University Press, 1991.</t>
        </is>
      </c>
      <c r="M358" t="inlineStr">
        <is>
          <t>1991</t>
        </is>
      </c>
      <c r="O358" t="inlineStr">
        <is>
          <t>eng</t>
        </is>
      </c>
      <c r="P358" t="inlineStr">
        <is>
          <t>mau</t>
        </is>
      </c>
      <c r="R358" t="inlineStr">
        <is>
          <t xml:space="preserve">RA </t>
        </is>
      </c>
      <c r="S358" t="n">
        <v>7</v>
      </c>
      <c r="T358" t="n">
        <v>7</v>
      </c>
      <c r="U358" t="inlineStr">
        <is>
          <t>1995-09-18</t>
        </is>
      </c>
      <c r="V358" t="inlineStr">
        <is>
          <t>1995-09-18</t>
        </is>
      </c>
      <c r="W358" t="inlineStr">
        <is>
          <t>1992-12-23</t>
        </is>
      </c>
      <c r="X358" t="inlineStr">
        <is>
          <t>1992-12-23</t>
        </is>
      </c>
      <c r="Y358" t="n">
        <v>662</v>
      </c>
      <c r="Z358" t="n">
        <v>571</v>
      </c>
      <c r="AA358" t="n">
        <v>574</v>
      </c>
      <c r="AB358" t="n">
        <v>5</v>
      </c>
      <c r="AC358" t="n">
        <v>5</v>
      </c>
      <c r="AD358" t="n">
        <v>29</v>
      </c>
      <c r="AE358" t="n">
        <v>29</v>
      </c>
      <c r="AF358" t="n">
        <v>9</v>
      </c>
      <c r="AG358" t="n">
        <v>9</v>
      </c>
      <c r="AH358" t="n">
        <v>8</v>
      </c>
      <c r="AI358" t="n">
        <v>8</v>
      </c>
      <c r="AJ358" t="n">
        <v>13</v>
      </c>
      <c r="AK358" t="n">
        <v>13</v>
      </c>
      <c r="AL358" t="n">
        <v>4</v>
      </c>
      <c r="AM358" t="n">
        <v>4</v>
      </c>
      <c r="AN358" t="n">
        <v>3</v>
      </c>
      <c r="AO358" t="n">
        <v>3</v>
      </c>
      <c r="AP358" t="inlineStr">
        <is>
          <t>No</t>
        </is>
      </c>
      <c r="AQ358" t="inlineStr">
        <is>
          <t>No</t>
        </is>
      </c>
      <c r="AS358">
        <f>HYPERLINK("https://creighton-primo.hosted.exlibrisgroup.com/primo-explore/search?tab=default_tab&amp;search_scope=EVERYTHING&amp;vid=01CRU&amp;lang=en_US&amp;offset=0&amp;query=any,contains,991001349539702656","Catalog Record")</f>
        <v/>
      </c>
      <c r="AT358">
        <f>HYPERLINK("http://www.worldcat.org/oclc/23386701","WorldCat Record")</f>
        <v/>
      </c>
    </row>
    <row r="359">
      <c r="A359" t="inlineStr">
        <is>
          <t>No</t>
        </is>
      </c>
      <c r="B359" t="inlineStr">
        <is>
          <t>RA777.5 .S76 1986</t>
        </is>
      </c>
      <c r="C359" t="inlineStr">
        <is>
          <t>0                      RA 0777500S  76          1986</t>
        </is>
      </c>
      <c r="D359" t="inlineStr">
        <is>
          <t>The best years of your life / Miriam Stoppard ; special photography by Camilla Jessel.</t>
        </is>
      </c>
      <c r="F359" t="inlineStr">
        <is>
          <t>No</t>
        </is>
      </c>
      <c r="G359" t="inlineStr">
        <is>
          <t>1</t>
        </is>
      </c>
      <c r="H359" t="inlineStr">
        <is>
          <t>No</t>
        </is>
      </c>
      <c r="I359" t="inlineStr">
        <is>
          <t>No</t>
        </is>
      </c>
      <c r="J359" t="inlineStr">
        <is>
          <t>0</t>
        </is>
      </c>
      <c r="K359" t="inlineStr">
        <is>
          <t>Stoppard, Miriam.</t>
        </is>
      </c>
      <c r="L359" t="inlineStr">
        <is>
          <t>New York : Ballantine Books, 1986, c1983.</t>
        </is>
      </c>
      <c r="M359" t="inlineStr">
        <is>
          <t>1986</t>
        </is>
      </c>
      <c r="N359" t="inlineStr">
        <is>
          <t>1st Ballantine Books Trade ed.</t>
        </is>
      </c>
      <c r="O359" t="inlineStr">
        <is>
          <t>eng</t>
        </is>
      </c>
      <c r="P359" t="inlineStr">
        <is>
          <t>nyu</t>
        </is>
      </c>
      <c r="R359" t="inlineStr">
        <is>
          <t xml:space="preserve">RA </t>
        </is>
      </c>
      <c r="S359" t="n">
        <v>4</v>
      </c>
      <c r="T359" t="n">
        <v>4</v>
      </c>
      <c r="U359" t="inlineStr">
        <is>
          <t>1988-02-16</t>
        </is>
      </c>
      <c r="V359" t="inlineStr">
        <is>
          <t>1988-02-16</t>
        </is>
      </c>
      <c r="W359" t="inlineStr">
        <is>
          <t>1988-02-16</t>
        </is>
      </c>
      <c r="X359" t="inlineStr">
        <is>
          <t>1988-02-16</t>
        </is>
      </c>
      <c r="Y359" t="n">
        <v>45</v>
      </c>
      <c r="Z359" t="n">
        <v>42</v>
      </c>
      <c r="AA359" t="n">
        <v>180</v>
      </c>
      <c r="AB359" t="n">
        <v>1</v>
      </c>
      <c r="AC359" t="n">
        <v>1</v>
      </c>
      <c r="AD359" t="n">
        <v>0</v>
      </c>
      <c r="AE359" t="n">
        <v>0</v>
      </c>
      <c r="AF359" t="n">
        <v>0</v>
      </c>
      <c r="AG359" t="n">
        <v>0</v>
      </c>
      <c r="AH359" t="n">
        <v>0</v>
      </c>
      <c r="AI359" t="n">
        <v>0</v>
      </c>
      <c r="AJ359" t="n">
        <v>0</v>
      </c>
      <c r="AK359" t="n">
        <v>0</v>
      </c>
      <c r="AL359" t="n">
        <v>0</v>
      </c>
      <c r="AM359" t="n">
        <v>0</v>
      </c>
      <c r="AN359" t="n">
        <v>0</v>
      </c>
      <c r="AO359" t="n">
        <v>0</v>
      </c>
      <c r="AP359" t="inlineStr">
        <is>
          <t>No</t>
        </is>
      </c>
      <c r="AQ359" t="inlineStr">
        <is>
          <t>No</t>
        </is>
      </c>
      <c r="AS359">
        <f>HYPERLINK("https://creighton-primo.hosted.exlibrisgroup.com/primo-explore/search?tab=default_tab&amp;search_scope=EVERYTHING&amp;vid=01CRU&amp;lang=en_US&amp;offset=0&amp;query=any,contains,991000843949702656","Catalog Record")</f>
        <v/>
      </c>
      <c r="AT359">
        <f>HYPERLINK("http://www.worldcat.org/oclc/13868913","WorldCat Record")</f>
        <v/>
      </c>
    </row>
    <row r="360">
      <c r="A360" t="inlineStr">
        <is>
          <t>No</t>
        </is>
      </c>
      <c r="B360" t="inlineStr">
        <is>
          <t>RA963 .D3</t>
        </is>
      </c>
      <c r="C360" t="inlineStr">
        <is>
          <t>0                      RA 0963000D  3</t>
        </is>
      </c>
      <c r="D360" t="inlineStr">
        <is>
          <t>Dispensaries, their management and development : a book for administrators, public health workers, and all interested in better medical service for the people / by Michael M. Davis and Andrew R. Warner.</t>
        </is>
      </c>
      <c r="F360" t="inlineStr">
        <is>
          <t>No</t>
        </is>
      </c>
      <c r="G360" t="inlineStr">
        <is>
          <t>1</t>
        </is>
      </c>
      <c r="H360" t="inlineStr">
        <is>
          <t>No</t>
        </is>
      </c>
      <c r="I360" t="inlineStr">
        <is>
          <t>No</t>
        </is>
      </c>
      <c r="J360" t="inlineStr">
        <is>
          <t>0</t>
        </is>
      </c>
      <c r="K360" t="inlineStr">
        <is>
          <t>Davis, Michael M. (Michael Marks), 1879-1971.</t>
        </is>
      </c>
      <c r="L360" t="inlineStr">
        <is>
          <t>New York : Macmillan, c1918.</t>
        </is>
      </c>
      <c r="M360" t="inlineStr">
        <is>
          <t>1918</t>
        </is>
      </c>
      <c r="O360" t="inlineStr">
        <is>
          <t>eng</t>
        </is>
      </c>
      <c r="P360" t="inlineStr">
        <is>
          <t>nyu</t>
        </is>
      </c>
      <c r="R360" t="inlineStr">
        <is>
          <t xml:space="preserve">RA </t>
        </is>
      </c>
      <c r="S360" t="n">
        <v>1</v>
      </c>
      <c r="T360" t="n">
        <v>1</v>
      </c>
      <c r="U360" t="inlineStr">
        <is>
          <t>2002-05-01</t>
        </is>
      </c>
      <c r="V360" t="inlineStr">
        <is>
          <t>2002-05-01</t>
        </is>
      </c>
      <c r="W360" t="inlineStr">
        <is>
          <t>1988-02-04</t>
        </is>
      </c>
      <c r="X360" t="inlineStr">
        <is>
          <t>1988-02-04</t>
        </is>
      </c>
      <c r="Y360" t="n">
        <v>73</v>
      </c>
      <c r="Z360" t="n">
        <v>67</v>
      </c>
      <c r="AA360" t="n">
        <v>87</v>
      </c>
      <c r="AB360" t="n">
        <v>2</v>
      </c>
      <c r="AC360" t="n">
        <v>2</v>
      </c>
      <c r="AD360" t="n">
        <v>1</v>
      </c>
      <c r="AE360" t="n">
        <v>1</v>
      </c>
      <c r="AF360" t="n">
        <v>0</v>
      </c>
      <c r="AG360" t="n">
        <v>0</v>
      </c>
      <c r="AH360" t="n">
        <v>0</v>
      </c>
      <c r="AI360" t="n">
        <v>0</v>
      </c>
      <c r="AJ360" t="n">
        <v>0</v>
      </c>
      <c r="AK360" t="n">
        <v>0</v>
      </c>
      <c r="AL360" t="n">
        <v>1</v>
      </c>
      <c r="AM360" t="n">
        <v>1</v>
      </c>
      <c r="AN360" t="n">
        <v>0</v>
      </c>
      <c r="AO360" t="n">
        <v>0</v>
      </c>
      <c r="AP360" t="inlineStr">
        <is>
          <t>Yes</t>
        </is>
      </c>
      <c r="AQ360" t="inlineStr">
        <is>
          <t>No</t>
        </is>
      </c>
      <c r="AR360">
        <f>HYPERLINK("http://catalog.hathitrust.org/Record/001581284","HathiTrust Record")</f>
        <v/>
      </c>
      <c r="AS360">
        <f>HYPERLINK("https://creighton-primo.hosted.exlibrisgroup.com/primo-explore/search?tab=default_tab&amp;search_scope=EVERYTHING&amp;vid=01CRU&amp;lang=en_US&amp;offset=0&amp;query=any,contains,991000991179702656","Catalog Record")</f>
        <v/>
      </c>
      <c r="AT360">
        <f>HYPERLINK("http://www.worldcat.org/oclc/990288","WorldCat Record")</f>
        <v/>
      </c>
    </row>
    <row r="361">
      <c r="A361" t="inlineStr">
        <is>
          <t>No</t>
        </is>
      </c>
      <c r="B361" t="inlineStr">
        <is>
          <t>RA971 .M34 1999</t>
        </is>
      </c>
      <c r="C361" t="inlineStr">
        <is>
          <t>0                      RA 0971000M  34          1999</t>
        </is>
      </c>
      <c r="D361" t="inlineStr">
        <is>
          <t>Managing quality of care in a cost-focused environment / edited by Norbert Goldfield and David B. Nash.</t>
        </is>
      </c>
      <c r="F361" t="inlineStr">
        <is>
          <t>No</t>
        </is>
      </c>
      <c r="G361" t="inlineStr">
        <is>
          <t>1</t>
        </is>
      </c>
      <c r="H361" t="inlineStr">
        <is>
          <t>Yes</t>
        </is>
      </c>
      <c r="I361" t="inlineStr">
        <is>
          <t>No</t>
        </is>
      </c>
      <c r="J361" t="inlineStr">
        <is>
          <t>0</t>
        </is>
      </c>
      <c r="L361" t="inlineStr">
        <is>
          <t>Tampa, FL : American College of Physicians, 1999.</t>
        </is>
      </c>
      <c r="M361" t="inlineStr">
        <is>
          <t>1999</t>
        </is>
      </c>
      <c r="O361" t="inlineStr">
        <is>
          <t>eng</t>
        </is>
      </c>
      <c r="P361" t="inlineStr">
        <is>
          <t>flu</t>
        </is>
      </c>
      <c r="R361" t="inlineStr">
        <is>
          <t xml:space="preserve">RA </t>
        </is>
      </c>
      <c r="S361" t="n">
        <v>3</v>
      </c>
      <c r="T361" t="n">
        <v>4</v>
      </c>
      <c r="U361" t="inlineStr">
        <is>
          <t>2005-04-12</t>
        </is>
      </c>
      <c r="V361" t="inlineStr">
        <is>
          <t>2005-04-12</t>
        </is>
      </c>
      <c r="W361" t="inlineStr">
        <is>
          <t>2002-07-10</t>
        </is>
      </c>
      <c r="X361" t="inlineStr">
        <is>
          <t>2002-07-10</t>
        </is>
      </c>
      <c r="Y361" t="n">
        <v>15</v>
      </c>
      <c r="Z361" t="n">
        <v>14</v>
      </c>
      <c r="AA361" t="n">
        <v>14</v>
      </c>
      <c r="AB361" t="n">
        <v>2</v>
      </c>
      <c r="AC361" t="n">
        <v>2</v>
      </c>
      <c r="AD361" t="n">
        <v>1</v>
      </c>
      <c r="AE361" t="n">
        <v>1</v>
      </c>
      <c r="AF361" t="n">
        <v>0</v>
      </c>
      <c r="AG361" t="n">
        <v>0</v>
      </c>
      <c r="AH361" t="n">
        <v>0</v>
      </c>
      <c r="AI361" t="n">
        <v>0</v>
      </c>
      <c r="AJ361" t="n">
        <v>0</v>
      </c>
      <c r="AK361" t="n">
        <v>0</v>
      </c>
      <c r="AL361" t="n">
        <v>0</v>
      </c>
      <c r="AM361" t="n">
        <v>0</v>
      </c>
      <c r="AN361" t="n">
        <v>1</v>
      </c>
      <c r="AO361" t="n">
        <v>1</v>
      </c>
      <c r="AP361" t="inlineStr">
        <is>
          <t>No</t>
        </is>
      </c>
      <c r="AQ361" t="inlineStr">
        <is>
          <t>No</t>
        </is>
      </c>
      <c r="AS361">
        <f>HYPERLINK("https://creighton-primo.hosted.exlibrisgroup.com/primo-explore/search?tab=default_tab&amp;search_scope=EVERYTHING&amp;vid=01CRU&amp;lang=en_US&amp;offset=0&amp;query=any,contains,991001711819702656","Catalog Record")</f>
        <v/>
      </c>
      <c r="AT361">
        <f>HYPERLINK("http://www.worldcat.org/oclc/48475462","WorldCat Record")</f>
        <v/>
      </c>
    </row>
    <row r="362">
      <c r="A362" t="inlineStr">
        <is>
          <t>No</t>
        </is>
      </c>
      <c r="B362" t="inlineStr">
        <is>
          <t>RA971 .R25 1978</t>
        </is>
      </c>
      <c r="C362" t="inlineStr">
        <is>
          <t>0                      RA 0971000R  25          1978</t>
        </is>
      </c>
      <c r="D362" t="inlineStr">
        <is>
          <t>Hospital organization and management : text and readings / [edited by] Jonathon S. Rakich, Kurt Darr. --</t>
        </is>
      </c>
      <c r="F362" t="inlineStr">
        <is>
          <t>No</t>
        </is>
      </c>
      <c r="G362" t="inlineStr">
        <is>
          <t>1</t>
        </is>
      </c>
      <c r="H362" t="inlineStr">
        <is>
          <t>Yes</t>
        </is>
      </c>
      <c r="I362" t="inlineStr">
        <is>
          <t>No</t>
        </is>
      </c>
      <c r="J362" t="inlineStr">
        <is>
          <t>0</t>
        </is>
      </c>
      <c r="K362" t="inlineStr">
        <is>
          <t>Rakich, Jonathon S., compiler.</t>
        </is>
      </c>
      <c r="L362" t="inlineStr">
        <is>
          <t>Jamaica, N.Y. : Spectrum Publications ; New York : distributed by Halsted Press Division of Wiley, c1978.</t>
        </is>
      </c>
      <c r="M362" t="inlineStr">
        <is>
          <t>1977</t>
        </is>
      </c>
      <c r="N362" t="inlineStr">
        <is>
          <t>2d ed. --</t>
        </is>
      </c>
      <c r="O362" t="inlineStr">
        <is>
          <t>eng</t>
        </is>
      </c>
      <c r="P362" t="inlineStr">
        <is>
          <t>nyu</t>
        </is>
      </c>
      <c r="Q362" t="inlineStr">
        <is>
          <t>Health systems management ; 11</t>
        </is>
      </c>
      <c r="R362" t="inlineStr">
        <is>
          <t xml:space="preserve">RA </t>
        </is>
      </c>
      <c r="S362" t="n">
        <v>2</v>
      </c>
      <c r="T362" t="n">
        <v>10</v>
      </c>
      <c r="V362" t="inlineStr">
        <is>
          <t>1994-06-02</t>
        </is>
      </c>
      <c r="W362" t="inlineStr">
        <is>
          <t>1988-01-13</t>
        </is>
      </c>
      <c r="X362" t="inlineStr">
        <is>
          <t>1991-11-21</t>
        </is>
      </c>
      <c r="Y362" t="n">
        <v>199</v>
      </c>
      <c r="Z362" t="n">
        <v>159</v>
      </c>
      <c r="AA362" t="n">
        <v>285</v>
      </c>
      <c r="AB362" t="n">
        <v>4</v>
      </c>
      <c r="AC362" t="n">
        <v>5</v>
      </c>
      <c r="AD362" t="n">
        <v>9</v>
      </c>
      <c r="AE362" t="n">
        <v>14</v>
      </c>
      <c r="AF362" t="n">
        <v>1</v>
      </c>
      <c r="AG362" t="n">
        <v>3</v>
      </c>
      <c r="AH362" t="n">
        <v>1</v>
      </c>
      <c r="AI362" t="n">
        <v>2</v>
      </c>
      <c r="AJ362" t="n">
        <v>4</v>
      </c>
      <c r="AK362" t="n">
        <v>8</v>
      </c>
      <c r="AL362" t="n">
        <v>2</v>
      </c>
      <c r="AM362" t="n">
        <v>3</v>
      </c>
      <c r="AN362" t="n">
        <v>1</v>
      </c>
      <c r="AO362" t="n">
        <v>1</v>
      </c>
      <c r="AP362" t="inlineStr">
        <is>
          <t>No</t>
        </is>
      </c>
      <c r="AQ362" t="inlineStr">
        <is>
          <t>Yes</t>
        </is>
      </c>
      <c r="AR362">
        <f>HYPERLINK("http://catalog.hathitrust.org/Record/000294210","HathiTrust Record")</f>
        <v/>
      </c>
      <c r="AS362">
        <f>HYPERLINK("https://creighton-primo.hosted.exlibrisgroup.com/primo-explore/search?tab=default_tab&amp;search_scope=EVERYTHING&amp;vid=01CRU&amp;lang=en_US&amp;offset=0&amp;query=any,contains,991001746869702656","Catalog Record")</f>
        <v/>
      </c>
      <c r="AT362">
        <f>HYPERLINK("http://www.worldcat.org/oclc/3186384","WorldCat Record")</f>
        <v/>
      </c>
    </row>
    <row r="363">
      <c r="A363" t="inlineStr">
        <is>
          <t>No</t>
        </is>
      </c>
      <c r="B363" t="inlineStr">
        <is>
          <t>RA975.5.I56 R37 1989</t>
        </is>
      </c>
      <c r="C363" t="inlineStr">
        <is>
          <t>0                      RA 0975500I  56                 R  37          1989</t>
        </is>
      </c>
      <c r="D363" t="inlineStr">
        <is>
          <t>Rationing medical care for the critically ill / edited by Martin A. Strosberg, I. Alan Fein, James D. Carroll.</t>
        </is>
      </c>
      <c r="F363" t="inlineStr">
        <is>
          <t>No</t>
        </is>
      </c>
      <c r="G363" t="inlineStr">
        <is>
          <t>1</t>
        </is>
      </c>
      <c r="H363" t="inlineStr">
        <is>
          <t>Yes</t>
        </is>
      </c>
      <c r="I363" t="inlineStr">
        <is>
          <t>No</t>
        </is>
      </c>
      <c r="J363" t="inlineStr">
        <is>
          <t>0</t>
        </is>
      </c>
      <c r="L363" t="inlineStr">
        <is>
          <t>Washington, DC : Brookings Institution, 1989.</t>
        </is>
      </c>
      <c r="M363" t="inlineStr">
        <is>
          <t>1989</t>
        </is>
      </c>
      <c r="O363" t="inlineStr">
        <is>
          <t>eng</t>
        </is>
      </c>
      <c r="P363" t="inlineStr">
        <is>
          <t>dcu</t>
        </is>
      </c>
      <c r="Q363" t="inlineStr">
        <is>
          <t>Brookings dialogues on public policy</t>
        </is>
      </c>
      <c r="R363" t="inlineStr">
        <is>
          <t xml:space="preserve">RA </t>
        </is>
      </c>
      <c r="S363" t="n">
        <v>7</v>
      </c>
      <c r="T363" t="n">
        <v>12</v>
      </c>
      <c r="U363" t="inlineStr">
        <is>
          <t>2005-09-26</t>
        </is>
      </c>
      <c r="V363" t="inlineStr">
        <is>
          <t>2005-09-26</t>
        </is>
      </c>
      <c r="W363" t="inlineStr">
        <is>
          <t>1989-01-03</t>
        </is>
      </c>
      <c r="X363" t="inlineStr">
        <is>
          <t>1992-02-06</t>
        </is>
      </c>
      <c r="Y363" t="n">
        <v>523</v>
      </c>
      <c r="Z363" t="n">
        <v>479</v>
      </c>
      <c r="AA363" t="n">
        <v>495</v>
      </c>
      <c r="AB363" t="n">
        <v>3</v>
      </c>
      <c r="AC363" t="n">
        <v>3</v>
      </c>
      <c r="AD363" t="n">
        <v>24</v>
      </c>
      <c r="AE363" t="n">
        <v>26</v>
      </c>
      <c r="AF363" t="n">
        <v>7</v>
      </c>
      <c r="AG363" t="n">
        <v>8</v>
      </c>
      <c r="AH363" t="n">
        <v>4</v>
      </c>
      <c r="AI363" t="n">
        <v>4</v>
      </c>
      <c r="AJ363" t="n">
        <v>12</v>
      </c>
      <c r="AK363" t="n">
        <v>13</v>
      </c>
      <c r="AL363" t="n">
        <v>1</v>
      </c>
      <c r="AM363" t="n">
        <v>1</v>
      </c>
      <c r="AN363" t="n">
        <v>6</v>
      </c>
      <c r="AO363" t="n">
        <v>7</v>
      </c>
      <c r="AP363" t="inlineStr">
        <is>
          <t>No</t>
        </is>
      </c>
      <c r="AQ363" t="inlineStr">
        <is>
          <t>Yes</t>
        </is>
      </c>
      <c r="AR363">
        <f>HYPERLINK("http://catalog.hathitrust.org/Record/001097107","HathiTrust Record")</f>
        <v/>
      </c>
      <c r="AS363">
        <f>HYPERLINK("https://creighton-primo.hosted.exlibrisgroup.com/primo-explore/search?tab=default_tab&amp;search_scope=EVERYTHING&amp;vid=01CRU&amp;lang=en_US&amp;offset=0&amp;query=any,contains,991001785869702656","Catalog Record")</f>
        <v/>
      </c>
      <c r="AT363">
        <f>HYPERLINK("http://www.worldcat.org/oclc/18917819","WorldCat Record")</f>
        <v/>
      </c>
    </row>
    <row r="364">
      <c r="A364" t="inlineStr">
        <is>
          <t>No</t>
        </is>
      </c>
      <c r="B364" t="inlineStr">
        <is>
          <t>RA981.A2 H27 1998</t>
        </is>
      </c>
      <c r="C364" t="inlineStr">
        <is>
          <t>0                      RA 0981000A  2                  H  27          1998</t>
        </is>
      </c>
      <c r="D364" t="inlineStr">
        <is>
          <t>Rethinking health care policy : the new politics of state regulation / Robert B. Hackey.</t>
        </is>
      </c>
      <c r="F364" t="inlineStr">
        <is>
          <t>No</t>
        </is>
      </c>
      <c r="G364" t="inlineStr">
        <is>
          <t>1</t>
        </is>
      </c>
      <c r="H364" t="inlineStr">
        <is>
          <t>Yes</t>
        </is>
      </c>
      <c r="I364" t="inlineStr">
        <is>
          <t>No</t>
        </is>
      </c>
      <c r="J364" t="inlineStr">
        <is>
          <t>0</t>
        </is>
      </c>
      <c r="K364" t="inlineStr">
        <is>
          <t>Hackey, Robert B.</t>
        </is>
      </c>
      <c r="L364" t="inlineStr">
        <is>
          <t>Washington, D.C. : Georgetown University Press, c1998.</t>
        </is>
      </c>
      <c r="M364" t="inlineStr">
        <is>
          <t>1998</t>
        </is>
      </c>
      <c r="O364" t="inlineStr">
        <is>
          <t>eng</t>
        </is>
      </c>
      <c r="P364" t="inlineStr">
        <is>
          <t>dcu</t>
        </is>
      </c>
      <c r="Q364" t="inlineStr">
        <is>
          <t>American governance and public policy</t>
        </is>
      </c>
      <c r="R364" t="inlineStr">
        <is>
          <t xml:space="preserve">RA </t>
        </is>
      </c>
      <c r="S364" t="n">
        <v>2</v>
      </c>
      <c r="T364" t="n">
        <v>4</v>
      </c>
      <c r="U364" t="inlineStr">
        <is>
          <t>1999-02-17</t>
        </is>
      </c>
      <c r="V364" t="inlineStr">
        <is>
          <t>2007-05-01</t>
        </is>
      </c>
      <c r="W364" t="inlineStr">
        <is>
          <t>1999-02-05</t>
        </is>
      </c>
      <c r="X364" t="inlineStr">
        <is>
          <t>1999-02-05</t>
        </is>
      </c>
      <c r="Y364" t="n">
        <v>346</v>
      </c>
      <c r="Z364" t="n">
        <v>318</v>
      </c>
      <c r="AA364" t="n">
        <v>318</v>
      </c>
      <c r="AB364" t="n">
        <v>3</v>
      </c>
      <c r="AC364" t="n">
        <v>3</v>
      </c>
      <c r="AD364" t="n">
        <v>17</v>
      </c>
      <c r="AE364" t="n">
        <v>17</v>
      </c>
      <c r="AF364" t="n">
        <v>5</v>
      </c>
      <c r="AG364" t="n">
        <v>5</v>
      </c>
      <c r="AH364" t="n">
        <v>4</v>
      </c>
      <c r="AI364" t="n">
        <v>4</v>
      </c>
      <c r="AJ364" t="n">
        <v>8</v>
      </c>
      <c r="AK364" t="n">
        <v>8</v>
      </c>
      <c r="AL364" t="n">
        <v>1</v>
      </c>
      <c r="AM364" t="n">
        <v>1</v>
      </c>
      <c r="AN364" t="n">
        <v>4</v>
      </c>
      <c r="AO364" t="n">
        <v>4</v>
      </c>
      <c r="AP364" t="inlineStr">
        <is>
          <t>No</t>
        </is>
      </c>
      <c r="AQ364" t="inlineStr">
        <is>
          <t>No</t>
        </is>
      </c>
      <c r="AS364">
        <f>HYPERLINK("https://creighton-primo.hosted.exlibrisgroup.com/primo-explore/search?tab=default_tab&amp;search_scope=EVERYTHING&amp;vid=01CRU&amp;lang=en_US&amp;offset=0&amp;query=any,contains,991001809539702656","Catalog Record")</f>
        <v/>
      </c>
      <c r="AT364">
        <f>HYPERLINK("http://www.worldcat.org/oclc/37574013","WorldCat Record")</f>
        <v/>
      </c>
    </row>
    <row r="365">
      <c r="A365" t="inlineStr">
        <is>
          <t>No</t>
        </is>
      </c>
      <c r="B365" t="inlineStr">
        <is>
          <t>RA981.A2 M56 1998, v...</t>
        </is>
      </c>
      <c r="C365" t="inlineStr">
        <is>
          <t>0                      RA 0981000A  2                  M  56          1998                  v...</t>
        </is>
      </c>
      <c r="D365" t="inlineStr">
        <is>
          <t>Mission management : a new synthesis / Elaine R. Rubin, editor.</t>
        </is>
      </c>
      <c r="E365" t="inlineStr">
        <is>
          <t>V. 1</t>
        </is>
      </c>
      <c r="F365" t="inlineStr">
        <is>
          <t>Yes</t>
        </is>
      </c>
      <c r="G365" t="inlineStr">
        <is>
          <t>1</t>
        </is>
      </c>
      <c r="H365" t="inlineStr">
        <is>
          <t>Yes</t>
        </is>
      </c>
      <c r="I365" t="inlineStr">
        <is>
          <t>No</t>
        </is>
      </c>
      <c r="J365" t="inlineStr">
        <is>
          <t>0</t>
        </is>
      </c>
      <c r="L365" t="inlineStr">
        <is>
          <t>Washington, DC : Association of Academic Health Centers, 1998-1999.</t>
        </is>
      </c>
      <c r="M365" t="inlineStr">
        <is>
          <t>1998</t>
        </is>
      </c>
      <c r="O365" t="inlineStr">
        <is>
          <t>eng</t>
        </is>
      </c>
      <c r="P365" t="inlineStr">
        <is>
          <t>dcu</t>
        </is>
      </c>
      <c r="R365" t="inlineStr">
        <is>
          <t xml:space="preserve">RA </t>
        </is>
      </c>
      <c r="S365" t="n">
        <v>0</v>
      </c>
      <c r="T365" t="n">
        <v>2</v>
      </c>
      <c r="V365" t="inlineStr">
        <is>
          <t>2001-11-20</t>
        </is>
      </c>
      <c r="W365" t="inlineStr">
        <is>
          <t>2002-06-25</t>
        </is>
      </c>
      <c r="X365" t="inlineStr">
        <is>
          <t>2002-06-25</t>
        </is>
      </c>
      <c r="Y365" t="n">
        <v>91</v>
      </c>
      <c r="Z365" t="n">
        <v>86</v>
      </c>
      <c r="AA365" t="n">
        <v>102</v>
      </c>
      <c r="AB365" t="n">
        <v>2</v>
      </c>
      <c r="AC365" t="n">
        <v>2</v>
      </c>
      <c r="AD365" t="n">
        <v>5</v>
      </c>
      <c r="AE365" t="n">
        <v>5</v>
      </c>
      <c r="AF365" t="n">
        <v>1</v>
      </c>
      <c r="AG365" t="n">
        <v>1</v>
      </c>
      <c r="AH365" t="n">
        <v>1</v>
      </c>
      <c r="AI365" t="n">
        <v>1</v>
      </c>
      <c r="AJ365" t="n">
        <v>3</v>
      </c>
      <c r="AK365" t="n">
        <v>3</v>
      </c>
      <c r="AL365" t="n">
        <v>1</v>
      </c>
      <c r="AM365" t="n">
        <v>1</v>
      </c>
      <c r="AN365" t="n">
        <v>0</v>
      </c>
      <c r="AO365" t="n">
        <v>0</v>
      </c>
      <c r="AP365" t="inlineStr">
        <is>
          <t>No</t>
        </is>
      </c>
      <c r="AQ365" t="inlineStr">
        <is>
          <t>Yes</t>
        </is>
      </c>
      <c r="AR365">
        <f>HYPERLINK("http://catalog.hathitrust.org/Record/005125477","HathiTrust Record")</f>
        <v/>
      </c>
      <c r="AS365">
        <f>HYPERLINK("https://creighton-primo.hosted.exlibrisgroup.com/primo-explore/search?tab=default_tab&amp;search_scope=EVERYTHING&amp;vid=01CRU&amp;lang=en_US&amp;offset=0&amp;query=any,contains,991001693399702656","Catalog Record")</f>
        <v/>
      </c>
      <c r="AT365">
        <f>HYPERLINK("http://www.worldcat.org/oclc/39130327","WorldCat Record")</f>
        <v/>
      </c>
    </row>
    <row r="366">
      <c r="A366" t="inlineStr">
        <is>
          <t>No</t>
        </is>
      </c>
      <c r="B366" t="inlineStr">
        <is>
          <t>RA1063.3 .W36</t>
        </is>
      </c>
      <c r="C366" t="inlineStr">
        <is>
          <t>0                      RA 1063300W  36</t>
        </is>
      </c>
      <c r="D366" t="inlineStr">
        <is>
          <t>Brain death : ethical considerations / by Douglas N. Walton.</t>
        </is>
      </c>
      <c r="F366" t="inlineStr">
        <is>
          <t>No</t>
        </is>
      </c>
      <c r="G366" t="inlineStr">
        <is>
          <t>1</t>
        </is>
      </c>
      <c r="H366" t="inlineStr">
        <is>
          <t>Yes</t>
        </is>
      </c>
      <c r="I366" t="inlineStr">
        <is>
          <t>No</t>
        </is>
      </c>
      <c r="J366" t="inlineStr">
        <is>
          <t>0</t>
        </is>
      </c>
      <c r="K366" t="inlineStr">
        <is>
          <t>Walton, Douglas N.</t>
        </is>
      </c>
      <c r="L366" t="inlineStr">
        <is>
          <t>West Lafayette, Ind. : Purdue University, 1980.</t>
        </is>
      </c>
      <c r="M366" t="inlineStr">
        <is>
          <t>1980</t>
        </is>
      </c>
      <c r="O366" t="inlineStr">
        <is>
          <t>eng</t>
        </is>
      </c>
      <c r="P366" t="inlineStr">
        <is>
          <t>inu</t>
        </is>
      </c>
      <c r="Q366" t="inlineStr">
        <is>
          <t>Science and society ; v. 5</t>
        </is>
      </c>
      <c r="R366" t="inlineStr">
        <is>
          <t xml:space="preserve">RA </t>
        </is>
      </c>
      <c r="S366" t="n">
        <v>8</v>
      </c>
      <c r="T366" t="n">
        <v>8</v>
      </c>
      <c r="U366" t="inlineStr">
        <is>
          <t>2005-10-31</t>
        </is>
      </c>
      <c r="V366" t="inlineStr">
        <is>
          <t>2005-10-31</t>
        </is>
      </c>
      <c r="W366" t="inlineStr">
        <is>
          <t>1987-12-30</t>
        </is>
      </c>
      <c r="X366" t="inlineStr">
        <is>
          <t>1993-03-31</t>
        </is>
      </c>
      <c r="Y366" t="n">
        <v>467</v>
      </c>
      <c r="Z366" t="n">
        <v>425</v>
      </c>
      <c r="AA366" t="n">
        <v>431</v>
      </c>
      <c r="AB366" t="n">
        <v>3</v>
      </c>
      <c r="AC366" t="n">
        <v>3</v>
      </c>
      <c r="AD366" t="n">
        <v>26</v>
      </c>
      <c r="AE366" t="n">
        <v>26</v>
      </c>
      <c r="AF366" t="n">
        <v>7</v>
      </c>
      <c r="AG366" t="n">
        <v>7</v>
      </c>
      <c r="AH366" t="n">
        <v>4</v>
      </c>
      <c r="AI366" t="n">
        <v>4</v>
      </c>
      <c r="AJ366" t="n">
        <v>8</v>
      </c>
      <c r="AK366" t="n">
        <v>8</v>
      </c>
      <c r="AL366" t="n">
        <v>1</v>
      </c>
      <c r="AM366" t="n">
        <v>1</v>
      </c>
      <c r="AN366" t="n">
        <v>10</v>
      </c>
      <c r="AO366" t="n">
        <v>10</v>
      </c>
      <c r="AP366" t="inlineStr">
        <is>
          <t>No</t>
        </is>
      </c>
      <c r="AQ366" t="inlineStr">
        <is>
          <t>Yes</t>
        </is>
      </c>
      <c r="AR366">
        <f>HYPERLINK("http://catalog.hathitrust.org/Record/009913757","HathiTrust Record")</f>
        <v/>
      </c>
      <c r="AS366">
        <f>HYPERLINK("https://creighton-primo.hosted.exlibrisgroup.com/primo-explore/search?tab=default_tab&amp;search_scope=EVERYTHING&amp;vid=01CRU&amp;lang=en_US&amp;offset=0&amp;query=any,contains,991001806409702656","Catalog Record")</f>
        <v/>
      </c>
      <c r="AT366">
        <f>HYPERLINK("http://www.worldcat.org/oclc/6734793","WorldCat Record")</f>
        <v/>
      </c>
    </row>
    <row r="367">
      <c r="A367" t="inlineStr">
        <is>
          <t>No</t>
        </is>
      </c>
      <c r="B367" t="inlineStr">
        <is>
          <t>RA1151 .F656 1986</t>
        </is>
      </c>
      <c r="C367" t="inlineStr">
        <is>
          <t>0                      RA 1151000F  656         1986</t>
        </is>
      </c>
      <c r="D367" t="inlineStr">
        <is>
          <t>Forensic psychiatry and psychology : perspectives and standards for interdisciplinary practice / [edited by] William J. Curran, A. Louis McGarry, Saleem A. Shah.</t>
        </is>
      </c>
      <c r="F367" t="inlineStr">
        <is>
          <t>No</t>
        </is>
      </c>
      <c r="G367" t="inlineStr">
        <is>
          <t>1</t>
        </is>
      </c>
      <c r="H367" t="inlineStr">
        <is>
          <t>Yes</t>
        </is>
      </c>
      <c r="I367" t="inlineStr">
        <is>
          <t>No</t>
        </is>
      </c>
      <c r="J367" t="inlineStr">
        <is>
          <t>0</t>
        </is>
      </c>
      <c r="L367" t="inlineStr">
        <is>
          <t>Philadelphia : F.A. Davis Co., c1986.</t>
        </is>
      </c>
      <c r="M367" t="inlineStr">
        <is>
          <t>1986</t>
        </is>
      </c>
      <c r="O367" t="inlineStr">
        <is>
          <t>eng</t>
        </is>
      </c>
      <c r="P367" t="inlineStr">
        <is>
          <t>pau</t>
        </is>
      </c>
      <c r="R367" t="inlineStr">
        <is>
          <t xml:space="preserve">RA </t>
        </is>
      </c>
      <c r="S367" t="n">
        <v>5</v>
      </c>
      <c r="T367" t="n">
        <v>13</v>
      </c>
      <c r="U367" t="inlineStr">
        <is>
          <t>2001-03-13</t>
        </is>
      </c>
      <c r="V367" t="inlineStr">
        <is>
          <t>2006-09-06</t>
        </is>
      </c>
      <c r="W367" t="inlineStr">
        <is>
          <t>1987-12-30</t>
        </is>
      </c>
      <c r="X367" t="inlineStr">
        <is>
          <t>1992-12-11</t>
        </is>
      </c>
      <c r="Y367" t="n">
        <v>258</v>
      </c>
      <c r="Z367" t="n">
        <v>209</v>
      </c>
      <c r="AA367" t="n">
        <v>216</v>
      </c>
      <c r="AB367" t="n">
        <v>3</v>
      </c>
      <c r="AC367" t="n">
        <v>3</v>
      </c>
      <c r="AD367" t="n">
        <v>11</v>
      </c>
      <c r="AE367" t="n">
        <v>11</v>
      </c>
      <c r="AF367" t="n">
        <v>4</v>
      </c>
      <c r="AG367" t="n">
        <v>4</v>
      </c>
      <c r="AH367" t="n">
        <v>1</v>
      </c>
      <c r="AI367" t="n">
        <v>1</v>
      </c>
      <c r="AJ367" t="n">
        <v>6</v>
      </c>
      <c r="AK367" t="n">
        <v>6</v>
      </c>
      <c r="AL367" t="n">
        <v>1</v>
      </c>
      <c r="AM367" t="n">
        <v>1</v>
      </c>
      <c r="AN367" t="n">
        <v>2</v>
      </c>
      <c r="AO367" t="n">
        <v>2</v>
      </c>
      <c r="AP367" t="inlineStr">
        <is>
          <t>No</t>
        </is>
      </c>
      <c r="AQ367" t="inlineStr">
        <is>
          <t>Yes</t>
        </is>
      </c>
      <c r="AR367">
        <f>HYPERLINK("http://catalog.hathitrust.org/Record/000817893","HathiTrust Record")</f>
        <v/>
      </c>
      <c r="AS367">
        <f>HYPERLINK("https://creighton-primo.hosted.exlibrisgroup.com/primo-explore/search?tab=default_tab&amp;search_scope=EVERYTHING&amp;vid=01CRU&amp;lang=en_US&amp;offset=0&amp;query=any,contains,991001806209702656","Catalog Record")</f>
        <v/>
      </c>
      <c r="AT367">
        <f>HYPERLINK("http://www.worldcat.org/oclc/12752365","WorldCat Record")</f>
        <v/>
      </c>
    </row>
    <row r="368">
      <c r="A368" t="inlineStr">
        <is>
          <t>No</t>
        </is>
      </c>
      <c r="B368" t="inlineStr">
        <is>
          <t>IN SERIALS</t>
        </is>
      </c>
      <c r="C368" t="inlineStr">
        <is>
          <t>8IN SERIALS</t>
        </is>
      </c>
      <c r="D368" t="inlineStr">
        <is>
          <t>WHO Expert Committee on Biological Standardization : thirty-eighth report.</t>
        </is>
      </c>
      <c r="F368" t="inlineStr">
        <is>
          <t>No</t>
        </is>
      </c>
      <c r="G368" t="inlineStr">
        <is>
          <t>1</t>
        </is>
      </c>
      <c r="H368" t="inlineStr">
        <is>
          <t>No</t>
        </is>
      </c>
      <c r="I368" t="inlineStr">
        <is>
          <t>No</t>
        </is>
      </c>
      <c r="J368" t="inlineStr">
        <is>
          <t>0</t>
        </is>
      </c>
      <c r="L368" t="inlineStr">
        <is>
          <t>Geneva : World Health Organization, c1988.</t>
        </is>
      </c>
      <c r="M368" t="inlineStr">
        <is>
          <t>1988</t>
        </is>
      </c>
      <c r="O368" t="inlineStr">
        <is>
          <t>eng</t>
        </is>
      </c>
      <c r="P368" t="inlineStr">
        <is>
          <t xml:space="preserve">sz </t>
        </is>
      </c>
      <c r="Q368" t="inlineStr">
        <is>
          <t>Technical report series (World Health Organization) ; 771</t>
        </is>
      </c>
      <c r="R368" t="inlineStr">
        <is>
          <t xml:space="preserve">RA </t>
        </is>
      </c>
      <c r="S368" t="n">
        <v>14</v>
      </c>
      <c r="T368" t="n">
        <v>14</v>
      </c>
      <c r="U368" t="inlineStr">
        <is>
          <t>1989-07-01</t>
        </is>
      </c>
      <c r="V368" t="inlineStr">
        <is>
          <t>1989-07-01</t>
        </is>
      </c>
      <c r="W368" t="inlineStr">
        <is>
          <t>1989-07-01</t>
        </is>
      </c>
      <c r="X368" t="inlineStr">
        <is>
          <t>1989-07-01</t>
        </is>
      </c>
      <c r="Y368" t="n">
        <v>51</v>
      </c>
      <c r="Z368" t="n">
        <v>32</v>
      </c>
      <c r="AA368" t="n">
        <v>32</v>
      </c>
      <c r="AB368" t="n">
        <v>1</v>
      </c>
      <c r="AC368" t="n">
        <v>1</v>
      </c>
      <c r="AD368" t="n">
        <v>1</v>
      </c>
      <c r="AE368" t="n">
        <v>1</v>
      </c>
      <c r="AF368" t="n">
        <v>0</v>
      </c>
      <c r="AG368" t="n">
        <v>0</v>
      </c>
      <c r="AH368" t="n">
        <v>1</v>
      </c>
      <c r="AI368" t="n">
        <v>1</v>
      </c>
      <c r="AJ368" t="n">
        <v>1</v>
      </c>
      <c r="AK368" t="n">
        <v>1</v>
      </c>
      <c r="AL368" t="n">
        <v>0</v>
      </c>
      <c r="AM368" t="n">
        <v>0</v>
      </c>
      <c r="AN368" t="n">
        <v>0</v>
      </c>
      <c r="AO368" t="n">
        <v>0</v>
      </c>
      <c r="AP368" t="inlineStr">
        <is>
          <t>No</t>
        </is>
      </c>
      <c r="AQ368" t="inlineStr">
        <is>
          <t>No</t>
        </is>
      </c>
      <c r="AS368">
        <f>HYPERLINK("https://creighton-primo.hosted.exlibrisgroup.com/primo-explore/search?tab=default_tab&amp;search_scope=EVERYTHING&amp;vid=01CRU&amp;lang=en_US&amp;offset=0&amp;query=any,contains,991001288319702656","Catalog Record")</f>
        <v/>
      </c>
      <c r="AT368">
        <f>HYPERLINK("http://www.worldcat.org/oclc/18769967","WorldCat Record")</f>
        <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2022-07-15T00:43:46Z</dcterms:created>
  <dcterms:modified xsi:type="dcterms:W3CDTF">2022-07-15T00:43:46Z</dcterms:modified>
</cp:coreProperties>
</file>