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RJ101 .C5257 2003</t>
        </is>
      </c>
      <c r="C2" t="inlineStr">
        <is>
          <t>0                      RJ 0101000C  5257        2003</t>
        </is>
      </c>
      <c r="D2" t="inlineStr">
        <is>
          <t>Child health services research : applications, innovations, and insights / Elisa J. Sobo, Paul S. Kurtin, editors ; forewod by James M. Perrin.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San Francisco : Jossey-Bass, c2003.</t>
        </is>
      </c>
      <c r="M2" t="inlineStr">
        <is>
          <t>2003</t>
        </is>
      </c>
      <c r="N2" t="inlineStr">
        <is>
          <t>1st ed.</t>
        </is>
      </c>
      <c r="O2" t="inlineStr">
        <is>
          <t>eng</t>
        </is>
      </c>
      <c r="P2" t="inlineStr">
        <is>
          <t>cau</t>
        </is>
      </c>
      <c r="R2" t="inlineStr">
        <is>
          <t xml:space="preserve">RJ </t>
        </is>
      </c>
      <c r="S2" t="n">
        <v>1</v>
      </c>
      <c r="T2" t="n">
        <v>1</v>
      </c>
      <c r="U2" t="inlineStr">
        <is>
          <t>2004-04-19</t>
        </is>
      </c>
      <c r="V2" t="inlineStr">
        <is>
          <t>2004-04-19</t>
        </is>
      </c>
      <c r="W2" t="inlineStr">
        <is>
          <t>2004-04-19</t>
        </is>
      </c>
      <c r="X2" t="inlineStr">
        <is>
          <t>2004-04-19</t>
        </is>
      </c>
      <c r="Y2" t="n">
        <v>163</v>
      </c>
      <c r="Z2" t="n">
        <v>124</v>
      </c>
      <c r="AA2" t="n">
        <v>126</v>
      </c>
      <c r="AB2" t="n">
        <v>1</v>
      </c>
      <c r="AC2" t="n">
        <v>1</v>
      </c>
      <c r="AD2" t="n">
        <v>2</v>
      </c>
      <c r="AE2" t="n">
        <v>2</v>
      </c>
      <c r="AF2" t="n">
        <v>0</v>
      </c>
      <c r="AG2" t="n">
        <v>0</v>
      </c>
      <c r="AH2" t="n">
        <v>1</v>
      </c>
      <c r="AI2" t="n">
        <v>1</v>
      </c>
      <c r="AJ2" t="n">
        <v>1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HYPERLINK("http://catalog.hathitrust.org/Record/004312583","HathiTrust Record")</f>
        <v/>
      </c>
      <c r="AS2">
        <f>HYPERLINK("https://creighton-primo.hosted.exlibrisgroup.com/primo-explore/search?tab=default_tab&amp;search_scope=EVERYTHING&amp;vid=01CRU&amp;lang=en_US&amp;offset=0&amp;query=any,contains,991004263209702656","Catalog Record")</f>
        <v/>
      </c>
      <c r="AT2">
        <f>HYPERLINK("http://www.worldcat.org/oclc/49942992","WorldCat Record")</f>
        <v/>
      </c>
      <c r="AU2" t="inlineStr">
        <is>
          <t>840324045:eng</t>
        </is>
      </c>
      <c r="AV2" t="inlineStr">
        <is>
          <t>49942992</t>
        </is>
      </c>
      <c r="AW2" t="inlineStr">
        <is>
          <t>991004263209702656</t>
        </is>
      </c>
      <c r="AX2" t="inlineStr">
        <is>
          <t>991004263209702656</t>
        </is>
      </c>
      <c r="AY2" t="inlineStr">
        <is>
          <t>2272311310002656</t>
        </is>
      </c>
      <c r="AZ2" t="inlineStr">
        <is>
          <t>BOOK</t>
        </is>
      </c>
      <c r="BB2" t="inlineStr">
        <is>
          <t>9780787958756</t>
        </is>
      </c>
      <c r="BC2" t="inlineStr">
        <is>
          <t>32285004900113</t>
        </is>
      </c>
      <c r="BD2" t="inlineStr">
        <is>
          <t>893253476</t>
        </is>
      </c>
    </row>
    <row r="3">
      <c r="A3" t="inlineStr">
        <is>
          <t>No</t>
        </is>
      </c>
      <c r="B3" t="inlineStr">
        <is>
          <t>RJ101 .M333</t>
        </is>
      </c>
      <c r="C3" t="inlineStr">
        <is>
          <t>0                      RJ 0101000M  333</t>
        </is>
      </c>
      <c r="D3" t="inlineStr">
        <is>
          <t>Health needs of children / by Roger Manela and Armand Lauffer ; with contributions by Eugene Feingold and Ruben Meyer.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Manela, Roger.</t>
        </is>
      </c>
      <c r="L3" t="inlineStr">
        <is>
          <t>Beverly Hills, Calif. : Sage Publications, published in cooperation with the continuing education program in the human services of the University of Michigan School of Social Work, c1979.</t>
        </is>
      </c>
      <c r="M3" t="inlineStr">
        <is>
          <t>1979</t>
        </is>
      </c>
      <c r="O3" t="inlineStr">
        <is>
          <t>eng</t>
        </is>
      </c>
      <c r="P3" t="inlineStr">
        <is>
          <t>cau</t>
        </is>
      </c>
      <c r="Q3" t="inlineStr">
        <is>
          <t>Sage human services guides ; v. 9</t>
        </is>
      </c>
      <c r="R3" t="inlineStr">
        <is>
          <t xml:space="preserve">RJ </t>
        </is>
      </c>
      <c r="S3" t="n">
        <v>16</v>
      </c>
      <c r="T3" t="n">
        <v>16</v>
      </c>
      <c r="U3" t="inlineStr">
        <is>
          <t>1998-09-29</t>
        </is>
      </c>
      <c r="V3" t="inlineStr">
        <is>
          <t>1998-09-29</t>
        </is>
      </c>
      <c r="W3" t="inlineStr">
        <is>
          <t>1992-04-28</t>
        </is>
      </c>
      <c r="X3" t="inlineStr">
        <is>
          <t>1992-04-28</t>
        </is>
      </c>
      <c r="Y3" t="n">
        <v>212</v>
      </c>
      <c r="Z3" t="n">
        <v>185</v>
      </c>
      <c r="AA3" t="n">
        <v>187</v>
      </c>
      <c r="AB3" t="n">
        <v>3</v>
      </c>
      <c r="AC3" t="n">
        <v>3</v>
      </c>
      <c r="AD3" t="n">
        <v>5</v>
      </c>
      <c r="AE3" t="n">
        <v>5</v>
      </c>
      <c r="AF3" t="n">
        <v>1</v>
      </c>
      <c r="AG3" t="n">
        <v>1</v>
      </c>
      <c r="AH3" t="n">
        <v>0</v>
      </c>
      <c r="AI3" t="n">
        <v>0</v>
      </c>
      <c r="AJ3" t="n">
        <v>3</v>
      </c>
      <c r="AK3" t="n">
        <v>3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HYPERLINK("http://catalog.hathitrust.org/Record/000044670","HathiTrust Record")</f>
        <v/>
      </c>
      <c r="AS3">
        <f>HYPERLINK("https://creighton-primo.hosted.exlibrisgroup.com/primo-explore/search?tab=default_tab&amp;search_scope=EVERYTHING&amp;vid=01CRU&amp;lang=en_US&amp;offset=0&amp;query=any,contains,991004650129702656","Catalog Record")</f>
        <v/>
      </c>
      <c r="AT3">
        <f>HYPERLINK("http://www.worldcat.org/oclc/4493593","WorldCat Record")</f>
        <v/>
      </c>
      <c r="AU3" t="inlineStr">
        <is>
          <t>14765411:eng</t>
        </is>
      </c>
      <c r="AV3" t="inlineStr">
        <is>
          <t>4493593</t>
        </is>
      </c>
      <c r="AW3" t="inlineStr">
        <is>
          <t>991004650129702656</t>
        </is>
      </c>
      <c r="AX3" t="inlineStr">
        <is>
          <t>991004650129702656</t>
        </is>
      </c>
      <c r="AY3" t="inlineStr">
        <is>
          <t>2263061250002656</t>
        </is>
      </c>
      <c r="AZ3" t="inlineStr">
        <is>
          <t>BOOK</t>
        </is>
      </c>
      <c r="BB3" t="inlineStr">
        <is>
          <t>9780803912175</t>
        </is>
      </c>
      <c r="BC3" t="inlineStr">
        <is>
          <t>32285001102515</t>
        </is>
      </c>
      <c r="BD3" t="inlineStr">
        <is>
          <t>893618909</t>
        </is>
      </c>
    </row>
    <row r="4">
      <c r="A4" t="inlineStr">
        <is>
          <t>No</t>
        </is>
      </c>
      <c r="B4" t="inlineStr">
        <is>
          <t>RJ101 .N64</t>
        </is>
      </c>
      <c r="C4" t="inlineStr">
        <is>
          <t>0                      RJ 0101000N  64</t>
        </is>
      </c>
      <c r="D4" t="inlineStr">
        <is>
          <t>Counseling parents of the ill and the handicapped / compiled and edited by Robert L. Noland.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Noland, Robert L., 1928- compiler.</t>
        </is>
      </c>
      <c r="L4" t="inlineStr">
        <is>
          <t>Springfield, Ill. : Thomas, [1971]</t>
        </is>
      </c>
      <c r="M4" t="inlineStr">
        <is>
          <t>1971</t>
        </is>
      </c>
      <c r="O4" t="inlineStr">
        <is>
          <t>eng</t>
        </is>
      </c>
      <c r="P4" t="inlineStr">
        <is>
          <t>ilu</t>
        </is>
      </c>
      <c r="R4" t="inlineStr">
        <is>
          <t xml:space="preserve">RJ </t>
        </is>
      </c>
      <c r="S4" t="n">
        <v>2</v>
      </c>
      <c r="T4" t="n">
        <v>2</v>
      </c>
      <c r="U4" t="inlineStr">
        <is>
          <t>1998-02-26</t>
        </is>
      </c>
      <c r="V4" t="inlineStr">
        <is>
          <t>1998-02-26</t>
        </is>
      </c>
      <c r="W4" t="inlineStr">
        <is>
          <t>1992-05-01</t>
        </is>
      </c>
      <c r="X4" t="inlineStr">
        <is>
          <t>1992-05-01</t>
        </is>
      </c>
      <c r="Y4" t="n">
        <v>336</v>
      </c>
      <c r="Z4" t="n">
        <v>282</v>
      </c>
      <c r="AA4" t="n">
        <v>285</v>
      </c>
      <c r="AB4" t="n">
        <v>2</v>
      </c>
      <c r="AC4" t="n">
        <v>2</v>
      </c>
      <c r="AD4" t="n">
        <v>7</v>
      </c>
      <c r="AE4" t="n">
        <v>7</v>
      </c>
      <c r="AF4" t="n">
        <v>2</v>
      </c>
      <c r="AG4" t="n">
        <v>2</v>
      </c>
      <c r="AH4" t="n">
        <v>0</v>
      </c>
      <c r="AI4" t="n">
        <v>0</v>
      </c>
      <c r="AJ4" t="n">
        <v>5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HYPERLINK("http://catalog.hathitrust.org/Record/001570270","HathiTrust Record")</f>
        <v/>
      </c>
      <c r="AS4">
        <f>HYPERLINK("https://creighton-primo.hosted.exlibrisgroup.com/primo-explore/search?tab=default_tab&amp;search_scope=EVERYTHING&amp;vid=01CRU&amp;lang=en_US&amp;offset=0&amp;query=any,contains,991000805049702656","Catalog Record")</f>
        <v/>
      </c>
      <c r="AT4">
        <f>HYPERLINK("http://www.worldcat.org/oclc/140360","WorldCat Record")</f>
        <v/>
      </c>
      <c r="AU4" t="inlineStr">
        <is>
          <t>1302079:eng</t>
        </is>
      </c>
      <c r="AV4" t="inlineStr">
        <is>
          <t>140360</t>
        </is>
      </c>
      <c r="AW4" t="inlineStr">
        <is>
          <t>991000805049702656</t>
        </is>
      </c>
      <c r="AX4" t="inlineStr">
        <is>
          <t>991000805049702656</t>
        </is>
      </c>
      <c r="AY4" t="inlineStr">
        <is>
          <t>2255540800002656</t>
        </is>
      </c>
      <c r="AZ4" t="inlineStr">
        <is>
          <t>BOOK</t>
        </is>
      </c>
      <c r="BC4" t="inlineStr">
        <is>
          <t>32285001091213</t>
        </is>
      </c>
      <c r="BD4" t="inlineStr">
        <is>
          <t>893255753</t>
        </is>
      </c>
    </row>
    <row r="5">
      <c r="A5" t="inlineStr">
        <is>
          <t>No</t>
        </is>
      </c>
      <c r="B5" t="inlineStr">
        <is>
          <t>RJ101 .S67 2000</t>
        </is>
      </c>
      <c r="C5" t="inlineStr">
        <is>
          <t>0                      RJ 0101000S  67          2000</t>
        </is>
      </c>
      <c r="D5" t="inlineStr">
        <is>
          <t>Poverty and child health / Nick Spencer ; foreword by Sir Donald Acheson.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Spencer, Nick, 1943-</t>
        </is>
      </c>
      <c r="L5" t="inlineStr">
        <is>
          <t>Abingdon, Oxon : Radcliffe Medical Press, c2000.</t>
        </is>
      </c>
      <c r="M5" t="inlineStr">
        <is>
          <t>2000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RJ </t>
        </is>
      </c>
      <c r="S5" t="n">
        <v>7</v>
      </c>
      <c r="T5" t="n">
        <v>7</v>
      </c>
      <c r="U5" t="inlineStr">
        <is>
          <t>2007-04-22</t>
        </is>
      </c>
      <c r="V5" t="inlineStr">
        <is>
          <t>2007-04-22</t>
        </is>
      </c>
      <c r="W5" t="inlineStr">
        <is>
          <t>2001-08-23</t>
        </is>
      </c>
      <c r="X5" t="inlineStr">
        <is>
          <t>2001-08-23</t>
        </is>
      </c>
      <c r="Y5" t="n">
        <v>99</v>
      </c>
      <c r="Z5" t="n">
        <v>23</v>
      </c>
      <c r="AA5" t="n">
        <v>437</v>
      </c>
      <c r="AB5" t="n">
        <v>2</v>
      </c>
      <c r="AC5" t="n">
        <v>4</v>
      </c>
      <c r="AD5" t="n">
        <v>1</v>
      </c>
      <c r="AE5" t="n">
        <v>8</v>
      </c>
      <c r="AF5" t="n">
        <v>0</v>
      </c>
      <c r="AG5" t="n">
        <v>3</v>
      </c>
      <c r="AH5" t="n">
        <v>0</v>
      </c>
      <c r="AI5" t="n">
        <v>1</v>
      </c>
      <c r="AJ5" t="n">
        <v>0</v>
      </c>
      <c r="AK5" t="n">
        <v>3</v>
      </c>
      <c r="AL5" t="n">
        <v>1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HYPERLINK("http://catalog.hathitrust.org/Record/004132290","HathiTrust Record")</f>
        <v/>
      </c>
      <c r="AS5">
        <f>HYPERLINK("https://creighton-primo.hosted.exlibrisgroup.com/primo-explore/search?tab=default_tab&amp;search_scope=EVERYTHING&amp;vid=01CRU&amp;lang=en_US&amp;offset=0&amp;query=any,contains,991003570729702656","Catalog Record")</f>
        <v/>
      </c>
      <c r="AT5">
        <f>HYPERLINK("http://www.worldcat.org/oclc/46518298","WorldCat Record")</f>
        <v/>
      </c>
      <c r="AU5" t="inlineStr">
        <is>
          <t>19670554:eng</t>
        </is>
      </c>
      <c r="AV5" t="inlineStr">
        <is>
          <t>46518298</t>
        </is>
      </c>
      <c r="AW5" t="inlineStr">
        <is>
          <t>991003570729702656</t>
        </is>
      </c>
      <c r="AX5" t="inlineStr">
        <is>
          <t>991003570729702656</t>
        </is>
      </c>
      <c r="AY5" t="inlineStr">
        <is>
          <t>2262778020002656</t>
        </is>
      </c>
      <c r="AZ5" t="inlineStr">
        <is>
          <t>BOOK</t>
        </is>
      </c>
      <c r="BB5" t="inlineStr">
        <is>
          <t>9781857754773</t>
        </is>
      </c>
      <c r="BC5" t="inlineStr">
        <is>
          <t>32285004380522</t>
        </is>
      </c>
      <c r="BD5" t="inlineStr">
        <is>
          <t>893531314</t>
        </is>
      </c>
    </row>
    <row r="6">
      <c r="A6" t="inlineStr">
        <is>
          <t>No</t>
        </is>
      </c>
      <c r="B6" t="inlineStr">
        <is>
          <t>RJ101 .W3</t>
        </is>
      </c>
      <c r="C6" t="inlineStr">
        <is>
          <t>0                      RJ 0101000W  3</t>
        </is>
      </c>
      <c r="D6" t="inlineStr">
        <is>
          <t>Mother-infant interaction / edited by C. Etta Walters.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Walters, C. Etta, editor.</t>
        </is>
      </c>
      <c r="L6" t="inlineStr">
        <is>
          <t>New York : Human Sciences Press, c1976.</t>
        </is>
      </c>
      <c r="M6" t="inlineStr">
        <is>
          <t>1976</t>
        </is>
      </c>
      <c r="O6" t="inlineStr">
        <is>
          <t>eng</t>
        </is>
      </c>
      <c r="P6" t="inlineStr">
        <is>
          <t xml:space="preserve">xx </t>
        </is>
      </c>
      <c r="Q6" t="inlineStr">
        <is>
          <t>Child development and child-rearing series.</t>
        </is>
      </c>
      <c r="R6" t="inlineStr">
        <is>
          <t xml:space="preserve">RJ </t>
        </is>
      </c>
      <c r="S6" t="n">
        <v>7</v>
      </c>
      <c r="T6" t="n">
        <v>7</v>
      </c>
      <c r="U6" t="inlineStr">
        <is>
          <t>1995-09-15</t>
        </is>
      </c>
      <c r="V6" t="inlineStr">
        <is>
          <t>1995-09-15</t>
        </is>
      </c>
      <c r="W6" t="inlineStr">
        <is>
          <t>1992-11-10</t>
        </is>
      </c>
      <c r="X6" t="inlineStr">
        <is>
          <t>1992-11-10</t>
        </is>
      </c>
      <c r="Y6" t="n">
        <v>418</v>
      </c>
      <c r="Z6" t="n">
        <v>347</v>
      </c>
      <c r="AA6" t="n">
        <v>353</v>
      </c>
      <c r="AB6" t="n">
        <v>3</v>
      </c>
      <c r="AC6" t="n">
        <v>3</v>
      </c>
      <c r="AD6" t="n">
        <v>10</v>
      </c>
      <c r="AE6" t="n">
        <v>10</v>
      </c>
      <c r="AF6" t="n">
        <v>2</v>
      </c>
      <c r="AG6" t="n">
        <v>2</v>
      </c>
      <c r="AH6" t="n">
        <v>4</v>
      </c>
      <c r="AI6" t="n">
        <v>4</v>
      </c>
      <c r="AJ6" t="n">
        <v>3</v>
      </c>
      <c r="AK6" t="n">
        <v>3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HYPERLINK("https://creighton-primo.hosted.exlibrisgroup.com/primo-explore/search?tab=default_tab&amp;search_scope=EVERYTHING&amp;vid=01CRU&amp;lang=en_US&amp;offset=0&amp;query=any,contains,991003940589702656","Catalog Record")</f>
        <v/>
      </c>
      <c r="AT6">
        <f>HYPERLINK("http://www.worldcat.org/oclc/1929317","WorldCat Record")</f>
        <v/>
      </c>
      <c r="AU6" t="inlineStr">
        <is>
          <t>375402431:eng</t>
        </is>
      </c>
      <c r="AV6" t="inlineStr">
        <is>
          <t>1929317</t>
        </is>
      </c>
      <c r="AW6" t="inlineStr">
        <is>
          <t>991003940589702656</t>
        </is>
      </c>
      <c r="AX6" t="inlineStr">
        <is>
          <t>991003940589702656</t>
        </is>
      </c>
      <c r="AY6" t="inlineStr">
        <is>
          <t>2256650180002656</t>
        </is>
      </c>
      <c r="AZ6" t="inlineStr">
        <is>
          <t>BOOK</t>
        </is>
      </c>
      <c r="BB6" t="inlineStr">
        <is>
          <t>9780877052401</t>
        </is>
      </c>
      <c r="BC6" t="inlineStr">
        <is>
          <t>32285001383867</t>
        </is>
      </c>
      <c r="BD6" t="inlineStr">
        <is>
          <t>893875490</t>
        </is>
      </c>
    </row>
    <row r="7">
      <c r="A7" t="inlineStr">
        <is>
          <t>No</t>
        </is>
      </c>
      <c r="B7" t="inlineStr">
        <is>
          <t>RJ102 .G44 1997</t>
        </is>
      </c>
      <c r="C7" t="inlineStr">
        <is>
          <t>0                      RJ 0102000G  44          1997</t>
        </is>
      </c>
      <c r="D7" t="inlineStr">
        <is>
          <t>State options for expanding children's health insurance : a guide for legislators / by Shelley Gehshan.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Gehshan, Shelly.</t>
        </is>
      </c>
      <c r="L7" t="inlineStr">
        <is>
          <t>Denver, Colo. : National Conference of State Legislatures, [1997]</t>
        </is>
      </c>
      <c r="M7" t="inlineStr">
        <is>
          <t>1997</t>
        </is>
      </c>
      <c r="O7" t="inlineStr">
        <is>
          <t>eng</t>
        </is>
      </c>
      <c r="P7" t="inlineStr">
        <is>
          <t>dcu</t>
        </is>
      </c>
      <c r="R7" t="inlineStr">
        <is>
          <t xml:space="preserve">RJ </t>
        </is>
      </c>
      <c r="S7" t="n">
        <v>1</v>
      </c>
      <c r="T7" t="n">
        <v>1</v>
      </c>
      <c r="U7" t="inlineStr">
        <is>
          <t>2008-01-27</t>
        </is>
      </c>
      <c r="V7" t="inlineStr">
        <is>
          <t>2008-01-27</t>
        </is>
      </c>
      <c r="W7" t="inlineStr">
        <is>
          <t>1999-01-11</t>
        </is>
      </c>
      <c r="X7" t="inlineStr">
        <is>
          <t>1999-01-11</t>
        </is>
      </c>
      <c r="Y7" t="n">
        <v>39</v>
      </c>
      <c r="Z7" t="n">
        <v>39</v>
      </c>
      <c r="AA7" t="n">
        <v>39</v>
      </c>
      <c r="AB7" t="n">
        <v>1</v>
      </c>
      <c r="AC7" t="n">
        <v>1</v>
      </c>
      <c r="AD7" t="n">
        <v>2</v>
      </c>
      <c r="AE7" t="n">
        <v>2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2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HYPERLINK("https://creighton-primo.hosted.exlibrisgroup.com/primo-explore/search?tab=default_tab&amp;search_scope=EVERYTHING&amp;vid=01CRU&amp;lang=en_US&amp;offset=0&amp;query=any,contains,991002893439702656","Catalog Record")</f>
        <v/>
      </c>
      <c r="AT7">
        <f>HYPERLINK("http://www.worldcat.org/oclc/38121151","WorldCat Record")</f>
        <v/>
      </c>
      <c r="AU7" t="inlineStr">
        <is>
          <t>643789:eng</t>
        </is>
      </c>
      <c r="AV7" t="inlineStr">
        <is>
          <t>38121151</t>
        </is>
      </c>
      <c r="AW7" t="inlineStr">
        <is>
          <t>991002893439702656</t>
        </is>
      </c>
      <c r="AX7" t="inlineStr">
        <is>
          <t>991002893439702656</t>
        </is>
      </c>
      <c r="AY7" t="inlineStr">
        <is>
          <t>2264856490002656</t>
        </is>
      </c>
      <c r="AZ7" t="inlineStr">
        <is>
          <t>BOOK</t>
        </is>
      </c>
      <c r="BC7" t="inlineStr">
        <is>
          <t>32285003511457</t>
        </is>
      </c>
      <c r="BD7" t="inlineStr">
        <is>
          <t>893780361</t>
        </is>
      </c>
    </row>
    <row r="8">
      <c r="A8" t="inlineStr">
        <is>
          <t>No</t>
        </is>
      </c>
      <c r="B8" t="inlineStr">
        <is>
          <t>RJ102 .H46 1999</t>
        </is>
      </c>
      <c r="C8" t="inlineStr">
        <is>
          <t>0                      RJ 0102000H  46          1999</t>
        </is>
      </c>
      <c r="D8" t="inlineStr">
        <is>
          <t>Implementing the State Children's Health Insurance Program : will service delivery needs be adequately met? / by Tim M. Henderson, Dan Steinberg.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Henderson, Tim M.</t>
        </is>
      </c>
      <c r="L8" t="inlineStr">
        <is>
          <t>Denver, CO : National Conference of State Legislatures, c1999.</t>
        </is>
      </c>
      <c r="M8" t="inlineStr">
        <is>
          <t>1999</t>
        </is>
      </c>
      <c r="O8" t="inlineStr">
        <is>
          <t>eng</t>
        </is>
      </c>
      <c r="P8" t="inlineStr">
        <is>
          <t>cou</t>
        </is>
      </c>
      <c r="R8" t="inlineStr">
        <is>
          <t xml:space="preserve">RJ </t>
        </is>
      </c>
      <c r="S8" t="n">
        <v>4</v>
      </c>
      <c r="T8" t="n">
        <v>4</v>
      </c>
      <c r="U8" t="inlineStr">
        <is>
          <t>2008-01-27</t>
        </is>
      </c>
      <c r="V8" t="inlineStr">
        <is>
          <t>2008-01-27</t>
        </is>
      </c>
      <c r="W8" t="inlineStr">
        <is>
          <t>2000-11-14</t>
        </is>
      </c>
      <c r="X8" t="inlineStr">
        <is>
          <t>2000-11-14</t>
        </is>
      </c>
      <c r="Y8" t="n">
        <v>25</v>
      </c>
      <c r="Z8" t="n">
        <v>25</v>
      </c>
      <c r="AA8" t="n">
        <v>26</v>
      </c>
      <c r="AB8" t="n">
        <v>2</v>
      </c>
      <c r="AC8" t="n">
        <v>2</v>
      </c>
      <c r="AD8" t="n">
        <v>1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1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HYPERLINK("http://catalog.hathitrust.org/Record/004173108","HathiTrust Record")</f>
        <v/>
      </c>
      <c r="AS8">
        <f>HYPERLINK("https://creighton-primo.hosted.exlibrisgroup.com/primo-explore/search?tab=default_tab&amp;search_scope=EVERYTHING&amp;vid=01CRU&amp;lang=en_US&amp;offset=0&amp;query=any,contains,991003243609702656","Catalog Record")</f>
        <v/>
      </c>
      <c r="AT8">
        <f>HYPERLINK("http://www.worldcat.org/oclc/43440771","WorldCat Record")</f>
        <v/>
      </c>
      <c r="AU8" t="inlineStr">
        <is>
          <t>909338616:eng</t>
        </is>
      </c>
      <c r="AV8" t="inlineStr">
        <is>
          <t>43440771</t>
        </is>
      </c>
      <c r="AW8" t="inlineStr">
        <is>
          <t>991003243609702656</t>
        </is>
      </c>
      <c r="AX8" t="inlineStr">
        <is>
          <t>991003243609702656</t>
        </is>
      </c>
      <c r="AY8" t="inlineStr">
        <is>
          <t>2267342320002656</t>
        </is>
      </c>
      <c r="AZ8" t="inlineStr">
        <is>
          <t>BOOK</t>
        </is>
      </c>
      <c r="BB8" t="inlineStr">
        <is>
          <t>9781580240345</t>
        </is>
      </c>
      <c r="BC8" t="inlineStr">
        <is>
          <t>32285004266093</t>
        </is>
      </c>
      <c r="BD8" t="inlineStr">
        <is>
          <t>893317790</t>
        </is>
      </c>
    </row>
    <row r="9">
      <c r="A9" t="inlineStr">
        <is>
          <t>No</t>
        </is>
      </c>
      <c r="B9" t="inlineStr">
        <is>
          <t>RJ102 .K46 1993</t>
        </is>
      </c>
      <c r="C9" t="inlineStr">
        <is>
          <t>0                      RJ 0102000K  46          1993</t>
        </is>
      </c>
      <c r="D9" t="inlineStr">
        <is>
          <t>Children's health in America : a history / Charles R. King.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King, Charles R. (Charles Richard), 1947-</t>
        </is>
      </c>
      <c r="L9" t="inlineStr">
        <is>
          <t>New York : Twayne Publishers ; Toronto : Maxwell Macmillan Canada ; New York : Maxwell Macmillan International, c1993.</t>
        </is>
      </c>
      <c r="M9" t="inlineStr">
        <is>
          <t>1993</t>
        </is>
      </c>
      <c r="O9" t="inlineStr">
        <is>
          <t>eng</t>
        </is>
      </c>
      <c r="P9" t="inlineStr">
        <is>
          <t>nyu</t>
        </is>
      </c>
      <c r="Q9" t="inlineStr">
        <is>
          <t>Twayne's history of American childhood series</t>
        </is>
      </c>
      <c r="R9" t="inlineStr">
        <is>
          <t xml:space="preserve">RJ </t>
        </is>
      </c>
      <c r="S9" t="n">
        <v>4</v>
      </c>
      <c r="T9" t="n">
        <v>4</v>
      </c>
      <c r="U9" t="inlineStr">
        <is>
          <t>2008-01-27</t>
        </is>
      </c>
      <c r="V9" t="inlineStr">
        <is>
          <t>2008-01-27</t>
        </is>
      </c>
      <c r="W9" t="inlineStr">
        <is>
          <t>1995-03-01</t>
        </is>
      </c>
      <c r="X9" t="inlineStr">
        <is>
          <t>1995-03-01</t>
        </is>
      </c>
      <c r="Y9" t="n">
        <v>639</v>
      </c>
      <c r="Z9" t="n">
        <v>606</v>
      </c>
      <c r="AA9" t="n">
        <v>607</v>
      </c>
      <c r="AB9" t="n">
        <v>6</v>
      </c>
      <c r="AC9" t="n">
        <v>6</v>
      </c>
      <c r="AD9" t="n">
        <v>26</v>
      </c>
      <c r="AE9" t="n">
        <v>26</v>
      </c>
      <c r="AF9" t="n">
        <v>9</v>
      </c>
      <c r="AG9" t="n">
        <v>9</v>
      </c>
      <c r="AH9" t="n">
        <v>3</v>
      </c>
      <c r="AI9" t="n">
        <v>3</v>
      </c>
      <c r="AJ9" t="n">
        <v>13</v>
      </c>
      <c r="AK9" t="n">
        <v>13</v>
      </c>
      <c r="AL9" t="n">
        <v>5</v>
      </c>
      <c r="AM9" t="n">
        <v>5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HYPERLINK("http://catalog.hathitrust.org/Record/004549247","HathiTrust Record")</f>
        <v/>
      </c>
      <c r="AS9">
        <f>HYPERLINK("https://creighton-primo.hosted.exlibrisgroup.com/primo-explore/search?tab=default_tab&amp;search_scope=EVERYTHING&amp;vid=01CRU&amp;lang=en_US&amp;offset=0&amp;query=any,contains,991002142469702656","Catalog Record")</f>
        <v/>
      </c>
      <c r="AT9">
        <f>HYPERLINK("http://www.worldcat.org/oclc/27435126","WorldCat Record")</f>
        <v/>
      </c>
      <c r="AU9" t="inlineStr">
        <is>
          <t>352487:eng</t>
        </is>
      </c>
      <c r="AV9" t="inlineStr">
        <is>
          <t>27435126</t>
        </is>
      </c>
      <c r="AW9" t="inlineStr">
        <is>
          <t>991002142469702656</t>
        </is>
      </c>
      <c r="AX9" t="inlineStr">
        <is>
          <t>991002142469702656</t>
        </is>
      </c>
      <c r="AY9" t="inlineStr">
        <is>
          <t>2255003120002656</t>
        </is>
      </c>
      <c r="AZ9" t="inlineStr">
        <is>
          <t>BOOK</t>
        </is>
      </c>
      <c r="BB9" t="inlineStr">
        <is>
          <t>9780805741018</t>
        </is>
      </c>
      <c r="BC9" t="inlineStr">
        <is>
          <t>32285002001096</t>
        </is>
      </c>
      <c r="BD9" t="inlineStr">
        <is>
          <t>893621956</t>
        </is>
      </c>
    </row>
    <row r="10">
      <c r="A10" t="inlineStr">
        <is>
          <t>No</t>
        </is>
      </c>
      <c r="B10" t="inlineStr">
        <is>
          <t>RJ102 .M26 1997</t>
        </is>
      </c>
      <c r="C10" t="inlineStr">
        <is>
          <t>0                      RJ 0102000M  26          1997</t>
        </is>
      </c>
      <c r="D10" t="inlineStr">
        <is>
          <t>Maternal and child health : programs, problems, and policy in public health / edited by Jonathan B. Kotch.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Gaithersburg, Md. : Aspen Publishers, 1997.</t>
        </is>
      </c>
      <c r="M10" t="inlineStr">
        <is>
          <t>1997</t>
        </is>
      </c>
      <c r="O10" t="inlineStr">
        <is>
          <t>eng</t>
        </is>
      </c>
      <c r="P10" t="inlineStr">
        <is>
          <t>mdu</t>
        </is>
      </c>
      <c r="R10" t="inlineStr">
        <is>
          <t xml:space="preserve">RJ </t>
        </is>
      </c>
      <c r="S10" t="n">
        <v>2</v>
      </c>
      <c r="T10" t="n">
        <v>2</v>
      </c>
      <c r="U10" t="inlineStr">
        <is>
          <t>2002-04-22</t>
        </is>
      </c>
      <c r="V10" t="inlineStr">
        <is>
          <t>2002-04-22</t>
        </is>
      </c>
      <c r="W10" t="inlineStr">
        <is>
          <t>2002-04-09</t>
        </is>
      </c>
      <c r="X10" t="inlineStr">
        <is>
          <t>2002-04-09</t>
        </is>
      </c>
      <c r="Y10" t="n">
        <v>360</v>
      </c>
      <c r="Z10" t="n">
        <v>319</v>
      </c>
      <c r="AA10" t="n">
        <v>514</v>
      </c>
      <c r="AB10" t="n">
        <v>2</v>
      </c>
      <c r="AC10" t="n">
        <v>3</v>
      </c>
      <c r="AD10" t="n">
        <v>15</v>
      </c>
      <c r="AE10" t="n">
        <v>23</v>
      </c>
      <c r="AF10" t="n">
        <v>6</v>
      </c>
      <c r="AG10" t="n">
        <v>8</v>
      </c>
      <c r="AH10" t="n">
        <v>3</v>
      </c>
      <c r="AI10" t="n">
        <v>6</v>
      </c>
      <c r="AJ10" t="n">
        <v>9</v>
      </c>
      <c r="AK10" t="n">
        <v>12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HYPERLINK("http://catalog.hathitrust.org/Record/004538281","HathiTrust Record")</f>
        <v/>
      </c>
      <c r="AS10">
        <f>HYPERLINK("https://creighton-primo.hosted.exlibrisgroup.com/primo-explore/search?tab=default_tab&amp;search_scope=EVERYTHING&amp;vid=01CRU&amp;lang=en_US&amp;offset=0&amp;query=any,contains,991003726379702656","Catalog Record")</f>
        <v/>
      </c>
      <c r="AT10">
        <f>HYPERLINK("http://www.worldcat.org/oclc/35878488","WorldCat Record")</f>
        <v/>
      </c>
      <c r="AU10" t="inlineStr">
        <is>
          <t>837034879:eng</t>
        </is>
      </c>
      <c r="AV10" t="inlineStr">
        <is>
          <t>35878488</t>
        </is>
      </c>
      <c r="AW10" t="inlineStr">
        <is>
          <t>991003726379702656</t>
        </is>
      </c>
      <c r="AX10" t="inlineStr">
        <is>
          <t>991003726379702656</t>
        </is>
      </c>
      <c r="AY10" t="inlineStr">
        <is>
          <t>2266676860002656</t>
        </is>
      </c>
      <c r="AZ10" t="inlineStr">
        <is>
          <t>BOOK</t>
        </is>
      </c>
      <c r="BB10" t="inlineStr">
        <is>
          <t>9780834207714</t>
        </is>
      </c>
      <c r="BC10" t="inlineStr">
        <is>
          <t>32285004477740</t>
        </is>
      </c>
      <c r="BD10" t="inlineStr">
        <is>
          <t>893525142</t>
        </is>
      </c>
    </row>
    <row r="11">
      <c r="A11" t="inlineStr">
        <is>
          <t>No</t>
        </is>
      </c>
      <c r="B11" t="inlineStr">
        <is>
          <t>RJ102 .T74 1999</t>
        </is>
      </c>
      <c r="C11" t="inlineStr">
        <is>
          <t>0                      RJ 0102000T  74          1999</t>
        </is>
      </c>
      <c r="D11" t="inlineStr">
        <is>
          <t>If you build it, will they come? : case studies on CHIP implementation / prepared by Trish Riley, Cynthia Pernice.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Riley, Trish.</t>
        </is>
      </c>
      <c r="L11" t="inlineStr">
        <is>
          <t>Portland, ME : National Academy for State Health Policy, c1999.</t>
        </is>
      </c>
      <c r="M11" t="inlineStr">
        <is>
          <t>1999</t>
        </is>
      </c>
      <c r="O11" t="inlineStr">
        <is>
          <t>eng</t>
        </is>
      </c>
      <c r="P11" t="inlineStr">
        <is>
          <t>meu</t>
        </is>
      </c>
      <c r="R11" t="inlineStr">
        <is>
          <t xml:space="preserve">RJ </t>
        </is>
      </c>
      <c r="S11" t="n">
        <v>1</v>
      </c>
      <c r="T11" t="n">
        <v>1</v>
      </c>
      <c r="U11" t="inlineStr">
        <is>
          <t>2001-01-16</t>
        </is>
      </c>
      <c r="V11" t="inlineStr">
        <is>
          <t>2001-01-16</t>
        </is>
      </c>
      <c r="W11" t="inlineStr">
        <is>
          <t>2001-01-16</t>
        </is>
      </c>
      <c r="X11" t="inlineStr">
        <is>
          <t>2001-01-16</t>
        </is>
      </c>
      <c r="Y11" t="n">
        <v>7</v>
      </c>
      <c r="Z11" t="n">
        <v>7</v>
      </c>
      <c r="AA11" t="n">
        <v>7</v>
      </c>
      <c r="AB11" t="n">
        <v>1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HYPERLINK("https://creighton-primo.hosted.exlibrisgroup.com/primo-explore/search?tab=default_tab&amp;search_scope=EVERYTHING&amp;vid=01CRU&amp;lang=en_US&amp;offset=0&amp;query=any,contains,991003301739702656","Catalog Record")</f>
        <v/>
      </c>
      <c r="AT11">
        <f>HYPERLINK("http://www.worldcat.org/oclc/42442960","WorldCat Record")</f>
        <v/>
      </c>
      <c r="AU11" t="inlineStr">
        <is>
          <t>44321341:eng</t>
        </is>
      </c>
      <c r="AV11" t="inlineStr">
        <is>
          <t>42442960</t>
        </is>
      </c>
      <c r="AW11" t="inlineStr">
        <is>
          <t>991003301739702656</t>
        </is>
      </c>
      <c r="AX11" t="inlineStr">
        <is>
          <t>991003301739702656</t>
        </is>
      </c>
      <c r="AY11" t="inlineStr">
        <is>
          <t>2264328680002656</t>
        </is>
      </c>
      <c r="AZ11" t="inlineStr">
        <is>
          <t>BOOK</t>
        </is>
      </c>
      <c r="BC11" t="inlineStr">
        <is>
          <t>32285004284302</t>
        </is>
      </c>
      <c r="BD11" t="inlineStr">
        <is>
          <t>893721884</t>
        </is>
      </c>
    </row>
    <row r="12">
      <c r="A12" t="inlineStr">
        <is>
          <t>No</t>
        </is>
      </c>
      <c r="B12" t="inlineStr">
        <is>
          <t>RJ102 .W53 1991</t>
        </is>
      </c>
      <c r="C12" t="inlineStr">
        <is>
          <t>0                      RJ 0102000W  53          1991</t>
        </is>
      </c>
      <c r="D12" t="inlineStr">
        <is>
          <t>Improving access to health services for children and pregnant women / Joshua M. Wiener, Jeannie Engel.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Wiener, Joshua M.</t>
        </is>
      </c>
      <c r="L12" t="inlineStr">
        <is>
          <t>Washington, D.C. : Brookings Institution, c1991.</t>
        </is>
      </c>
      <c r="M12" t="inlineStr">
        <is>
          <t>1991</t>
        </is>
      </c>
      <c r="O12" t="inlineStr">
        <is>
          <t>eng</t>
        </is>
      </c>
      <c r="P12" t="inlineStr">
        <is>
          <t>dcu</t>
        </is>
      </c>
      <c r="Q12" t="inlineStr">
        <is>
          <t>Brookings dialogues on public policy</t>
        </is>
      </c>
      <c r="R12" t="inlineStr">
        <is>
          <t xml:space="preserve">RJ </t>
        </is>
      </c>
      <c r="S12" t="n">
        <v>15</v>
      </c>
      <c r="T12" t="n">
        <v>15</v>
      </c>
      <c r="U12" t="inlineStr">
        <is>
          <t>1998-02-09</t>
        </is>
      </c>
      <c r="V12" t="inlineStr">
        <is>
          <t>1998-02-09</t>
        </is>
      </c>
      <c r="W12" t="inlineStr">
        <is>
          <t>1991-12-30</t>
        </is>
      </c>
      <c r="X12" t="inlineStr">
        <is>
          <t>1991-12-30</t>
        </is>
      </c>
      <c r="Y12" t="n">
        <v>396</v>
      </c>
      <c r="Z12" t="n">
        <v>364</v>
      </c>
      <c r="AA12" t="n">
        <v>371</v>
      </c>
      <c r="AB12" t="n">
        <v>4</v>
      </c>
      <c r="AC12" t="n">
        <v>4</v>
      </c>
      <c r="AD12" t="n">
        <v>19</v>
      </c>
      <c r="AE12" t="n">
        <v>19</v>
      </c>
      <c r="AF12" t="n">
        <v>3</v>
      </c>
      <c r="AG12" t="n">
        <v>3</v>
      </c>
      <c r="AH12" t="n">
        <v>5</v>
      </c>
      <c r="AI12" t="n">
        <v>5</v>
      </c>
      <c r="AJ12" t="n">
        <v>8</v>
      </c>
      <c r="AK12" t="n">
        <v>8</v>
      </c>
      <c r="AL12" t="n">
        <v>3</v>
      </c>
      <c r="AM12" t="n">
        <v>3</v>
      </c>
      <c r="AN12" t="n">
        <v>3</v>
      </c>
      <c r="AO12" t="n">
        <v>3</v>
      </c>
      <c r="AP12" t="inlineStr">
        <is>
          <t>No</t>
        </is>
      </c>
      <c r="AQ12" t="inlineStr">
        <is>
          <t>Yes</t>
        </is>
      </c>
      <c r="AR12">
        <f>HYPERLINK("http://catalog.hathitrust.org/Record/002513051","HathiTrust Record")</f>
        <v/>
      </c>
      <c r="AS12">
        <f>HYPERLINK("https://creighton-primo.hosted.exlibrisgroup.com/primo-explore/search?tab=default_tab&amp;search_scope=EVERYTHING&amp;vid=01CRU&amp;lang=en_US&amp;offset=0&amp;query=any,contains,991001964039702656","Catalog Record")</f>
        <v/>
      </c>
      <c r="AT12">
        <f>HYPERLINK("http://www.worldcat.org/oclc/24878348","WorldCat Record")</f>
        <v/>
      </c>
      <c r="AU12" t="inlineStr">
        <is>
          <t>27177666:eng</t>
        </is>
      </c>
      <c r="AV12" t="inlineStr">
        <is>
          <t>24878348</t>
        </is>
      </c>
      <c r="AW12" t="inlineStr">
        <is>
          <t>991001964039702656</t>
        </is>
      </c>
      <c r="AX12" t="inlineStr">
        <is>
          <t>991001964039702656</t>
        </is>
      </c>
      <c r="AY12" t="inlineStr">
        <is>
          <t>2266871760002656</t>
        </is>
      </c>
      <c r="AZ12" t="inlineStr">
        <is>
          <t>BOOK</t>
        </is>
      </c>
      <c r="BB12" t="inlineStr">
        <is>
          <t>9780815793755</t>
        </is>
      </c>
      <c r="BC12" t="inlineStr">
        <is>
          <t>32285000859925</t>
        </is>
      </c>
      <c r="BD12" t="inlineStr">
        <is>
          <t>893523029</t>
        </is>
      </c>
    </row>
    <row r="13">
      <c r="A13" t="inlineStr">
        <is>
          <t>No</t>
        </is>
      </c>
      <c r="B13" t="inlineStr">
        <is>
          <t>RJ111 .A33</t>
        </is>
      </c>
      <c r="C13" t="inlineStr">
        <is>
          <t>0                      RJ 0111000A  33</t>
        </is>
      </c>
      <c r="D13" t="inlineStr">
        <is>
          <t>Advocacy for child mental health / edited by Irving N. Berlin.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New York : Brunner/Mazel, [1975]</t>
        </is>
      </c>
      <c r="M13" t="inlineStr">
        <is>
          <t>1975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RJ </t>
        </is>
      </c>
      <c r="S13" t="n">
        <v>6</v>
      </c>
      <c r="T13" t="n">
        <v>6</v>
      </c>
      <c r="U13" t="inlineStr">
        <is>
          <t>1998-09-25</t>
        </is>
      </c>
      <c r="V13" t="inlineStr">
        <is>
          <t>1998-09-25</t>
        </is>
      </c>
      <c r="W13" t="inlineStr">
        <is>
          <t>1997-08-12</t>
        </is>
      </c>
      <c r="X13" t="inlineStr">
        <is>
          <t>1997-08-12</t>
        </is>
      </c>
      <c r="Y13" t="n">
        <v>526</v>
      </c>
      <c r="Z13" t="n">
        <v>476</v>
      </c>
      <c r="AA13" t="n">
        <v>483</v>
      </c>
      <c r="AB13" t="n">
        <v>6</v>
      </c>
      <c r="AC13" t="n">
        <v>6</v>
      </c>
      <c r="AD13" t="n">
        <v>18</v>
      </c>
      <c r="AE13" t="n">
        <v>18</v>
      </c>
      <c r="AF13" t="n">
        <v>4</v>
      </c>
      <c r="AG13" t="n">
        <v>4</v>
      </c>
      <c r="AH13" t="n">
        <v>1</v>
      </c>
      <c r="AI13" t="n">
        <v>1</v>
      </c>
      <c r="AJ13" t="n">
        <v>8</v>
      </c>
      <c r="AK13" t="n">
        <v>8</v>
      </c>
      <c r="AL13" t="n">
        <v>4</v>
      </c>
      <c r="AM13" t="n">
        <v>4</v>
      </c>
      <c r="AN13" t="n">
        <v>2</v>
      </c>
      <c r="AO13" t="n">
        <v>2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HYPERLINK("http://catalog.hathitrust.org/Record/001570280","HathiTrust Record")</f>
        <v/>
      </c>
      <c r="AS13">
        <f>HYPERLINK("https://creighton-primo.hosted.exlibrisgroup.com/primo-explore/search?tab=default_tab&amp;search_scope=EVERYTHING&amp;vid=01CRU&amp;lang=en_US&amp;offset=0&amp;query=any,contains,991003660169702656","Catalog Record")</f>
        <v/>
      </c>
      <c r="AT13">
        <f>HYPERLINK("http://www.worldcat.org/oclc/1267677","WorldCat Record")</f>
        <v/>
      </c>
      <c r="AU13" t="inlineStr">
        <is>
          <t>2194407:eng</t>
        </is>
      </c>
      <c r="AV13" t="inlineStr">
        <is>
          <t>1267677</t>
        </is>
      </c>
      <c r="AW13" t="inlineStr">
        <is>
          <t>991003660169702656</t>
        </is>
      </c>
      <c r="AX13" t="inlineStr">
        <is>
          <t>991003660169702656</t>
        </is>
      </c>
      <c r="AY13" t="inlineStr">
        <is>
          <t>2258358230002656</t>
        </is>
      </c>
      <c r="AZ13" t="inlineStr">
        <is>
          <t>BOOK</t>
        </is>
      </c>
      <c r="BB13" t="inlineStr">
        <is>
          <t>9780876300961</t>
        </is>
      </c>
      <c r="BC13" t="inlineStr">
        <is>
          <t>32285003093241</t>
        </is>
      </c>
      <c r="BD13" t="inlineStr">
        <is>
          <t>893711624</t>
        </is>
      </c>
    </row>
    <row r="14">
      <c r="A14" t="inlineStr">
        <is>
          <t>No</t>
        </is>
      </c>
      <c r="B14" t="inlineStr">
        <is>
          <t>RJ111 .B72</t>
        </is>
      </c>
      <c r="C14" t="inlineStr">
        <is>
          <t>0                      RJ 0111000B  72</t>
        </is>
      </c>
      <c r="D14" t="inlineStr">
        <is>
          <t>Help for your child : a parent's guide to mental health services / Sharon S. Brehm.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Brehm, Sharon S.</t>
        </is>
      </c>
      <c r="L14" t="inlineStr">
        <is>
          <t>Englewood Cliffs, N.J. : Prentice-Hall, c1978.</t>
        </is>
      </c>
      <c r="M14" t="inlineStr">
        <is>
          <t>1978</t>
        </is>
      </c>
      <c r="O14" t="inlineStr">
        <is>
          <t>eng</t>
        </is>
      </c>
      <c r="P14" t="inlineStr">
        <is>
          <t>nju</t>
        </is>
      </c>
      <c r="Q14" t="inlineStr">
        <is>
          <t>A Spectrum book</t>
        </is>
      </c>
      <c r="R14" t="inlineStr">
        <is>
          <t xml:space="preserve">RJ </t>
        </is>
      </c>
      <c r="S14" t="n">
        <v>3</v>
      </c>
      <c r="T14" t="n">
        <v>3</v>
      </c>
      <c r="U14" t="inlineStr">
        <is>
          <t>1998-02-09</t>
        </is>
      </c>
      <c r="V14" t="inlineStr">
        <is>
          <t>1998-02-09</t>
        </is>
      </c>
      <c r="W14" t="inlineStr">
        <is>
          <t>1993-03-25</t>
        </is>
      </c>
      <c r="X14" t="inlineStr">
        <is>
          <t>1993-03-25</t>
        </is>
      </c>
      <c r="Y14" t="n">
        <v>243</v>
      </c>
      <c r="Z14" t="n">
        <v>220</v>
      </c>
      <c r="AA14" t="n">
        <v>222</v>
      </c>
      <c r="AB14" t="n">
        <v>3</v>
      </c>
      <c r="AC14" t="n">
        <v>3</v>
      </c>
      <c r="AD14" t="n">
        <v>3</v>
      </c>
      <c r="AE14" t="n">
        <v>3</v>
      </c>
      <c r="AF14" t="n">
        <v>0</v>
      </c>
      <c r="AG14" t="n">
        <v>0</v>
      </c>
      <c r="AH14" t="n">
        <v>1</v>
      </c>
      <c r="AI14" t="n">
        <v>1</v>
      </c>
      <c r="AJ14" t="n">
        <v>1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HYPERLINK("http://catalog.hathitrust.org/Record/000687164","HathiTrust Record")</f>
        <v/>
      </c>
      <c r="AS14">
        <f>HYPERLINK("https://creighton-primo.hosted.exlibrisgroup.com/primo-explore/search?tab=default_tab&amp;search_scope=EVERYTHING&amp;vid=01CRU&amp;lang=en_US&amp;offset=0&amp;query=any,contains,991004476879702656","Catalog Record")</f>
        <v/>
      </c>
      <c r="AT14">
        <f>HYPERLINK("http://www.worldcat.org/oclc/3609646","WorldCat Record")</f>
        <v/>
      </c>
      <c r="AU14" t="inlineStr">
        <is>
          <t>424285224:eng</t>
        </is>
      </c>
      <c r="AV14" t="inlineStr">
        <is>
          <t>3609646</t>
        </is>
      </c>
      <c r="AW14" t="inlineStr">
        <is>
          <t>991004476879702656</t>
        </is>
      </c>
      <c r="AX14" t="inlineStr">
        <is>
          <t>991004476879702656</t>
        </is>
      </c>
      <c r="AY14" t="inlineStr">
        <is>
          <t>2271771170002656</t>
        </is>
      </c>
      <c r="AZ14" t="inlineStr">
        <is>
          <t>BOOK</t>
        </is>
      </c>
      <c r="BB14" t="inlineStr">
        <is>
          <t>9780133863673</t>
        </is>
      </c>
      <c r="BC14" t="inlineStr">
        <is>
          <t>32285001609709</t>
        </is>
      </c>
      <c r="BD14" t="inlineStr">
        <is>
          <t>893782282</t>
        </is>
      </c>
    </row>
    <row r="15">
      <c r="A15" t="inlineStr">
        <is>
          <t>No</t>
        </is>
      </c>
      <c r="B15" t="inlineStr">
        <is>
          <t>RJ111 .C52</t>
        </is>
      </c>
      <c r="C15" t="inlineStr">
        <is>
          <t>0                      RJ 0111000C  52</t>
        </is>
      </c>
      <c r="D15" t="inlineStr">
        <is>
          <t>Children's rights and the mental health professions / edited by Gerald P. Koocher.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New York : Wiley, c1976.</t>
        </is>
      </c>
      <c r="M15" t="inlineStr">
        <is>
          <t>1976</t>
        </is>
      </c>
      <c r="O15" t="inlineStr">
        <is>
          <t>eng</t>
        </is>
      </c>
      <c r="P15" t="inlineStr">
        <is>
          <t>nyu</t>
        </is>
      </c>
      <c r="Q15" t="inlineStr">
        <is>
          <t>Wiley series on personality processes</t>
        </is>
      </c>
      <c r="R15" t="inlineStr">
        <is>
          <t xml:space="preserve">RJ </t>
        </is>
      </c>
      <c r="S15" t="n">
        <v>2</v>
      </c>
      <c r="T15" t="n">
        <v>2</v>
      </c>
      <c r="U15" t="inlineStr">
        <is>
          <t>1998-02-09</t>
        </is>
      </c>
      <c r="V15" t="inlineStr">
        <is>
          <t>1998-02-09</t>
        </is>
      </c>
      <c r="W15" t="inlineStr">
        <is>
          <t>1997-08-12</t>
        </is>
      </c>
      <c r="X15" t="inlineStr">
        <is>
          <t>1997-08-12</t>
        </is>
      </c>
      <c r="Y15" t="n">
        <v>560</v>
      </c>
      <c r="Z15" t="n">
        <v>480</v>
      </c>
      <c r="AA15" t="n">
        <v>489</v>
      </c>
      <c r="AB15" t="n">
        <v>5</v>
      </c>
      <c r="AC15" t="n">
        <v>5</v>
      </c>
      <c r="AD15" t="n">
        <v>23</v>
      </c>
      <c r="AE15" t="n">
        <v>23</v>
      </c>
      <c r="AF15" t="n">
        <v>5</v>
      </c>
      <c r="AG15" t="n">
        <v>5</v>
      </c>
      <c r="AH15" t="n">
        <v>4</v>
      </c>
      <c r="AI15" t="n">
        <v>4</v>
      </c>
      <c r="AJ15" t="n">
        <v>9</v>
      </c>
      <c r="AK15" t="n">
        <v>9</v>
      </c>
      <c r="AL15" t="n">
        <v>3</v>
      </c>
      <c r="AM15" t="n">
        <v>3</v>
      </c>
      <c r="AN15" t="n">
        <v>6</v>
      </c>
      <c r="AO15" t="n">
        <v>6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HYPERLINK("http://catalog.hathitrust.org/Record/000730302","HathiTrust Record")</f>
        <v/>
      </c>
      <c r="AS15">
        <f>HYPERLINK("https://creighton-primo.hosted.exlibrisgroup.com/primo-explore/search?tab=default_tab&amp;search_scope=EVERYTHING&amp;vid=01CRU&amp;lang=en_US&amp;offset=0&amp;query=any,contains,991004136459702656","Catalog Record")</f>
        <v/>
      </c>
      <c r="AT15">
        <f>HYPERLINK("http://www.worldcat.org/oclc/2487910","WorldCat Record")</f>
        <v/>
      </c>
      <c r="AU15" t="inlineStr">
        <is>
          <t>195491153:eng</t>
        </is>
      </c>
      <c r="AV15" t="inlineStr">
        <is>
          <t>2487910</t>
        </is>
      </c>
      <c r="AW15" t="inlineStr">
        <is>
          <t>991004136459702656</t>
        </is>
      </c>
      <c r="AX15" t="inlineStr">
        <is>
          <t>991004136459702656</t>
        </is>
      </c>
      <c r="AY15" t="inlineStr">
        <is>
          <t>2260544700002656</t>
        </is>
      </c>
      <c r="AZ15" t="inlineStr">
        <is>
          <t>BOOK</t>
        </is>
      </c>
      <c r="BB15" t="inlineStr">
        <is>
          <t>9780471017363</t>
        </is>
      </c>
      <c r="BC15" t="inlineStr">
        <is>
          <t>32285003093266</t>
        </is>
      </c>
      <c r="BD15" t="inlineStr">
        <is>
          <t>893429701</t>
        </is>
      </c>
    </row>
    <row r="16">
      <c r="A16" t="inlineStr">
        <is>
          <t>No</t>
        </is>
      </c>
      <c r="B16" t="inlineStr">
        <is>
          <t>RJ131 .A496 2003</t>
        </is>
      </c>
      <c r="C16" t="inlineStr">
        <is>
          <t>0                      RJ 0131000A  496         2003</t>
        </is>
      </c>
      <c r="D16" t="inlineStr">
        <is>
          <t>Developmental profiles : pre-birth through twelve / K. Eileen Allen, Lynn R. Marotz.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Allen, K. Eileen, 1918-2015.</t>
        </is>
      </c>
      <c r="L16" t="inlineStr">
        <is>
          <t>Clifton Park, NY : Thomson/Delmar Learning, c2003.</t>
        </is>
      </c>
      <c r="M16" t="inlineStr">
        <is>
          <t>2003</t>
        </is>
      </c>
      <c r="N16" t="inlineStr">
        <is>
          <t>4th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RJ </t>
        </is>
      </c>
      <c r="S16" t="n">
        <v>1</v>
      </c>
      <c r="T16" t="n">
        <v>1</v>
      </c>
      <c r="U16" t="inlineStr">
        <is>
          <t>2010-01-11</t>
        </is>
      </c>
      <c r="V16" t="inlineStr">
        <is>
          <t>2010-01-11</t>
        </is>
      </c>
      <c r="W16" t="inlineStr">
        <is>
          <t>2010-01-11</t>
        </is>
      </c>
      <c r="X16" t="inlineStr">
        <is>
          <t>2010-01-11</t>
        </is>
      </c>
      <c r="Y16" t="n">
        <v>211</v>
      </c>
      <c r="Z16" t="n">
        <v>142</v>
      </c>
      <c r="AA16" t="n">
        <v>682</v>
      </c>
      <c r="AB16" t="n">
        <v>2</v>
      </c>
      <c r="AC16" t="n">
        <v>7</v>
      </c>
      <c r="AD16" t="n">
        <v>4</v>
      </c>
      <c r="AE16" t="n">
        <v>14</v>
      </c>
      <c r="AF16" t="n">
        <v>1</v>
      </c>
      <c r="AG16" t="n">
        <v>5</v>
      </c>
      <c r="AH16" t="n">
        <v>0</v>
      </c>
      <c r="AI16" t="n">
        <v>3</v>
      </c>
      <c r="AJ16" t="n">
        <v>3</v>
      </c>
      <c r="AK16" t="n">
        <v>6</v>
      </c>
      <c r="AL16" t="n">
        <v>1</v>
      </c>
      <c r="AM16" t="n">
        <v>5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HYPERLINK("https://creighton-primo.hosted.exlibrisgroup.com/primo-explore/search?tab=default_tab&amp;search_scope=EVERYTHING&amp;vid=01CRU&amp;lang=en_US&amp;offset=0&amp;query=any,contains,991005349059702656","Catalog Record")</f>
        <v/>
      </c>
      <c r="AT16">
        <f>HYPERLINK("http://www.worldcat.org/oclc/48951417","WorldCat Record")</f>
        <v/>
      </c>
      <c r="AU16" t="inlineStr">
        <is>
          <t>793224591:eng</t>
        </is>
      </c>
      <c r="AV16" t="inlineStr">
        <is>
          <t>48951417</t>
        </is>
      </c>
      <c r="AW16" t="inlineStr">
        <is>
          <t>991005349059702656</t>
        </is>
      </c>
      <c r="AX16" t="inlineStr">
        <is>
          <t>991005349059702656</t>
        </is>
      </c>
      <c r="AY16" t="inlineStr">
        <is>
          <t>2268930670002656</t>
        </is>
      </c>
      <c r="AZ16" t="inlineStr">
        <is>
          <t>BOOK</t>
        </is>
      </c>
      <c r="BB16" t="inlineStr">
        <is>
          <t>9780766837652</t>
        </is>
      </c>
      <c r="BC16" t="inlineStr">
        <is>
          <t>32285005556120</t>
        </is>
      </c>
      <c r="BD16" t="inlineStr">
        <is>
          <t>893320476</t>
        </is>
      </c>
    </row>
    <row r="17">
      <c r="A17" t="inlineStr">
        <is>
          <t>No</t>
        </is>
      </c>
      <c r="B17" t="inlineStr">
        <is>
          <t>RJ131 .B36 1981</t>
        </is>
      </c>
      <c r="C17" t="inlineStr">
        <is>
          <t>0                      RJ 0131000B  36          1981</t>
        </is>
      </c>
      <c r="D17" t="inlineStr">
        <is>
          <t>The developing child / Helen Bee ; [illustrators, John Foster and Cyndie Clark-Huegel].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Bee, Helen L., 1939-</t>
        </is>
      </c>
      <c r="L17" t="inlineStr">
        <is>
          <t>New York : Harper &amp; Row, c1981.</t>
        </is>
      </c>
      <c r="M17" t="inlineStr">
        <is>
          <t>1981</t>
        </is>
      </c>
      <c r="N17" t="inlineStr">
        <is>
          <t>3d ed.</t>
        </is>
      </c>
      <c r="O17" t="inlineStr">
        <is>
          <t>eng</t>
        </is>
      </c>
      <c r="P17" t="inlineStr">
        <is>
          <t>cau</t>
        </is>
      </c>
      <c r="R17" t="inlineStr">
        <is>
          <t xml:space="preserve">RJ </t>
        </is>
      </c>
      <c r="S17" t="n">
        <v>6</v>
      </c>
      <c r="T17" t="n">
        <v>6</v>
      </c>
      <c r="U17" t="inlineStr">
        <is>
          <t>1995-02-28</t>
        </is>
      </c>
      <c r="V17" t="inlineStr">
        <is>
          <t>1995-02-28</t>
        </is>
      </c>
      <c r="W17" t="inlineStr">
        <is>
          <t>1993-03-25</t>
        </is>
      </c>
      <c r="X17" t="inlineStr">
        <is>
          <t>1993-03-25</t>
        </is>
      </c>
      <c r="Y17" t="n">
        <v>206</v>
      </c>
      <c r="Z17" t="n">
        <v>130</v>
      </c>
      <c r="AA17" t="n">
        <v>917</v>
      </c>
      <c r="AB17" t="n">
        <v>1</v>
      </c>
      <c r="AC17" t="n">
        <v>3</v>
      </c>
      <c r="AD17" t="n">
        <v>5</v>
      </c>
      <c r="AE17" t="n">
        <v>22</v>
      </c>
      <c r="AF17" t="n">
        <v>2</v>
      </c>
      <c r="AG17" t="n">
        <v>8</v>
      </c>
      <c r="AH17" t="n">
        <v>0</v>
      </c>
      <c r="AI17" t="n">
        <v>7</v>
      </c>
      <c r="AJ17" t="n">
        <v>4</v>
      </c>
      <c r="AK17" t="n">
        <v>13</v>
      </c>
      <c r="AL17" t="n">
        <v>0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HYPERLINK("http://catalog.hathitrust.org/Record/000311985","HathiTrust Record")</f>
        <v/>
      </c>
      <c r="AS17">
        <f>HYPERLINK("https://creighton-primo.hosted.exlibrisgroup.com/primo-explore/search?tab=default_tab&amp;search_scope=EVERYTHING&amp;vid=01CRU&amp;lang=en_US&amp;offset=0&amp;query=any,contains,991005011669702656","Catalog Record")</f>
        <v/>
      </c>
      <c r="AT17">
        <f>HYPERLINK("http://www.worldcat.org/oclc/6603131","WorldCat Record")</f>
        <v/>
      </c>
      <c r="AU17" t="inlineStr">
        <is>
          <t>665916:eng</t>
        </is>
      </c>
      <c r="AV17" t="inlineStr">
        <is>
          <t>6603131</t>
        </is>
      </c>
      <c r="AW17" t="inlineStr">
        <is>
          <t>991005011669702656</t>
        </is>
      </c>
      <c r="AX17" t="inlineStr">
        <is>
          <t>991005011669702656</t>
        </is>
      </c>
      <c r="AY17" t="inlineStr">
        <is>
          <t>2254783130002656</t>
        </is>
      </c>
      <c r="AZ17" t="inlineStr">
        <is>
          <t>BOOK</t>
        </is>
      </c>
      <c r="BB17" t="inlineStr">
        <is>
          <t>9780060405793</t>
        </is>
      </c>
      <c r="BC17" t="inlineStr">
        <is>
          <t>32285001609733</t>
        </is>
      </c>
      <c r="BD17" t="inlineStr">
        <is>
          <t>893430713</t>
        </is>
      </c>
    </row>
    <row r="18">
      <c r="A18" t="inlineStr">
        <is>
          <t>No</t>
        </is>
      </c>
      <c r="B18" t="inlineStr">
        <is>
          <t>RJ131 .B69</t>
        </is>
      </c>
      <c r="C18" t="inlineStr">
        <is>
          <t>0                      RJ 0131000B  69</t>
        </is>
      </c>
      <c r="D18" t="inlineStr">
        <is>
          <t>Growing with children: the early childhood years [compiled by] Joseph and Laurie Braga.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Braga, Joseph, compiler.</t>
        </is>
      </c>
      <c r="L18" t="inlineStr">
        <is>
          <t>Englewood Cliffs, N.J., Prentice-Hall [1974]</t>
        </is>
      </c>
      <c r="M18" t="inlineStr">
        <is>
          <t>1974</t>
        </is>
      </c>
      <c r="O18" t="inlineStr">
        <is>
          <t>eng</t>
        </is>
      </c>
      <c r="P18" t="inlineStr">
        <is>
          <t>nju</t>
        </is>
      </c>
      <c r="Q18" t="inlineStr">
        <is>
          <t>A Spectrum book</t>
        </is>
      </c>
      <c r="R18" t="inlineStr">
        <is>
          <t xml:space="preserve">RJ </t>
        </is>
      </c>
      <c r="S18" t="n">
        <v>1</v>
      </c>
      <c r="T18" t="n">
        <v>1</v>
      </c>
      <c r="U18" t="inlineStr">
        <is>
          <t>2001-01-26</t>
        </is>
      </c>
      <c r="V18" t="inlineStr">
        <is>
          <t>2001-01-26</t>
        </is>
      </c>
      <c r="W18" t="inlineStr">
        <is>
          <t>1997-08-12</t>
        </is>
      </c>
      <c r="X18" t="inlineStr">
        <is>
          <t>1997-08-12</t>
        </is>
      </c>
      <c r="Y18" t="n">
        <v>346</v>
      </c>
      <c r="Z18" t="n">
        <v>285</v>
      </c>
      <c r="AA18" t="n">
        <v>287</v>
      </c>
      <c r="AB18" t="n">
        <v>3</v>
      </c>
      <c r="AC18" t="n">
        <v>3</v>
      </c>
      <c r="AD18" t="n">
        <v>8</v>
      </c>
      <c r="AE18" t="n">
        <v>8</v>
      </c>
      <c r="AF18" t="n">
        <v>1</v>
      </c>
      <c r="AG18" t="n">
        <v>1</v>
      </c>
      <c r="AH18" t="n">
        <v>1</v>
      </c>
      <c r="AI18" t="n">
        <v>1</v>
      </c>
      <c r="AJ18" t="n">
        <v>4</v>
      </c>
      <c r="AK18" t="n">
        <v>4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HYPERLINK("http://catalog.hathitrust.org/Record/001578906","HathiTrust Record")</f>
        <v/>
      </c>
      <c r="AS18">
        <f>HYPERLINK("https://creighton-primo.hosted.exlibrisgroup.com/primo-explore/search?tab=default_tab&amp;search_scope=EVERYTHING&amp;vid=01CRU&amp;lang=en_US&amp;offset=0&amp;query=any,contains,991003362059702656","Catalog Record")</f>
        <v/>
      </c>
      <c r="AT18">
        <f>HYPERLINK("http://www.worldcat.org/oclc/897940","WorldCat Record")</f>
        <v/>
      </c>
      <c r="AU18" t="inlineStr">
        <is>
          <t>1885415:eng</t>
        </is>
      </c>
      <c r="AV18" t="inlineStr">
        <is>
          <t>897940</t>
        </is>
      </c>
      <c r="AW18" t="inlineStr">
        <is>
          <t>991003362059702656</t>
        </is>
      </c>
      <c r="AX18" t="inlineStr">
        <is>
          <t>991003362059702656</t>
        </is>
      </c>
      <c r="AY18" t="inlineStr">
        <is>
          <t>2257323130002656</t>
        </is>
      </c>
      <c r="AZ18" t="inlineStr">
        <is>
          <t>BOOK</t>
        </is>
      </c>
      <c r="BB18" t="inlineStr">
        <is>
          <t>9780133662603</t>
        </is>
      </c>
      <c r="BC18" t="inlineStr">
        <is>
          <t>32285003093324</t>
        </is>
      </c>
      <c r="BD18" t="inlineStr">
        <is>
          <t>893246289</t>
        </is>
      </c>
    </row>
    <row r="19">
      <c r="A19" t="inlineStr">
        <is>
          <t>No</t>
        </is>
      </c>
      <c r="B19" t="inlineStr">
        <is>
          <t>RJ131 .B74</t>
        </is>
      </c>
      <c r="C19" t="inlineStr">
        <is>
          <t>0                      RJ 0131000B  74</t>
        </is>
      </c>
      <c r="D19" t="inlineStr">
        <is>
          <t>The growing brain : childhood's crucial years / [by] John Brierley ; foreword by Wilder Penfield.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Brierley, John, 1927-</t>
        </is>
      </c>
      <c r="L19" t="inlineStr">
        <is>
          <t>Windsor : NFER, 1976.</t>
        </is>
      </c>
      <c r="M19" t="inlineStr">
        <is>
          <t>1976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RJ </t>
        </is>
      </c>
      <c r="S19" t="n">
        <v>4</v>
      </c>
      <c r="T19" t="n">
        <v>4</v>
      </c>
      <c r="U19" t="inlineStr">
        <is>
          <t>1994-10-13</t>
        </is>
      </c>
      <c r="V19" t="inlineStr">
        <is>
          <t>1994-10-13</t>
        </is>
      </c>
      <c r="W19" t="inlineStr">
        <is>
          <t>1992-03-12</t>
        </is>
      </c>
      <c r="X19" t="inlineStr">
        <is>
          <t>1992-03-12</t>
        </is>
      </c>
      <c r="Y19" t="n">
        <v>328</v>
      </c>
      <c r="Z19" t="n">
        <v>220</v>
      </c>
      <c r="AA19" t="n">
        <v>221</v>
      </c>
      <c r="AB19" t="n">
        <v>3</v>
      </c>
      <c r="AC19" t="n">
        <v>3</v>
      </c>
      <c r="AD19" t="n">
        <v>9</v>
      </c>
      <c r="AE19" t="n">
        <v>9</v>
      </c>
      <c r="AF19" t="n">
        <v>4</v>
      </c>
      <c r="AG19" t="n">
        <v>4</v>
      </c>
      <c r="AH19" t="n">
        <v>2</v>
      </c>
      <c r="AI19" t="n">
        <v>2</v>
      </c>
      <c r="AJ19" t="n">
        <v>4</v>
      </c>
      <c r="AK19" t="n">
        <v>4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HYPERLINK("http://catalog.hathitrust.org/Record/009081202","HathiTrust Record")</f>
        <v/>
      </c>
      <c r="AS19">
        <f>HYPERLINK("https://creighton-primo.hosted.exlibrisgroup.com/primo-explore/search?tab=default_tab&amp;search_scope=EVERYTHING&amp;vid=01CRU&amp;lang=en_US&amp;offset=0&amp;query=any,contains,991004197359702656","Catalog Record")</f>
        <v/>
      </c>
      <c r="AT19">
        <f>HYPERLINK("http://www.worldcat.org/oclc/2645316","WorldCat Record")</f>
        <v/>
      </c>
      <c r="AU19" t="inlineStr">
        <is>
          <t>5905581:eng</t>
        </is>
      </c>
      <c r="AV19" t="inlineStr">
        <is>
          <t>2645316</t>
        </is>
      </c>
      <c r="AW19" t="inlineStr">
        <is>
          <t>991004197359702656</t>
        </is>
      </c>
      <c r="AX19" t="inlineStr">
        <is>
          <t>991004197359702656</t>
        </is>
      </c>
      <c r="AY19" t="inlineStr">
        <is>
          <t>2256734980002656</t>
        </is>
      </c>
      <c r="AZ19" t="inlineStr">
        <is>
          <t>BOOK</t>
        </is>
      </c>
      <c r="BB19" t="inlineStr">
        <is>
          <t>9780856330995</t>
        </is>
      </c>
      <c r="BC19" t="inlineStr">
        <is>
          <t>32285000998186</t>
        </is>
      </c>
      <c r="BD19" t="inlineStr">
        <is>
          <t>893718611</t>
        </is>
      </c>
    </row>
    <row r="20">
      <c r="A20" t="inlineStr">
        <is>
          <t>No</t>
        </is>
      </c>
      <c r="B20" t="inlineStr">
        <is>
          <t>RJ131 .G46 1975</t>
        </is>
      </c>
      <c r="C20" t="inlineStr">
        <is>
          <t>0                      RJ 0131000G  46          1975</t>
        </is>
      </c>
      <c r="D20" t="inlineStr">
        <is>
          <t>Gesell and Amatruda's Developmental diagnosis : the evaluation and management of normal and abnormal neuropsychologic development in infancy and early childhood / editors: Hilda Knobloch [and] Benjamin Pasamanick.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Gesell, Arnold, 1880-1961.</t>
        </is>
      </c>
      <c r="L20" t="inlineStr">
        <is>
          <t>Hagerstown, Md. : Medical Dept., Harper &amp; Row, [1975, c1974]</t>
        </is>
      </c>
      <c r="M20" t="inlineStr">
        <is>
          <t>1975</t>
        </is>
      </c>
      <c r="N20" t="inlineStr">
        <is>
          <t>3d ed., rev. and enl.</t>
        </is>
      </c>
      <c r="O20" t="inlineStr">
        <is>
          <t>eng</t>
        </is>
      </c>
      <c r="P20" t="inlineStr">
        <is>
          <t>mdu</t>
        </is>
      </c>
      <c r="R20" t="inlineStr">
        <is>
          <t xml:space="preserve">RJ </t>
        </is>
      </c>
      <c r="S20" t="n">
        <v>2</v>
      </c>
      <c r="T20" t="n">
        <v>5</v>
      </c>
      <c r="U20" t="inlineStr">
        <is>
          <t>1999-11-13</t>
        </is>
      </c>
      <c r="V20" t="inlineStr">
        <is>
          <t>2000-04-17</t>
        </is>
      </c>
      <c r="W20" t="inlineStr">
        <is>
          <t>1992-04-23</t>
        </is>
      </c>
      <c r="X20" t="inlineStr">
        <is>
          <t>1992-04-23</t>
        </is>
      </c>
      <c r="Y20" t="n">
        <v>422</v>
      </c>
      <c r="Z20" t="n">
        <v>378</v>
      </c>
      <c r="AA20" t="n">
        <v>388</v>
      </c>
      <c r="AB20" t="n">
        <v>5</v>
      </c>
      <c r="AC20" t="n">
        <v>6</v>
      </c>
      <c r="AD20" t="n">
        <v>15</v>
      </c>
      <c r="AE20" t="n">
        <v>16</v>
      </c>
      <c r="AF20" t="n">
        <v>5</v>
      </c>
      <c r="AG20" t="n">
        <v>5</v>
      </c>
      <c r="AH20" t="n">
        <v>2</v>
      </c>
      <c r="AI20" t="n">
        <v>2</v>
      </c>
      <c r="AJ20" t="n">
        <v>8</v>
      </c>
      <c r="AK20" t="n">
        <v>8</v>
      </c>
      <c r="AL20" t="n">
        <v>2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HYPERLINK("http://catalog.hathitrust.org/Record/000014613","HathiTrust Record")</f>
        <v/>
      </c>
      <c r="AS20">
        <f>HYPERLINK("https://creighton-primo.hosted.exlibrisgroup.com/primo-explore/search?tab=default_tab&amp;search_scope=EVERYTHING&amp;vid=01CRU&amp;lang=en_US&amp;offset=0&amp;query=any,contains,991001772339702656","Catalog Record")</f>
        <v/>
      </c>
      <c r="AT20">
        <f>HYPERLINK("http://www.worldcat.org/oclc/915846","WorldCat Record")</f>
        <v/>
      </c>
      <c r="AU20" t="inlineStr">
        <is>
          <t>3856507841:eng</t>
        </is>
      </c>
      <c r="AV20" t="inlineStr">
        <is>
          <t>915846</t>
        </is>
      </c>
      <c r="AW20" t="inlineStr">
        <is>
          <t>991001772339702656</t>
        </is>
      </c>
      <c r="AX20" t="inlineStr">
        <is>
          <t>991001772339702656</t>
        </is>
      </c>
      <c r="AY20" t="inlineStr">
        <is>
          <t>2264793520002656</t>
        </is>
      </c>
      <c r="AZ20" t="inlineStr">
        <is>
          <t>BOOK</t>
        </is>
      </c>
      <c r="BB20" t="inlineStr">
        <is>
          <t>9780061414381</t>
        </is>
      </c>
      <c r="BC20" t="inlineStr">
        <is>
          <t>32285001085082</t>
        </is>
      </c>
      <c r="BD20" t="inlineStr">
        <is>
          <t>893439434</t>
        </is>
      </c>
    </row>
    <row r="21">
      <c r="A21" t="inlineStr">
        <is>
          <t>No</t>
        </is>
      </c>
      <c r="B21" t="inlineStr">
        <is>
          <t>RJ131 .G73</t>
        </is>
      </c>
      <c r="C21" t="inlineStr">
        <is>
          <t>0                      RJ 0131000G  73</t>
        </is>
      </c>
      <c r="D21" t="inlineStr">
        <is>
          <t>The nature and nurture of behavior, developmental psychobiology : readings from Scientific American / with introductions by William T. Greenough.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Greenough, William T. compiler.</t>
        </is>
      </c>
      <c r="L21" t="inlineStr">
        <is>
          <t>San Francisco : W. H. Freeman, [1973]</t>
        </is>
      </c>
      <c r="M21" t="inlineStr">
        <is>
          <t>1973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RJ </t>
        </is>
      </c>
      <c r="S21" t="n">
        <v>1</v>
      </c>
      <c r="T21" t="n">
        <v>1</v>
      </c>
      <c r="U21" t="inlineStr">
        <is>
          <t>1996-10-12</t>
        </is>
      </c>
      <c r="V21" t="inlineStr">
        <is>
          <t>1996-10-12</t>
        </is>
      </c>
      <c r="W21" t="inlineStr">
        <is>
          <t>1992-12-18</t>
        </is>
      </c>
      <c r="X21" t="inlineStr">
        <is>
          <t>1992-12-18</t>
        </is>
      </c>
      <c r="Y21" t="n">
        <v>703</v>
      </c>
      <c r="Z21" t="n">
        <v>551</v>
      </c>
      <c r="AA21" t="n">
        <v>556</v>
      </c>
      <c r="AB21" t="n">
        <v>7</v>
      </c>
      <c r="AC21" t="n">
        <v>7</v>
      </c>
      <c r="AD21" t="n">
        <v>19</v>
      </c>
      <c r="AE21" t="n">
        <v>19</v>
      </c>
      <c r="AF21" t="n">
        <v>7</v>
      </c>
      <c r="AG21" t="n">
        <v>7</v>
      </c>
      <c r="AH21" t="n">
        <v>4</v>
      </c>
      <c r="AI21" t="n">
        <v>4</v>
      </c>
      <c r="AJ21" t="n">
        <v>9</v>
      </c>
      <c r="AK21" t="n">
        <v>9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HYPERLINK("https://creighton-primo.hosted.exlibrisgroup.com/primo-explore/search?tab=default_tab&amp;search_scope=EVERYTHING&amp;vid=01CRU&amp;lang=en_US&amp;offset=0&amp;query=any,contains,991002896679702656","Catalog Record")</f>
        <v/>
      </c>
      <c r="AT21">
        <f>HYPERLINK("http://www.worldcat.org/oclc/514580","WorldCat Record")</f>
        <v/>
      </c>
      <c r="AU21" t="inlineStr">
        <is>
          <t>480337190:eng</t>
        </is>
      </c>
      <c r="AV21" t="inlineStr">
        <is>
          <t>514580</t>
        </is>
      </c>
      <c r="AW21" t="inlineStr">
        <is>
          <t>991002896679702656</t>
        </is>
      </c>
      <c r="AX21" t="inlineStr">
        <is>
          <t>991002896679702656</t>
        </is>
      </c>
      <c r="AY21" t="inlineStr">
        <is>
          <t>2261912460002656</t>
        </is>
      </c>
      <c r="AZ21" t="inlineStr">
        <is>
          <t>BOOK</t>
        </is>
      </c>
      <c r="BB21" t="inlineStr">
        <is>
          <t>9780716708681</t>
        </is>
      </c>
      <c r="BC21" t="inlineStr">
        <is>
          <t>32285001444586</t>
        </is>
      </c>
      <c r="BD21" t="inlineStr">
        <is>
          <t>893434420</t>
        </is>
      </c>
    </row>
    <row r="22">
      <c r="A22" t="inlineStr">
        <is>
          <t>No</t>
        </is>
      </c>
      <c r="B22" t="inlineStr">
        <is>
          <t>RJ131 .I75 1970</t>
        </is>
      </c>
      <c r="C22" t="inlineStr">
        <is>
          <t>0                      RJ 0131000I  75          1970</t>
        </is>
      </c>
      <c r="D22" t="inlineStr">
        <is>
          <t>The development of the infant and young child : normal and abnormal / by R. S. Illingworth.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K22" t="inlineStr">
        <is>
          <t>Illingworth, Ronald S. (Ronald Stanley), 1909-1990.</t>
        </is>
      </c>
      <c r="L22" t="inlineStr">
        <is>
          <t>Baltimore : Williams and Wilkins, 1970.</t>
        </is>
      </c>
      <c r="M22" t="inlineStr">
        <is>
          <t>1970</t>
        </is>
      </c>
      <c r="N22" t="inlineStr">
        <is>
          <t>4th ed.</t>
        </is>
      </c>
      <c r="O22" t="inlineStr">
        <is>
          <t>eng</t>
        </is>
      </c>
      <c r="P22" t="inlineStr">
        <is>
          <t>mdu</t>
        </is>
      </c>
      <c r="R22" t="inlineStr">
        <is>
          <t xml:space="preserve">RJ </t>
        </is>
      </c>
      <c r="S22" t="n">
        <v>4</v>
      </c>
      <c r="T22" t="n">
        <v>4</v>
      </c>
      <c r="U22" t="inlineStr">
        <is>
          <t>1996-10-12</t>
        </is>
      </c>
      <c r="V22" t="inlineStr">
        <is>
          <t>1996-10-12</t>
        </is>
      </c>
      <c r="W22" t="inlineStr">
        <is>
          <t>1992-04-23</t>
        </is>
      </c>
      <c r="X22" t="inlineStr">
        <is>
          <t>1992-04-23</t>
        </is>
      </c>
      <c r="Y22" t="n">
        <v>135</v>
      </c>
      <c r="Z22" t="n">
        <v>111</v>
      </c>
      <c r="AA22" t="n">
        <v>598</v>
      </c>
      <c r="AB22" t="n">
        <v>1</v>
      </c>
      <c r="AC22" t="n">
        <v>3</v>
      </c>
      <c r="AD22" t="n">
        <v>0</v>
      </c>
      <c r="AE22" t="n">
        <v>13</v>
      </c>
      <c r="AF22" t="n">
        <v>0</v>
      </c>
      <c r="AG22" t="n">
        <v>5</v>
      </c>
      <c r="AH22" t="n">
        <v>0</v>
      </c>
      <c r="AI22" t="n">
        <v>1</v>
      </c>
      <c r="AJ22" t="n">
        <v>0</v>
      </c>
      <c r="AK22" t="n">
        <v>7</v>
      </c>
      <c r="AL22" t="n">
        <v>0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HYPERLINK("http://catalog.hathitrust.org/Record/001570319","HathiTrust Record")</f>
        <v/>
      </c>
      <c r="AS22">
        <f>HYPERLINK("https://creighton-primo.hosted.exlibrisgroup.com/primo-explore/search?tab=default_tab&amp;search_scope=EVERYTHING&amp;vid=01CRU&amp;lang=en_US&amp;offset=0&amp;query=any,contains,991000615429702656","Catalog Record")</f>
        <v/>
      </c>
      <c r="AT22">
        <f>HYPERLINK("http://www.worldcat.org/oclc/101584","WorldCat Record")</f>
        <v/>
      </c>
      <c r="AU22" t="inlineStr">
        <is>
          <t>1171991:eng</t>
        </is>
      </c>
      <c r="AV22" t="inlineStr">
        <is>
          <t>101584</t>
        </is>
      </c>
      <c r="AW22" t="inlineStr">
        <is>
          <t>991000615429702656</t>
        </is>
      </c>
      <c r="AX22" t="inlineStr">
        <is>
          <t>991000615429702656</t>
        </is>
      </c>
      <c r="AY22" t="inlineStr">
        <is>
          <t>2261302140002656</t>
        </is>
      </c>
      <c r="AZ22" t="inlineStr">
        <is>
          <t>BOOK</t>
        </is>
      </c>
      <c r="BB22" t="inlineStr">
        <is>
          <t>9780443006777</t>
        </is>
      </c>
      <c r="BC22" t="inlineStr">
        <is>
          <t>32285001085066</t>
        </is>
      </c>
      <c r="BD22" t="inlineStr">
        <is>
          <t>893802933</t>
        </is>
      </c>
    </row>
    <row r="23">
      <c r="A23" t="inlineStr">
        <is>
          <t>No</t>
        </is>
      </c>
      <c r="B23" t="inlineStr">
        <is>
          <t>RJ131 .K37 1984</t>
        </is>
      </c>
      <c r="C23" t="inlineStr">
        <is>
          <t>0                      RJ 0131000K  37          1984</t>
        </is>
      </c>
      <c r="D23" t="inlineStr">
        <is>
          <t>Growing and becoming : development from conception through adolescence / Marylin O. Karmel, Louis J. Karmel.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Karmel, Marylin O.</t>
        </is>
      </c>
      <c r="L23" t="inlineStr">
        <is>
          <t>New York : Macmillan ; London : Collier Macmillan, c1984.</t>
        </is>
      </c>
      <c r="M23" t="inlineStr">
        <is>
          <t>1984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RJ </t>
        </is>
      </c>
      <c r="S23" t="n">
        <v>3</v>
      </c>
      <c r="T23" t="n">
        <v>3</v>
      </c>
      <c r="U23" t="inlineStr">
        <is>
          <t>1993-02-01</t>
        </is>
      </c>
      <c r="V23" t="inlineStr">
        <is>
          <t>1993-02-01</t>
        </is>
      </c>
      <c r="W23" t="inlineStr">
        <is>
          <t>1992-02-25</t>
        </is>
      </c>
      <c r="X23" t="inlineStr">
        <is>
          <t>1992-02-25</t>
        </is>
      </c>
      <c r="Y23" t="n">
        <v>193</v>
      </c>
      <c r="Z23" t="n">
        <v>133</v>
      </c>
      <c r="AA23" t="n">
        <v>138</v>
      </c>
      <c r="AB23" t="n">
        <v>3</v>
      </c>
      <c r="AC23" t="n">
        <v>3</v>
      </c>
      <c r="AD23" t="n">
        <v>4</v>
      </c>
      <c r="AE23" t="n">
        <v>4</v>
      </c>
      <c r="AF23" t="n">
        <v>0</v>
      </c>
      <c r="AG23" t="n">
        <v>0</v>
      </c>
      <c r="AH23" t="n">
        <v>1</v>
      </c>
      <c r="AI23" t="n">
        <v>1</v>
      </c>
      <c r="AJ23" t="n">
        <v>1</v>
      </c>
      <c r="AK23" t="n">
        <v>1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HYPERLINK("https://creighton-primo.hosted.exlibrisgroup.com/primo-explore/search?tab=default_tab&amp;search_scope=EVERYTHING&amp;vid=01CRU&amp;lang=en_US&amp;offset=0&amp;query=any,contains,991000188069702656","Catalog Record")</f>
        <v/>
      </c>
      <c r="AT23">
        <f>HYPERLINK("http://www.worldcat.org/oclc/9394654","WorldCat Record")</f>
        <v/>
      </c>
      <c r="AU23" t="inlineStr">
        <is>
          <t>3980297682:eng</t>
        </is>
      </c>
      <c r="AV23" t="inlineStr">
        <is>
          <t>9394654</t>
        </is>
      </c>
      <c r="AW23" t="inlineStr">
        <is>
          <t>991000188069702656</t>
        </is>
      </c>
      <c r="AX23" t="inlineStr">
        <is>
          <t>991000188069702656</t>
        </is>
      </c>
      <c r="AY23" t="inlineStr">
        <is>
          <t>2262905980002656</t>
        </is>
      </c>
      <c r="AZ23" t="inlineStr">
        <is>
          <t>BOOK</t>
        </is>
      </c>
      <c r="BB23" t="inlineStr">
        <is>
          <t>9780023619700</t>
        </is>
      </c>
      <c r="BC23" t="inlineStr">
        <is>
          <t>32285000982818</t>
        </is>
      </c>
      <c r="BD23" t="inlineStr">
        <is>
          <t>893902926</t>
        </is>
      </c>
    </row>
    <row r="24">
      <c r="A24" t="inlineStr">
        <is>
          <t>No</t>
        </is>
      </c>
      <c r="B24" t="inlineStr">
        <is>
          <t>RJ131 .L419</t>
        </is>
      </c>
      <c r="C24" t="inlineStr">
        <is>
          <t>0                      RJ 0131000L  419</t>
        </is>
      </c>
      <c r="D24" t="inlineStr">
        <is>
          <t>Childhood : the study of development / Robert Leve.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Leve, Robert.</t>
        </is>
      </c>
      <c r="L24" t="inlineStr">
        <is>
          <t>New York : Random House, c1980.</t>
        </is>
      </c>
      <c r="M24" t="inlineStr">
        <is>
          <t>1980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RJ </t>
        </is>
      </c>
      <c r="S24" t="n">
        <v>10</v>
      </c>
      <c r="T24" t="n">
        <v>10</v>
      </c>
      <c r="U24" t="inlineStr">
        <is>
          <t>2003-12-09</t>
        </is>
      </c>
      <c r="V24" t="inlineStr">
        <is>
          <t>2003-12-09</t>
        </is>
      </c>
      <c r="W24" t="inlineStr">
        <is>
          <t>1993-03-25</t>
        </is>
      </c>
      <c r="X24" t="inlineStr">
        <is>
          <t>1993-03-25</t>
        </is>
      </c>
      <c r="Y24" t="n">
        <v>128</v>
      </c>
      <c r="Z24" t="n">
        <v>97</v>
      </c>
      <c r="AA24" t="n">
        <v>97</v>
      </c>
      <c r="AB24" t="n">
        <v>2</v>
      </c>
      <c r="AC24" t="n">
        <v>2</v>
      </c>
      <c r="AD24" t="n">
        <v>3</v>
      </c>
      <c r="AE24" t="n">
        <v>3</v>
      </c>
      <c r="AF24" t="n">
        <v>1</v>
      </c>
      <c r="AG24" t="n">
        <v>1</v>
      </c>
      <c r="AH24" t="n">
        <v>0</v>
      </c>
      <c r="AI24" t="n">
        <v>0</v>
      </c>
      <c r="AJ24" t="n">
        <v>1</v>
      </c>
      <c r="AK24" t="n">
        <v>1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HYPERLINK("https://creighton-primo.hosted.exlibrisgroup.com/primo-explore/search?tab=default_tab&amp;search_scope=EVERYTHING&amp;vid=01CRU&amp;lang=en_US&amp;offset=0&amp;query=any,contains,991004877179702656","Catalog Record")</f>
        <v/>
      </c>
      <c r="AT24">
        <f>HYPERLINK("http://www.worldcat.org/oclc/5798623","WorldCat Record")</f>
        <v/>
      </c>
      <c r="AU24" t="inlineStr">
        <is>
          <t>1780175694:eng</t>
        </is>
      </c>
      <c r="AV24" t="inlineStr">
        <is>
          <t>5798623</t>
        </is>
      </c>
      <c r="AW24" t="inlineStr">
        <is>
          <t>991004877179702656</t>
        </is>
      </c>
      <c r="AX24" t="inlineStr">
        <is>
          <t>991004877179702656</t>
        </is>
      </c>
      <c r="AY24" t="inlineStr">
        <is>
          <t>2267547190002656</t>
        </is>
      </c>
      <c r="AZ24" t="inlineStr">
        <is>
          <t>BOOK</t>
        </is>
      </c>
      <c r="BB24" t="inlineStr">
        <is>
          <t>9780394324111</t>
        </is>
      </c>
      <c r="BC24" t="inlineStr">
        <is>
          <t>32285001609758</t>
        </is>
      </c>
      <c r="BD24" t="inlineStr">
        <is>
          <t>893889394</t>
        </is>
      </c>
    </row>
    <row r="25">
      <c r="A25" t="inlineStr">
        <is>
          <t>No</t>
        </is>
      </c>
      <c r="B25" t="inlineStr">
        <is>
          <t>RJ131 .S56 1977</t>
        </is>
      </c>
      <c r="C25" t="inlineStr">
        <is>
          <t>0                      RJ 0131000S  56          1977</t>
        </is>
      </c>
      <c r="D25" t="inlineStr">
        <is>
          <t>Children : development and relationships / Mollie S. Smart and Russell C. Smart.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Smart, Mollie Stevens.</t>
        </is>
      </c>
      <c r="L25" t="inlineStr">
        <is>
          <t>New York : Macmillan, c1977.</t>
        </is>
      </c>
      <c r="M25" t="inlineStr">
        <is>
          <t>1977</t>
        </is>
      </c>
      <c r="N25" t="inlineStr">
        <is>
          <t>3d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RJ </t>
        </is>
      </c>
      <c r="S25" t="n">
        <v>7</v>
      </c>
      <c r="T25" t="n">
        <v>7</v>
      </c>
      <c r="U25" t="inlineStr">
        <is>
          <t>1998-01-21</t>
        </is>
      </c>
      <c r="V25" t="inlineStr">
        <is>
          <t>1998-01-21</t>
        </is>
      </c>
      <c r="W25" t="inlineStr">
        <is>
          <t>1992-11-05</t>
        </is>
      </c>
      <c r="X25" t="inlineStr">
        <is>
          <t>1992-11-05</t>
        </is>
      </c>
      <c r="Y25" t="n">
        <v>338</v>
      </c>
      <c r="Z25" t="n">
        <v>256</v>
      </c>
      <c r="AA25" t="n">
        <v>694</v>
      </c>
      <c r="AB25" t="n">
        <v>3</v>
      </c>
      <c r="AC25" t="n">
        <v>6</v>
      </c>
      <c r="AD25" t="n">
        <v>5</v>
      </c>
      <c r="AE25" t="n">
        <v>17</v>
      </c>
      <c r="AF25" t="n">
        <v>1</v>
      </c>
      <c r="AG25" t="n">
        <v>8</v>
      </c>
      <c r="AH25" t="n">
        <v>1</v>
      </c>
      <c r="AI25" t="n">
        <v>1</v>
      </c>
      <c r="AJ25" t="n">
        <v>2</v>
      </c>
      <c r="AK25" t="n">
        <v>9</v>
      </c>
      <c r="AL25" t="n">
        <v>2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HYPERLINK("http://catalog.hathitrust.org/Record/000722796","HathiTrust Record")</f>
        <v/>
      </c>
      <c r="AS25">
        <f>HYPERLINK("https://creighton-primo.hosted.exlibrisgroup.com/primo-explore/search?tab=default_tab&amp;search_scope=EVERYTHING&amp;vid=01CRU&amp;lang=en_US&amp;offset=0&amp;query=any,contains,991004009159702656","Catalog Record")</f>
        <v/>
      </c>
      <c r="AT25">
        <f>HYPERLINK("http://www.worldcat.org/oclc/2089607","WorldCat Record")</f>
        <v/>
      </c>
      <c r="AU25" t="inlineStr">
        <is>
          <t>1415450:eng</t>
        </is>
      </c>
      <c r="AV25" t="inlineStr">
        <is>
          <t>2089607</t>
        </is>
      </c>
      <c r="AW25" t="inlineStr">
        <is>
          <t>991004009159702656</t>
        </is>
      </c>
      <c r="AX25" t="inlineStr">
        <is>
          <t>991004009159702656</t>
        </is>
      </c>
      <c r="AY25" t="inlineStr">
        <is>
          <t>2263366850002656</t>
        </is>
      </c>
      <c r="AZ25" t="inlineStr">
        <is>
          <t>BOOK</t>
        </is>
      </c>
      <c r="BB25" t="inlineStr">
        <is>
          <t>9780024119506</t>
        </is>
      </c>
      <c r="BC25" t="inlineStr">
        <is>
          <t>32285001382505</t>
        </is>
      </c>
      <c r="BD25" t="inlineStr">
        <is>
          <t>893410997</t>
        </is>
      </c>
    </row>
    <row r="26">
      <c r="A26" t="inlineStr">
        <is>
          <t>No</t>
        </is>
      </c>
      <c r="B26" t="inlineStr">
        <is>
          <t>RJ131 .T29</t>
        </is>
      </c>
      <c r="C26" t="inlineStr">
        <is>
          <t>0                      RJ 0131000T  29</t>
        </is>
      </c>
      <c r="D26" t="inlineStr">
        <is>
          <t>Foetus into man : physical growth from conception to maturity / J. M. Tanner.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Tanner, J. M. (James Mourilyan)</t>
        </is>
      </c>
      <c r="L26" t="inlineStr">
        <is>
          <t>Cambridge, Mass. : Harvard University Press, 1978.</t>
        </is>
      </c>
      <c r="M26" t="inlineStr">
        <is>
          <t>1978</t>
        </is>
      </c>
      <c r="O26" t="inlineStr">
        <is>
          <t>eng</t>
        </is>
      </c>
      <c r="P26" t="inlineStr">
        <is>
          <t>mau</t>
        </is>
      </c>
      <c r="R26" t="inlineStr">
        <is>
          <t xml:space="preserve">RJ </t>
        </is>
      </c>
      <c r="S26" t="n">
        <v>3</v>
      </c>
      <c r="T26" t="n">
        <v>3</v>
      </c>
      <c r="U26" t="inlineStr">
        <is>
          <t>1994-09-19</t>
        </is>
      </c>
      <c r="V26" t="inlineStr">
        <is>
          <t>1994-09-19</t>
        </is>
      </c>
      <c r="W26" t="inlineStr">
        <is>
          <t>1991-11-21</t>
        </is>
      </c>
      <c r="X26" t="inlineStr">
        <is>
          <t>1991-11-21</t>
        </is>
      </c>
      <c r="Y26" t="n">
        <v>562</v>
      </c>
      <c r="Z26" t="n">
        <v>504</v>
      </c>
      <c r="AA26" t="n">
        <v>626</v>
      </c>
      <c r="AB26" t="n">
        <v>6</v>
      </c>
      <c r="AC26" t="n">
        <v>6</v>
      </c>
      <c r="AD26" t="n">
        <v>21</v>
      </c>
      <c r="AE26" t="n">
        <v>24</v>
      </c>
      <c r="AF26" t="n">
        <v>7</v>
      </c>
      <c r="AG26" t="n">
        <v>9</v>
      </c>
      <c r="AH26" t="n">
        <v>4</v>
      </c>
      <c r="AI26" t="n">
        <v>4</v>
      </c>
      <c r="AJ26" t="n">
        <v>11</v>
      </c>
      <c r="AK26" t="n">
        <v>12</v>
      </c>
      <c r="AL26" t="n">
        <v>4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HYPERLINK("http://catalog.hathitrust.org/Record/000748376","HathiTrust Record")</f>
        <v/>
      </c>
      <c r="AS26">
        <f>HYPERLINK("https://creighton-primo.hosted.exlibrisgroup.com/primo-explore/search?tab=default_tab&amp;search_scope=EVERYTHING&amp;vid=01CRU&amp;lang=en_US&amp;offset=0&amp;query=any,contains,991005265739702656","Catalog Record")</f>
        <v/>
      </c>
      <c r="AT26">
        <f>HYPERLINK("http://www.worldcat.org/oclc/3310884","WorldCat Record")</f>
        <v/>
      </c>
      <c r="AU26" t="inlineStr">
        <is>
          <t>9433604:eng</t>
        </is>
      </c>
      <c r="AV26" t="inlineStr">
        <is>
          <t>3310884</t>
        </is>
      </c>
      <c r="AW26" t="inlineStr">
        <is>
          <t>991005265739702656</t>
        </is>
      </c>
      <c r="AX26" t="inlineStr">
        <is>
          <t>991005265739702656</t>
        </is>
      </c>
      <c r="AY26" t="inlineStr">
        <is>
          <t>2271747970002656</t>
        </is>
      </c>
      <c r="AZ26" t="inlineStr">
        <is>
          <t>BOOK</t>
        </is>
      </c>
      <c r="BB26" t="inlineStr">
        <is>
          <t>9780674307032</t>
        </is>
      </c>
      <c r="BC26" t="inlineStr">
        <is>
          <t>32285000843424</t>
        </is>
      </c>
      <c r="BD26" t="inlineStr">
        <is>
          <t>893695037</t>
        </is>
      </c>
    </row>
    <row r="27">
      <c r="A27" t="inlineStr">
        <is>
          <t>No</t>
        </is>
      </c>
      <c r="B27" t="inlineStr">
        <is>
          <t>RJ131 .W37</t>
        </is>
      </c>
      <c r="C27" t="inlineStr">
        <is>
          <t>0                      RJ 0131000W  37</t>
        </is>
      </c>
      <c r="D27" t="inlineStr">
        <is>
          <t>Cross-cultural child development : a view from the planet Earth / Emmy Elisabeth Werner ; [manuscript editor, Elaine Linden ; ill., Lori Gilbo].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Werner, Emmy E.</t>
        </is>
      </c>
      <c r="L27" t="inlineStr">
        <is>
          <t>Monterey, Calif. : Brooks/Cole Pub. Co., c1979.</t>
        </is>
      </c>
      <c r="M27" t="inlineStr">
        <is>
          <t>1979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RJ </t>
        </is>
      </c>
      <c r="S27" t="n">
        <v>3</v>
      </c>
      <c r="T27" t="n">
        <v>3</v>
      </c>
      <c r="U27" t="inlineStr">
        <is>
          <t>1997-11-08</t>
        </is>
      </c>
      <c r="V27" t="inlineStr">
        <is>
          <t>1997-11-08</t>
        </is>
      </c>
      <c r="W27" t="inlineStr">
        <is>
          <t>1993-03-25</t>
        </is>
      </c>
      <c r="X27" t="inlineStr">
        <is>
          <t>1993-03-25</t>
        </is>
      </c>
      <c r="Y27" t="n">
        <v>304</v>
      </c>
      <c r="Z27" t="n">
        <v>235</v>
      </c>
      <c r="AA27" t="n">
        <v>237</v>
      </c>
      <c r="AB27" t="n">
        <v>4</v>
      </c>
      <c r="AC27" t="n">
        <v>4</v>
      </c>
      <c r="AD27" t="n">
        <v>7</v>
      </c>
      <c r="AE27" t="n">
        <v>7</v>
      </c>
      <c r="AF27" t="n">
        <v>1</v>
      </c>
      <c r="AG27" t="n">
        <v>1</v>
      </c>
      <c r="AH27" t="n">
        <v>1</v>
      </c>
      <c r="AI27" t="n">
        <v>1</v>
      </c>
      <c r="AJ27" t="n">
        <v>4</v>
      </c>
      <c r="AK27" t="n">
        <v>4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HYPERLINK("https://creighton-primo.hosted.exlibrisgroup.com/primo-explore/search?tab=default_tab&amp;search_scope=EVERYTHING&amp;vid=01CRU&amp;lang=en_US&amp;offset=0&amp;query=any,contains,991004869379702656","Catalog Record")</f>
        <v/>
      </c>
      <c r="AT27">
        <f>HYPERLINK("http://www.worldcat.org/oclc/5750447","WorldCat Record")</f>
        <v/>
      </c>
      <c r="AU27" t="inlineStr">
        <is>
          <t>199035995:eng</t>
        </is>
      </c>
      <c r="AV27" t="inlineStr">
        <is>
          <t>5750447</t>
        </is>
      </c>
      <c r="AW27" t="inlineStr">
        <is>
          <t>991004869379702656</t>
        </is>
      </c>
      <c r="AX27" t="inlineStr">
        <is>
          <t>991004869379702656</t>
        </is>
      </c>
      <c r="AY27" t="inlineStr">
        <is>
          <t>2270822880002656</t>
        </is>
      </c>
      <c r="AZ27" t="inlineStr">
        <is>
          <t>BOOK</t>
        </is>
      </c>
      <c r="BB27" t="inlineStr">
        <is>
          <t>9780818503320</t>
        </is>
      </c>
      <c r="BC27" t="inlineStr">
        <is>
          <t>32285001609790</t>
        </is>
      </c>
      <c r="BD27" t="inlineStr">
        <is>
          <t>893700770</t>
        </is>
      </c>
    </row>
    <row r="28">
      <c r="A28" t="inlineStr">
        <is>
          <t>No</t>
        </is>
      </c>
      <c r="B28" t="inlineStr">
        <is>
          <t>RJ133 .E26 1987</t>
        </is>
      </c>
      <c r="C28" t="inlineStr">
        <is>
          <t>0                      RJ 0133000E  26          1987</t>
        </is>
      </c>
      <c r="D28" t="inlineStr">
        <is>
          <t>Motor development / Helen M. Eckert.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Eckert, Helen M.</t>
        </is>
      </c>
      <c r="L28" t="inlineStr">
        <is>
          <t>Indianapolis, Ind. : Benchmark Press, c1987.</t>
        </is>
      </c>
      <c r="M28" t="inlineStr">
        <is>
          <t>1987</t>
        </is>
      </c>
      <c r="N28" t="inlineStr">
        <is>
          <t>3rd ed.</t>
        </is>
      </c>
      <c r="O28" t="inlineStr">
        <is>
          <t>eng</t>
        </is>
      </c>
      <c r="P28" t="inlineStr">
        <is>
          <t>inu</t>
        </is>
      </c>
      <c r="R28" t="inlineStr">
        <is>
          <t xml:space="preserve">RJ </t>
        </is>
      </c>
      <c r="S28" t="n">
        <v>5</v>
      </c>
      <c r="T28" t="n">
        <v>5</v>
      </c>
      <c r="U28" t="inlineStr">
        <is>
          <t>2003-12-09</t>
        </is>
      </c>
      <c r="V28" t="inlineStr">
        <is>
          <t>2003-12-09</t>
        </is>
      </c>
      <c r="W28" t="inlineStr">
        <is>
          <t>1993-02-24</t>
        </is>
      </c>
      <c r="X28" t="inlineStr">
        <is>
          <t>1993-02-24</t>
        </is>
      </c>
      <c r="Y28" t="n">
        <v>191</v>
      </c>
      <c r="Z28" t="n">
        <v>171</v>
      </c>
      <c r="AA28" t="n">
        <v>491</v>
      </c>
      <c r="AB28" t="n">
        <v>3</v>
      </c>
      <c r="AC28" t="n">
        <v>5</v>
      </c>
      <c r="AD28" t="n">
        <v>3</v>
      </c>
      <c r="AE28" t="n">
        <v>21</v>
      </c>
      <c r="AF28" t="n">
        <v>1</v>
      </c>
      <c r="AG28" t="n">
        <v>7</v>
      </c>
      <c r="AH28" t="n">
        <v>0</v>
      </c>
      <c r="AI28" t="n">
        <v>3</v>
      </c>
      <c r="AJ28" t="n">
        <v>0</v>
      </c>
      <c r="AK28" t="n">
        <v>8</v>
      </c>
      <c r="AL28" t="n">
        <v>2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HYPERLINK("https://creighton-primo.hosted.exlibrisgroup.com/primo-explore/search?tab=default_tab&amp;search_scope=EVERYTHING&amp;vid=01CRU&amp;lang=en_US&amp;offset=0&amp;query=any,contains,991001171029702656","Catalog Record")</f>
        <v/>
      </c>
      <c r="AT28">
        <f>HYPERLINK("http://www.worldcat.org/oclc/16959643","WorldCat Record")</f>
        <v/>
      </c>
      <c r="AU28" t="inlineStr">
        <is>
          <t>431049:eng</t>
        </is>
      </c>
      <c r="AV28" t="inlineStr">
        <is>
          <t>16959643</t>
        </is>
      </c>
      <c r="AW28" t="inlineStr">
        <is>
          <t>991001171029702656</t>
        </is>
      </c>
      <c r="AX28" t="inlineStr">
        <is>
          <t>991001171029702656</t>
        </is>
      </c>
      <c r="AY28" t="inlineStr">
        <is>
          <t>2255100350002656</t>
        </is>
      </c>
      <c r="AZ28" t="inlineStr">
        <is>
          <t>BOOK</t>
        </is>
      </c>
      <c r="BB28" t="inlineStr">
        <is>
          <t>9780936157146</t>
        </is>
      </c>
      <c r="BC28" t="inlineStr">
        <is>
          <t>32285001528479</t>
        </is>
      </c>
      <c r="BD28" t="inlineStr">
        <is>
          <t>893432646</t>
        </is>
      </c>
    </row>
    <row r="29">
      <c r="A29" t="inlineStr">
        <is>
          <t>No</t>
        </is>
      </c>
      <c r="B29" t="inlineStr">
        <is>
          <t>RJ133 .E94 1997</t>
        </is>
      </c>
      <c r="C29" t="inlineStr">
        <is>
          <t>0                      RJ 0133000E  94          1997</t>
        </is>
      </c>
      <c r="D29" t="inlineStr">
        <is>
          <t>Exercise and fitness-- benefits and risks : children &amp; exercise XVIII / edited by Karsten Froberg ... [et al.].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Odense : Odense University Press, 1997.</t>
        </is>
      </c>
      <c r="M29" t="inlineStr">
        <is>
          <t>1997</t>
        </is>
      </c>
      <c r="O29" t="inlineStr">
        <is>
          <t>eng</t>
        </is>
      </c>
      <c r="P29" t="inlineStr">
        <is>
          <t xml:space="preserve">dk </t>
        </is>
      </c>
      <c r="R29" t="inlineStr">
        <is>
          <t xml:space="preserve">RJ </t>
        </is>
      </c>
      <c r="S29" t="n">
        <v>6</v>
      </c>
      <c r="T29" t="n">
        <v>6</v>
      </c>
      <c r="U29" t="inlineStr">
        <is>
          <t>2009-02-06</t>
        </is>
      </c>
      <c r="V29" t="inlineStr">
        <is>
          <t>2009-02-06</t>
        </is>
      </c>
      <c r="W29" t="inlineStr">
        <is>
          <t>2001-10-24</t>
        </is>
      </c>
      <c r="X29" t="inlineStr">
        <is>
          <t>2001-10-24</t>
        </is>
      </c>
      <c r="Y29" t="n">
        <v>219</v>
      </c>
      <c r="Z29" t="n">
        <v>198</v>
      </c>
      <c r="AA29" t="n">
        <v>204</v>
      </c>
      <c r="AB29" t="n">
        <v>2</v>
      </c>
      <c r="AC29" t="n">
        <v>2</v>
      </c>
      <c r="AD29" t="n">
        <v>6</v>
      </c>
      <c r="AE29" t="n">
        <v>6</v>
      </c>
      <c r="AF29" t="n">
        <v>2</v>
      </c>
      <c r="AG29" t="n">
        <v>2</v>
      </c>
      <c r="AH29" t="n">
        <v>1</v>
      </c>
      <c r="AI29" t="n">
        <v>1</v>
      </c>
      <c r="AJ29" t="n">
        <v>2</v>
      </c>
      <c r="AK29" t="n">
        <v>2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HYPERLINK("http://catalog.hathitrust.org/Record/009813903","HathiTrust Record")</f>
        <v/>
      </c>
      <c r="AS29">
        <f>HYPERLINK("https://creighton-primo.hosted.exlibrisgroup.com/primo-explore/search?tab=default_tab&amp;search_scope=EVERYTHING&amp;vid=01CRU&amp;lang=en_US&amp;offset=0&amp;query=any,contains,991003625219702656","Catalog Record")</f>
        <v/>
      </c>
      <c r="AT29">
        <f>HYPERLINK("http://www.worldcat.org/oclc/41612555","WorldCat Record")</f>
        <v/>
      </c>
      <c r="AU29" t="inlineStr">
        <is>
          <t>1044586297:eng</t>
        </is>
      </c>
      <c r="AV29" t="inlineStr">
        <is>
          <t>41612555</t>
        </is>
      </c>
      <c r="AW29" t="inlineStr">
        <is>
          <t>991003625219702656</t>
        </is>
      </c>
      <c r="AX29" t="inlineStr">
        <is>
          <t>991003625219702656</t>
        </is>
      </c>
      <c r="AY29" t="inlineStr">
        <is>
          <t>2263808440002656</t>
        </is>
      </c>
      <c r="AZ29" t="inlineStr">
        <is>
          <t>BOOK</t>
        </is>
      </c>
      <c r="BB29" t="inlineStr">
        <is>
          <t>9788778383228</t>
        </is>
      </c>
      <c r="BC29" t="inlineStr">
        <is>
          <t>32285004399704</t>
        </is>
      </c>
      <c r="BD29" t="inlineStr">
        <is>
          <t>893512156</t>
        </is>
      </c>
    </row>
    <row r="30">
      <c r="A30" t="inlineStr">
        <is>
          <t>No</t>
        </is>
      </c>
      <c r="B30" t="inlineStr">
        <is>
          <t>RJ133 .G34 1982</t>
        </is>
      </c>
      <c r="C30" t="inlineStr">
        <is>
          <t>0                      RJ 0133000G  34          1982</t>
        </is>
      </c>
      <c r="D30" t="inlineStr">
        <is>
          <t>Understanding motor development in children / David L. Gallahue.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Gallahue, David L.</t>
        </is>
      </c>
      <c r="L30" t="inlineStr">
        <is>
          <t>New York : Wiley, c1982.</t>
        </is>
      </c>
      <c r="M30" t="inlineStr">
        <is>
          <t>1982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RJ </t>
        </is>
      </c>
      <c r="S30" t="n">
        <v>3</v>
      </c>
      <c r="T30" t="n">
        <v>3</v>
      </c>
      <c r="U30" t="inlineStr">
        <is>
          <t>1996-02-28</t>
        </is>
      </c>
      <c r="V30" t="inlineStr">
        <is>
          <t>1996-02-28</t>
        </is>
      </c>
      <c r="W30" t="inlineStr">
        <is>
          <t>1993-02-24</t>
        </is>
      </c>
      <c r="X30" t="inlineStr">
        <is>
          <t>1993-02-24</t>
        </is>
      </c>
      <c r="Y30" t="n">
        <v>319</v>
      </c>
      <c r="Z30" t="n">
        <v>224</v>
      </c>
      <c r="AA30" t="n">
        <v>237</v>
      </c>
      <c r="AB30" t="n">
        <v>2</v>
      </c>
      <c r="AC30" t="n">
        <v>2</v>
      </c>
      <c r="AD30" t="n">
        <v>5</v>
      </c>
      <c r="AE30" t="n">
        <v>5</v>
      </c>
      <c r="AF30" t="n">
        <v>1</v>
      </c>
      <c r="AG30" t="n">
        <v>1</v>
      </c>
      <c r="AH30" t="n">
        <v>0</v>
      </c>
      <c r="AI30" t="n">
        <v>0</v>
      </c>
      <c r="AJ30" t="n">
        <v>3</v>
      </c>
      <c r="AK30" t="n">
        <v>3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HYPERLINK("https://creighton-primo.hosted.exlibrisgroup.com/primo-explore/search?tab=default_tab&amp;search_scope=EVERYTHING&amp;vid=01CRU&amp;lang=en_US&amp;offset=0&amp;query=any,contains,991005182399702656","Catalog Record")</f>
        <v/>
      </c>
      <c r="AT30">
        <f>HYPERLINK("http://www.worldcat.org/oclc/7947108","WorldCat Record")</f>
        <v/>
      </c>
      <c r="AU30" t="inlineStr">
        <is>
          <t>3901109646:eng</t>
        </is>
      </c>
      <c r="AV30" t="inlineStr">
        <is>
          <t>7947108</t>
        </is>
      </c>
      <c r="AW30" t="inlineStr">
        <is>
          <t>991005182399702656</t>
        </is>
      </c>
      <c r="AX30" t="inlineStr">
        <is>
          <t>991005182399702656</t>
        </is>
      </c>
      <c r="AY30" t="inlineStr">
        <is>
          <t>2270004800002656</t>
        </is>
      </c>
      <c r="AZ30" t="inlineStr">
        <is>
          <t>BOOK</t>
        </is>
      </c>
      <c r="BB30" t="inlineStr">
        <is>
          <t>9780471087793</t>
        </is>
      </c>
      <c r="BC30" t="inlineStr">
        <is>
          <t>32285001528487</t>
        </is>
      </c>
      <c r="BD30" t="inlineStr">
        <is>
          <t>893795754</t>
        </is>
      </c>
    </row>
    <row r="31">
      <c r="A31" t="inlineStr">
        <is>
          <t>No</t>
        </is>
      </c>
      <c r="B31" t="inlineStr">
        <is>
          <t>RJ133 .I57 1983</t>
        </is>
      </c>
      <c r="C31" t="inlineStr">
        <is>
          <t>0                      RJ 0133000I  57          1983</t>
        </is>
      </c>
      <c r="D31" t="inlineStr">
        <is>
          <t>Children and exercise XI / edited by Rob A. Binkhorst, Han C.G. Kemper, and Wim H.M. Saris.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International Congress on Pediatric Work Physiology (11th : 1983 : Papendal, Netherlands)</t>
        </is>
      </c>
      <c r="L31" t="inlineStr">
        <is>
          <t>Champaign, Ill. : Human Kinetics Publishers, Inc., 1985.</t>
        </is>
      </c>
      <c r="M31" t="inlineStr">
        <is>
          <t>1985</t>
        </is>
      </c>
      <c r="O31" t="inlineStr">
        <is>
          <t>eng</t>
        </is>
      </c>
      <c r="P31" t="inlineStr">
        <is>
          <t>mdu</t>
        </is>
      </c>
      <c r="Q31" t="inlineStr">
        <is>
          <t>International series on sport sciences ; v. 15</t>
        </is>
      </c>
      <c r="R31" t="inlineStr">
        <is>
          <t xml:space="preserve">RJ </t>
        </is>
      </c>
      <c r="S31" t="n">
        <v>7</v>
      </c>
      <c r="T31" t="n">
        <v>7</v>
      </c>
      <c r="U31" t="inlineStr">
        <is>
          <t>1999-11-30</t>
        </is>
      </c>
      <c r="V31" t="inlineStr">
        <is>
          <t>1999-11-30</t>
        </is>
      </c>
      <c r="W31" t="inlineStr">
        <is>
          <t>1992-05-04</t>
        </is>
      </c>
      <c r="X31" t="inlineStr">
        <is>
          <t>1992-05-04</t>
        </is>
      </c>
      <c r="Y31" t="n">
        <v>316</v>
      </c>
      <c r="Z31" t="n">
        <v>246</v>
      </c>
      <c r="AA31" t="n">
        <v>248</v>
      </c>
      <c r="AB31" t="n">
        <v>3</v>
      </c>
      <c r="AC31" t="n">
        <v>3</v>
      </c>
      <c r="AD31" t="n">
        <v>5</v>
      </c>
      <c r="AE31" t="n">
        <v>5</v>
      </c>
      <c r="AF31" t="n">
        <v>2</v>
      </c>
      <c r="AG31" t="n">
        <v>2</v>
      </c>
      <c r="AH31" t="n">
        <v>1</v>
      </c>
      <c r="AI31" t="n">
        <v>1</v>
      </c>
      <c r="AJ31" t="n">
        <v>0</v>
      </c>
      <c r="AK31" t="n">
        <v>0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HYPERLINK("http://catalog.hathitrust.org/Record/102100044","HathiTrust Record")</f>
        <v/>
      </c>
      <c r="AS31">
        <f>HYPERLINK("https://creighton-primo.hosted.exlibrisgroup.com/primo-explore/search?tab=default_tab&amp;search_scope=EVERYTHING&amp;vid=01CRU&amp;lang=en_US&amp;offset=0&amp;query=any,contains,991000661729702656","Catalog Record")</f>
        <v/>
      </c>
      <c r="AT31">
        <f>HYPERLINK("http://www.worldcat.org/oclc/12250422","WorldCat Record")</f>
        <v/>
      </c>
      <c r="AU31" t="inlineStr">
        <is>
          <t>890078166:eng</t>
        </is>
      </c>
      <c r="AV31" t="inlineStr">
        <is>
          <t>12250422</t>
        </is>
      </c>
      <c r="AW31" t="inlineStr">
        <is>
          <t>991000661729702656</t>
        </is>
      </c>
      <c r="AX31" t="inlineStr">
        <is>
          <t>991000661729702656</t>
        </is>
      </c>
      <c r="AY31" t="inlineStr">
        <is>
          <t>2271030220002656</t>
        </is>
      </c>
      <c r="AZ31" t="inlineStr">
        <is>
          <t>BOOK</t>
        </is>
      </c>
      <c r="BB31" t="inlineStr">
        <is>
          <t>9780873220194</t>
        </is>
      </c>
      <c r="BC31" t="inlineStr">
        <is>
          <t>32285001092062</t>
        </is>
      </c>
      <c r="BD31" t="inlineStr">
        <is>
          <t>893784423</t>
        </is>
      </c>
    </row>
    <row r="32">
      <c r="A32" t="inlineStr">
        <is>
          <t>No</t>
        </is>
      </c>
      <c r="B32" t="inlineStr">
        <is>
          <t>RJ133 .M43 1996</t>
        </is>
      </c>
      <c r="C32" t="inlineStr">
        <is>
          <t>0                      RJ 0133000M  43          1996</t>
        </is>
      </c>
      <c r="D32" t="inlineStr">
        <is>
          <t>Measurement in pediatric exercise science / David Docherty, [editor].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Champaign, IL : Human Kinetics, c1996.</t>
        </is>
      </c>
      <c r="M32" t="inlineStr">
        <is>
          <t>1996</t>
        </is>
      </c>
      <c r="O32" t="inlineStr">
        <is>
          <t>eng</t>
        </is>
      </c>
      <c r="P32" t="inlineStr">
        <is>
          <t>ilu</t>
        </is>
      </c>
      <c r="R32" t="inlineStr">
        <is>
          <t xml:space="preserve">RJ </t>
        </is>
      </c>
      <c r="S32" t="n">
        <v>2</v>
      </c>
      <c r="T32" t="n">
        <v>2</v>
      </c>
      <c r="U32" t="inlineStr">
        <is>
          <t>2009-02-06</t>
        </is>
      </c>
      <c r="V32" t="inlineStr">
        <is>
          <t>2009-02-06</t>
        </is>
      </c>
      <c r="W32" t="inlineStr">
        <is>
          <t>1998-03-25</t>
        </is>
      </c>
      <c r="X32" t="inlineStr">
        <is>
          <t>1998-03-25</t>
        </is>
      </c>
      <c r="Y32" t="n">
        <v>312</v>
      </c>
      <c r="Z32" t="n">
        <v>222</v>
      </c>
      <c r="AA32" t="n">
        <v>223</v>
      </c>
      <c r="AB32" t="n">
        <v>2</v>
      </c>
      <c r="AC32" t="n">
        <v>2</v>
      </c>
      <c r="AD32" t="n">
        <v>6</v>
      </c>
      <c r="AE32" t="n">
        <v>6</v>
      </c>
      <c r="AF32" t="n">
        <v>3</v>
      </c>
      <c r="AG32" t="n">
        <v>3</v>
      </c>
      <c r="AH32" t="n">
        <v>2</v>
      </c>
      <c r="AI32" t="n">
        <v>2</v>
      </c>
      <c r="AJ32" t="n">
        <v>2</v>
      </c>
      <c r="AK32" t="n">
        <v>2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HYPERLINK("http://catalog.hathitrust.org/Record/003101928","HathiTrust Record")</f>
        <v/>
      </c>
      <c r="AS32">
        <f>HYPERLINK("https://creighton-primo.hosted.exlibrisgroup.com/primo-explore/search?tab=default_tab&amp;search_scope=EVERYTHING&amp;vid=01CRU&amp;lang=en_US&amp;offset=0&amp;query=any,contains,991002530809702656","Catalog Record")</f>
        <v/>
      </c>
      <c r="AT32">
        <f>HYPERLINK("http://www.worldcat.org/oclc/32893043","WorldCat Record")</f>
        <v/>
      </c>
      <c r="AU32" t="inlineStr">
        <is>
          <t>367135037:eng</t>
        </is>
      </c>
      <c r="AV32" t="inlineStr">
        <is>
          <t>32893043</t>
        </is>
      </c>
      <c r="AW32" t="inlineStr">
        <is>
          <t>991002530809702656</t>
        </is>
      </c>
      <c r="AX32" t="inlineStr">
        <is>
          <t>991002530809702656</t>
        </is>
      </c>
      <c r="AY32" t="inlineStr">
        <is>
          <t>2257536480002656</t>
        </is>
      </c>
      <c r="AZ32" t="inlineStr">
        <is>
          <t>BOOK</t>
        </is>
      </c>
      <c r="BB32" t="inlineStr">
        <is>
          <t>9780873229609</t>
        </is>
      </c>
      <c r="BC32" t="inlineStr">
        <is>
          <t>32285003380713</t>
        </is>
      </c>
      <c r="BD32" t="inlineStr">
        <is>
          <t>893603707</t>
        </is>
      </c>
    </row>
    <row r="33">
      <c r="A33" t="inlineStr">
        <is>
          <t>No</t>
        </is>
      </c>
      <c r="B33" t="inlineStr">
        <is>
          <t>RJ133 .P415 2007</t>
        </is>
      </c>
      <c r="C33" t="inlineStr">
        <is>
          <t>0                      RJ 0133000P  415         2007</t>
        </is>
      </c>
      <c r="D33" t="inlineStr">
        <is>
          <t>Pediatric fitness : secular trends and geographic variability / volume editors, Grant R. Tomkinson, Timothy S. Olds.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Basel ; New York : Karger, c2007.</t>
        </is>
      </c>
      <c r="M33" t="inlineStr">
        <is>
          <t>2007</t>
        </is>
      </c>
      <c r="O33" t="inlineStr">
        <is>
          <t>eng</t>
        </is>
      </c>
      <c r="P33" t="inlineStr">
        <is>
          <t xml:space="preserve">sz </t>
        </is>
      </c>
      <c r="Q33" t="inlineStr">
        <is>
          <t>Medicine and sport science, 0254-5020 ; v. 50</t>
        </is>
      </c>
      <c r="R33" t="inlineStr">
        <is>
          <t xml:space="preserve">RJ </t>
        </is>
      </c>
      <c r="S33" t="n">
        <v>1</v>
      </c>
      <c r="T33" t="n">
        <v>1</v>
      </c>
      <c r="U33" t="inlineStr">
        <is>
          <t>2007-12-18</t>
        </is>
      </c>
      <c r="V33" t="inlineStr">
        <is>
          <t>2007-12-18</t>
        </is>
      </c>
      <c r="W33" t="inlineStr">
        <is>
          <t>2007-12-18</t>
        </is>
      </c>
      <c r="X33" t="inlineStr">
        <is>
          <t>2007-12-18</t>
        </is>
      </c>
      <c r="Y33" t="n">
        <v>136</v>
      </c>
      <c r="Z33" t="n">
        <v>89</v>
      </c>
      <c r="AA33" t="n">
        <v>135</v>
      </c>
      <c r="AB33" t="n">
        <v>1</v>
      </c>
      <c r="AC33" t="n">
        <v>1</v>
      </c>
      <c r="AD33" t="n">
        <v>2</v>
      </c>
      <c r="AE33" t="n">
        <v>3</v>
      </c>
      <c r="AF33" t="n">
        <v>1</v>
      </c>
      <c r="AG33" t="n">
        <v>2</v>
      </c>
      <c r="AH33" t="n">
        <v>1</v>
      </c>
      <c r="AI33" t="n">
        <v>2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HYPERLINK("http://catalog.hathitrust.org/Record/005557972","HathiTrust Record")</f>
        <v/>
      </c>
      <c r="AS33">
        <f>HYPERLINK("https://creighton-primo.hosted.exlibrisgroup.com/primo-explore/search?tab=default_tab&amp;search_scope=EVERYTHING&amp;vid=01CRU&amp;lang=en_US&amp;offset=0&amp;query=any,contains,991005146219702656","Catalog Record")</f>
        <v/>
      </c>
      <c r="AT33">
        <f>HYPERLINK("http://www.worldcat.org/oclc/77011606","WorldCat Record")</f>
        <v/>
      </c>
      <c r="AU33" t="inlineStr">
        <is>
          <t>801559618:eng</t>
        </is>
      </c>
      <c r="AV33" t="inlineStr">
        <is>
          <t>77011606</t>
        </is>
      </c>
      <c r="AW33" t="inlineStr">
        <is>
          <t>991005146219702656</t>
        </is>
      </c>
      <c r="AX33" t="inlineStr">
        <is>
          <t>991005146219702656</t>
        </is>
      </c>
      <c r="AY33" t="inlineStr">
        <is>
          <t>2262595580002656</t>
        </is>
      </c>
      <c r="AZ33" t="inlineStr">
        <is>
          <t>BOOK</t>
        </is>
      </c>
      <c r="BB33" t="inlineStr">
        <is>
          <t>9783805581776</t>
        </is>
      </c>
      <c r="BC33" t="inlineStr">
        <is>
          <t>32285005373724</t>
        </is>
      </c>
      <c r="BD33" t="inlineStr">
        <is>
          <t>893526986</t>
        </is>
      </c>
    </row>
    <row r="34">
      <c r="A34" t="inlineStr">
        <is>
          <t>No</t>
        </is>
      </c>
      <c r="B34" t="inlineStr">
        <is>
          <t>RJ133 .R68 1990</t>
        </is>
      </c>
      <c r="C34" t="inlineStr">
        <is>
          <t>0                      RJ 0133000R  68          1990</t>
        </is>
      </c>
      <c r="D34" t="inlineStr">
        <is>
          <t>Exercise and children's health / Thomas W. Rowland.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Rowland, Thomas W.</t>
        </is>
      </c>
      <c r="L34" t="inlineStr">
        <is>
          <t>Champaign, Ill. : Human Kinetics Books, c1990.</t>
        </is>
      </c>
      <c r="M34" t="inlineStr">
        <is>
          <t>1990</t>
        </is>
      </c>
      <c r="O34" t="inlineStr">
        <is>
          <t>eng</t>
        </is>
      </c>
      <c r="P34" t="inlineStr">
        <is>
          <t>ilu</t>
        </is>
      </c>
      <c r="R34" t="inlineStr">
        <is>
          <t xml:space="preserve">RJ </t>
        </is>
      </c>
      <c r="S34" t="n">
        <v>19</v>
      </c>
      <c r="T34" t="n">
        <v>19</v>
      </c>
      <c r="U34" t="inlineStr">
        <is>
          <t>2009-02-06</t>
        </is>
      </c>
      <c r="V34" t="inlineStr">
        <is>
          <t>2009-02-06</t>
        </is>
      </c>
      <c r="W34" t="inlineStr">
        <is>
          <t>1990-09-07</t>
        </is>
      </c>
      <c r="X34" t="inlineStr">
        <is>
          <t>1990-09-07</t>
        </is>
      </c>
      <c r="Y34" t="n">
        <v>627</v>
      </c>
      <c r="Z34" t="n">
        <v>472</v>
      </c>
      <c r="AA34" t="n">
        <v>477</v>
      </c>
      <c r="AB34" t="n">
        <v>7</v>
      </c>
      <c r="AC34" t="n">
        <v>7</v>
      </c>
      <c r="AD34" t="n">
        <v>20</v>
      </c>
      <c r="AE34" t="n">
        <v>20</v>
      </c>
      <c r="AF34" t="n">
        <v>9</v>
      </c>
      <c r="AG34" t="n">
        <v>9</v>
      </c>
      <c r="AH34" t="n">
        <v>1</v>
      </c>
      <c r="AI34" t="n">
        <v>1</v>
      </c>
      <c r="AJ34" t="n">
        <v>8</v>
      </c>
      <c r="AK34" t="n">
        <v>8</v>
      </c>
      <c r="AL34" t="n">
        <v>6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HYPERLINK("https://creighton-primo.hosted.exlibrisgroup.com/primo-explore/search?tab=default_tab&amp;search_scope=EVERYTHING&amp;vid=01CRU&amp;lang=en_US&amp;offset=0&amp;query=any,contains,991001626469702656","Catalog Record")</f>
        <v/>
      </c>
      <c r="AT34">
        <f>HYPERLINK("http://www.worldcat.org/oclc/20852988","WorldCat Record")</f>
        <v/>
      </c>
      <c r="AU34" t="inlineStr">
        <is>
          <t>22031478:eng</t>
        </is>
      </c>
      <c r="AV34" t="inlineStr">
        <is>
          <t>20852988</t>
        </is>
      </c>
      <c r="AW34" t="inlineStr">
        <is>
          <t>991001626469702656</t>
        </is>
      </c>
      <c r="AX34" t="inlineStr">
        <is>
          <t>991001626469702656</t>
        </is>
      </c>
      <c r="AY34" t="inlineStr">
        <is>
          <t>2264867110002656</t>
        </is>
      </c>
      <c r="AZ34" t="inlineStr">
        <is>
          <t>BOOK</t>
        </is>
      </c>
      <c r="BB34" t="inlineStr">
        <is>
          <t>9780873222822</t>
        </is>
      </c>
      <c r="BC34" t="inlineStr">
        <is>
          <t>32285000276187</t>
        </is>
      </c>
      <c r="BD34" t="inlineStr">
        <is>
          <t>893772710</t>
        </is>
      </c>
    </row>
    <row r="35">
      <c r="A35" t="inlineStr">
        <is>
          <t>No</t>
        </is>
      </c>
      <c r="B35" t="inlineStr">
        <is>
          <t>RJ134 .C85 1989, v...</t>
        </is>
      </c>
      <c r="C35" t="inlineStr">
        <is>
          <t>0                      RJ 0134000C  85          1989                                        v...</t>
        </is>
      </c>
      <c r="D35" t="inlineStr">
        <is>
          <t>The Cultural context of infancy / edited by J. Kevin Nugent, Barry M. Lester, T. Berry Brazelton.</t>
        </is>
      </c>
      <c r="E35" t="inlineStr">
        <is>
          <t>V.1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Norwood, N.J. : Ablex Pub. Corp., c1989-</t>
        </is>
      </c>
      <c r="M35" t="inlineStr">
        <is>
          <t>1989</t>
        </is>
      </c>
      <c r="O35" t="inlineStr">
        <is>
          <t>eng</t>
        </is>
      </c>
      <c r="P35" t="inlineStr">
        <is>
          <t>nju</t>
        </is>
      </c>
      <c r="R35" t="inlineStr">
        <is>
          <t xml:space="preserve">RJ </t>
        </is>
      </c>
      <c r="S35" t="n">
        <v>4</v>
      </c>
      <c r="T35" t="n">
        <v>4</v>
      </c>
      <c r="U35" t="inlineStr">
        <is>
          <t>1997-11-02</t>
        </is>
      </c>
      <c r="V35" t="inlineStr">
        <is>
          <t>1997-11-02</t>
        </is>
      </c>
      <c r="W35" t="inlineStr">
        <is>
          <t>1992-12-01</t>
        </is>
      </c>
      <c r="X35" t="inlineStr">
        <is>
          <t>1992-12-01</t>
        </is>
      </c>
      <c r="Y35" t="n">
        <v>337</v>
      </c>
      <c r="Z35" t="n">
        <v>282</v>
      </c>
      <c r="AA35" t="n">
        <v>284</v>
      </c>
      <c r="AB35" t="n">
        <v>4</v>
      </c>
      <c r="AC35" t="n">
        <v>4</v>
      </c>
      <c r="AD35" t="n">
        <v>15</v>
      </c>
      <c r="AE35" t="n">
        <v>15</v>
      </c>
      <c r="AF35" t="n">
        <v>4</v>
      </c>
      <c r="AG35" t="n">
        <v>4</v>
      </c>
      <c r="AH35" t="n">
        <v>3</v>
      </c>
      <c r="AI35" t="n">
        <v>3</v>
      </c>
      <c r="AJ35" t="n">
        <v>9</v>
      </c>
      <c r="AK35" t="n">
        <v>9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HYPERLINK("http://catalog.hathitrust.org/Record/001833707","HathiTrust Record")</f>
        <v/>
      </c>
      <c r="AS35">
        <f>HYPERLINK("https://creighton-primo.hosted.exlibrisgroup.com/primo-explore/search?tab=default_tab&amp;search_scope=EVERYTHING&amp;vid=01CRU&amp;lang=en_US&amp;offset=0&amp;query=any,contains,991001354389702656","Catalog Record")</f>
        <v/>
      </c>
      <c r="AT35">
        <f>HYPERLINK("http://www.worldcat.org/oclc/18463643","WorldCat Record")</f>
        <v/>
      </c>
      <c r="AU35" t="inlineStr">
        <is>
          <t>350094032:eng</t>
        </is>
      </c>
      <c r="AV35" t="inlineStr">
        <is>
          <t>18463643</t>
        </is>
      </c>
      <c r="AW35" t="inlineStr">
        <is>
          <t>991001354389702656</t>
        </is>
      </c>
      <c r="AX35" t="inlineStr">
        <is>
          <t>991001354389702656</t>
        </is>
      </c>
      <c r="AY35" t="inlineStr">
        <is>
          <t>2259371440002656</t>
        </is>
      </c>
      <c r="AZ35" t="inlineStr">
        <is>
          <t>BOOK</t>
        </is>
      </c>
      <c r="BB35" t="inlineStr">
        <is>
          <t>9780893916275</t>
        </is>
      </c>
      <c r="BC35" t="inlineStr">
        <is>
          <t>32285001400893</t>
        </is>
      </c>
      <c r="BD35" t="inlineStr">
        <is>
          <t>893778736</t>
        </is>
      </c>
    </row>
    <row r="36">
      <c r="A36" t="inlineStr">
        <is>
          <t>No</t>
        </is>
      </c>
      <c r="B36" t="inlineStr">
        <is>
          <t>RJ134 .L36 1987</t>
        </is>
      </c>
      <c r="C36" t="inlineStr">
        <is>
          <t>0                      RJ 0134000L  36          1987</t>
        </is>
      </c>
      <c r="D36" t="inlineStr">
        <is>
          <t>Development in infancy : an introduction / Michael E. Lamb, Marc H. Bornstein.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Lamb, Michael E., 1953-</t>
        </is>
      </c>
      <c r="L36" t="inlineStr">
        <is>
          <t>New York : Random House, 1987.</t>
        </is>
      </c>
      <c r="M36" t="inlineStr">
        <is>
          <t>1987</t>
        </is>
      </c>
      <c r="N36" t="inlineStr">
        <is>
          <t>2nd ed.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RJ </t>
        </is>
      </c>
      <c r="S36" t="n">
        <v>6</v>
      </c>
      <c r="T36" t="n">
        <v>6</v>
      </c>
      <c r="U36" t="inlineStr">
        <is>
          <t>1997-11-02</t>
        </is>
      </c>
      <c r="V36" t="inlineStr">
        <is>
          <t>1997-11-02</t>
        </is>
      </c>
      <c r="W36" t="inlineStr">
        <is>
          <t>1990-06-13</t>
        </is>
      </c>
      <c r="X36" t="inlineStr">
        <is>
          <t>1990-06-13</t>
        </is>
      </c>
      <c r="Y36" t="n">
        <v>138</v>
      </c>
      <c r="Z36" t="n">
        <v>87</v>
      </c>
      <c r="AA36" t="n">
        <v>915</v>
      </c>
      <c r="AB36" t="n">
        <v>1</v>
      </c>
      <c r="AC36" t="n">
        <v>28</v>
      </c>
      <c r="AD36" t="n">
        <v>3</v>
      </c>
      <c r="AE36" t="n">
        <v>36</v>
      </c>
      <c r="AF36" t="n">
        <v>2</v>
      </c>
      <c r="AG36" t="n">
        <v>10</v>
      </c>
      <c r="AH36" t="n">
        <v>0</v>
      </c>
      <c r="AI36" t="n">
        <v>6</v>
      </c>
      <c r="AJ36" t="n">
        <v>2</v>
      </c>
      <c r="AK36" t="n">
        <v>13</v>
      </c>
      <c r="AL36" t="n">
        <v>0</v>
      </c>
      <c r="AM36" t="n">
        <v>13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HYPERLINK("https://creighton-primo.hosted.exlibrisgroup.com/primo-explore/search?tab=default_tab&amp;search_scope=EVERYTHING&amp;vid=01CRU&amp;lang=en_US&amp;offset=0&amp;query=any,contains,991000961959702656","Catalog Record")</f>
        <v/>
      </c>
      <c r="AT36">
        <f>HYPERLINK("http://www.worldcat.org/oclc/14819193","WorldCat Record")</f>
        <v/>
      </c>
      <c r="AU36" t="inlineStr">
        <is>
          <t>4928198260:eng</t>
        </is>
      </c>
      <c r="AV36" t="inlineStr">
        <is>
          <t>14819193</t>
        </is>
      </c>
      <c r="AW36" t="inlineStr">
        <is>
          <t>991000961959702656</t>
        </is>
      </c>
      <c r="AX36" t="inlineStr">
        <is>
          <t>991000961959702656</t>
        </is>
      </c>
      <c r="AY36" t="inlineStr">
        <is>
          <t>2260075680002656</t>
        </is>
      </c>
      <c r="AZ36" t="inlineStr">
        <is>
          <t>BOOK</t>
        </is>
      </c>
      <c r="BB36" t="inlineStr">
        <is>
          <t>9780394358093</t>
        </is>
      </c>
      <c r="BC36" t="inlineStr">
        <is>
          <t>32285000191683</t>
        </is>
      </c>
      <c r="BD36" t="inlineStr">
        <is>
          <t>893702602</t>
        </is>
      </c>
    </row>
    <row r="37">
      <c r="A37" t="inlineStr">
        <is>
          <t>No</t>
        </is>
      </c>
      <c r="B37" t="inlineStr">
        <is>
          <t>RJ135 .A85 1988</t>
        </is>
      </c>
      <c r="C37" t="inlineStr">
        <is>
          <t>0                      RJ 0135000A  85          1988</t>
        </is>
      </c>
      <c r="D37" t="inlineStr">
        <is>
          <t>Assessment of young developmentally disabled children / edited by Theodore D. Wachs and Robert Sheehan.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New York : Plenum Press, c1988.</t>
        </is>
      </c>
      <c r="M37" t="inlineStr">
        <is>
          <t>1988</t>
        </is>
      </c>
      <c r="O37" t="inlineStr">
        <is>
          <t>eng</t>
        </is>
      </c>
      <c r="P37" t="inlineStr">
        <is>
          <t>nyu</t>
        </is>
      </c>
      <c r="Q37" t="inlineStr">
        <is>
          <t>Perspectives in developmental psychology</t>
        </is>
      </c>
      <c r="R37" t="inlineStr">
        <is>
          <t xml:space="preserve">RJ </t>
        </is>
      </c>
      <c r="S37" t="n">
        <v>2</v>
      </c>
      <c r="T37" t="n">
        <v>2</v>
      </c>
      <c r="U37" t="inlineStr">
        <is>
          <t>1998-09-08</t>
        </is>
      </c>
      <c r="V37" t="inlineStr">
        <is>
          <t>1998-09-08</t>
        </is>
      </c>
      <c r="W37" t="inlineStr">
        <is>
          <t>1989-10-19</t>
        </is>
      </c>
      <c r="X37" t="inlineStr">
        <is>
          <t>1989-10-19</t>
        </is>
      </c>
      <c r="Y37" t="n">
        <v>308</v>
      </c>
      <c r="Z37" t="n">
        <v>222</v>
      </c>
      <c r="AA37" t="n">
        <v>249</v>
      </c>
      <c r="AB37" t="n">
        <v>2</v>
      </c>
      <c r="AC37" t="n">
        <v>2</v>
      </c>
      <c r="AD37" t="n">
        <v>12</v>
      </c>
      <c r="AE37" t="n">
        <v>13</v>
      </c>
      <c r="AF37" t="n">
        <v>6</v>
      </c>
      <c r="AG37" t="n">
        <v>7</v>
      </c>
      <c r="AH37" t="n">
        <v>0</v>
      </c>
      <c r="AI37" t="n">
        <v>0</v>
      </c>
      <c r="AJ37" t="n">
        <v>9</v>
      </c>
      <c r="AK37" t="n">
        <v>9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HYPERLINK("https://creighton-primo.hosted.exlibrisgroup.com/primo-explore/search?tab=default_tab&amp;search_scope=EVERYTHING&amp;vid=01CRU&amp;lang=en_US&amp;offset=0&amp;query=any,contains,991001236829702656","Catalog Record")</f>
        <v/>
      </c>
      <c r="AT37">
        <f>HYPERLINK("http://www.worldcat.org/oclc/17551656","WorldCat Record")</f>
        <v/>
      </c>
      <c r="AU37" t="inlineStr">
        <is>
          <t>354505762:eng</t>
        </is>
      </c>
      <c r="AV37" t="inlineStr">
        <is>
          <t>17551656</t>
        </is>
      </c>
      <c r="AW37" t="inlineStr">
        <is>
          <t>991001236829702656</t>
        </is>
      </c>
      <c r="AX37" t="inlineStr">
        <is>
          <t>991001236829702656</t>
        </is>
      </c>
      <c r="AY37" t="inlineStr">
        <is>
          <t>2263312700002656</t>
        </is>
      </c>
      <c r="AZ37" t="inlineStr">
        <is>
          <t>BOOK</t>
        </is>
      </c>
      <c r="BB37" t="inlineStr">
        <is>
          <t>9780306427336</t>
        </is>
      </c>
      <c r="BC37" t="inlineStr">
        <is>
          <t>32285000000694</t>
        </is>
      </c>
      <c r="BD37" t="inlineStr">
        <is>
          <t>893602453</t>
        </is>
      </c>
    </row>
    <row r="38">
      <c r="A38" t="inlineStr">
        <is>
          <t>No</t>
        </is>
      </c>
      <c r="B38" t="inlineStr">
        <is>
          <t>RJ135 .A88 1984</t>
        </is>
      </c>
      <c r="C38" t="inlineStr">
        <is>
          <t>0                      RJ 0135000A  88          1984</t>
        </is>
      </c>
      <c r="D38" t="inlineStr">
        <is>
          <t>Atypical infant development / edited by Marci J. Hanson.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Baltimore : University Park Press, c1984.</t>
        </is>
      </c>
      <c r="M38" t="inlineStr">
        <is>
          <t>1984</t>
        </is>
      </c>
      <c r="O38" t="inlineStr">
        <is>
          <t>eng</t>
        </is>
      </c>
      <c r="P38" t="inlineStr">
        <is>
          <t>mdu</t>
        </is>
      </c>
      <c r="R38" t="inlineStr">
        <is>
          <t xml:space="preserve">RJ </t>
        </is>
      </c>
      <c r="S38" t="n">
        <v>3</v>
      </c>
      <c r="T38" t="n">
        <v>3</v>
      </c>
      <c r="U38" t="inlineStr">
        <is>
          <t>1998-09-30</t>
        </is>
      </c>
      <c r="V38" t="inlineStr">
        <is>
          <t>1998-09-30</t>
        </is>
      </c>
      <c r="W38" t="inlineStr">
        <is>
          <t>1993-02-24</t>
        </is>
      </c>
      <c r="X38" t="inlineStr">
        <is>
          <t>1993-02-24</t>
        </is>
      </c>
      <c r="Y38" t="n">
        <v>217</v>
      </c>
      <c r="Z38" t="n">
        <v>186</v>
      </c>
      <c r="AA38" t="n">
        <v>276</v>
      </c>
      <c r="AB38" t="n">
        <v>2</v>
      </c>
      <c r="AC38" t="n">
        <v>2</v>
      </c>
      <c r="AD38" t="n">
        <v>8</v>
      </c>
      <c r="AE38" t="n">
        <v>9</v>
      </c>
      <c r="AF38" t="n">
        <v>3</v>
      </c>
      <c r="AG38" t="n">
        <v>4</v>
      </c>
      <c r="AH38" t="n">
        <v>1</v>
      </c>
      <c r="AI38" t="n">
        <v>1</v>
      </c>
      <c r="AJ38" t="n">
        <v>5</v>
      </c>
      <c r="AK38" t="n">
        <v>5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HYPERLINK("http://catalog.hathitrust.org/Record/000321556","HathiTrust Record")</f>
        <v/>
      </c>
      <c r="AS38">
        <f>HYPERLINK("https://creighton-primo.hosted.exlibrisgroup.com/primo-explore/search?tab=default_tab&amp;search_scope=EVERYTHING&amp;vid=01CRU&amp;lang=en_US&amp;offset=0&amp;query=any,contains,991000259219702656","Catalog Record")</f>
        <v/>
      </c>
      <c r="AT38">
        <f>HYPERLINK("http://www.worldcat.org/oclc/9785495","WorldCat Record")</f>
        <v/>
      </c>
      <c r="AU38" t="inlineStr">
        <is>
          <t>54588159:eng</t>
        </is>
      </c>
      <c r="AV38" t="inlineStr">
        <is>
          <t>9785495</t>
        </is>
      </c>
      <c r="AW38" t="inlineStr">
        <is>
          <t>991000259219702656</t>
        </is>
      </c>
      <c r="AX38" t="inlineStr">
        <is>
          <t>991000259219702656</t>
        </is>
      </c>
      <c r="AY38" t="inlineStr">
        <is>
          <t>2259742350002656</t>
        </is>
      </c>
      <c r="AZ38" t="inlineStr">
        <is>
          <t>BOOK</t>
        </is>
      </c>
      <c r="BB38" t="inlineStr">
        <is>
          <t>9780839118848</t>
        </is>
      </c>
      <c r="BC38" t="inlineStr">
        <is>
          <t>32285001528495</t>
        </is>
      </c>
      <c r="BD38" t="inlineStr">
        <is>
          <t>893249211</t>
        </is>
      </c>
    </row>
    <row r="39">
      <c r="A39" t="inlineStr">
        <is>
          <t>No</t>
        </is>
      </c>
      <c r="B39" t="inlineStr">
        <is>
          <t>RJ135 .H46 1990</t>
        </is>
      </c>
      <c r="C39" t="inlineStr">
        <is>
          <t>0                      RJ 0135000H  46          1990</t>
        </is>
      </c>
      <c r="D39" t="inlineStr">
        <is>
          <t>Handbook of early childhood intervention / edited by Samuel J. Meisels and Jack P. Shonkoff.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Cambridge [England] ; New York : Cambridge University Press, 1990.</t>
        </is>
      </c>
      <c r="M39" t="inlineStr">
        <is>
          <t>1990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RJ </t>
        </is>
      </c>
      <c r="S39" t="n">
        <v>6</v>
      </c>
      <c r="T39" t="n">
        <v>6</v>
      </c>
      <c r="U39" t="inlineStr">
        <is>
          <t>2001-03-05</t>
        </is>
      </c>
      <c r="V39" t="inlineStr">
        <is>
          <t>2001-03-05</t>
        </is>
      </c>
      <c r="W39" t="inlineStr">
        <is>
          <t>1991-02-08</t>
        </is>
      </c>
      <c r="X39" t="inlineStr">
        <is>
          <t>1991-02-08</t>
        </is>
      </c>
      <c r="Y39" t="n">
        <v>519</v>
      </c>
      <c r="Z39" t="n">
        <v>357</v>
      </c>
      <c r="AA39" t="n">
        <v>616</v>
      </c>
      <c r="AB39" t="n">
        <v>3</v>
      </c>
      <c r="AC39" t="n">
        <v>4</v>
      </c>
      <c r="AD39" t="n">
        <v>18</v>
      </c>
      <c r="AE39" t="n">
        <v>26</v>
      </c>
      <c r="AF39" t="n">
        <v>6</v>
      </c>
      <c r="AG39" t="n">
        <v>9</v>
      </c>
      <c r="AH39" t="n">
        <v>4</v>
      </c>
      <c r="AI39" t="n">
        <v>5</v>
      </c>
      <c r="AJ39" t="n">
        <v>10</v>
      </c>
      <c r="AK39" t="n">
        <v>14</v>
      </c>
      <c r="AL39" t="n">
        <v>2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HYPERLINK("https://creighton-primo.hosted.exlibrisgroup.com/primo-explore/search?tab=default_tab&amp;search_scope=EVERYTHING&amp;vid=01CRU&amp;lang=en_US&amp;offset=0&amp;query=any,contains,991001597599702656","Catalog Record")</f>
        <v/>
      </c>
      <c r="AT39">
        <f>HYPERLINK("http://www.worldcat.org/oclc/20630532","WorldCat Record")</f>
        <v/>
      </c>
      <c r="AU39" t="inlineStr">
        <is>
          <t>349903569:eng</t>
        </is>
      </c>
      <c r="AV39" t="inlineStr">
        <is>
          <t>20630532</t>
        </is>
      </c>
      <c r="AW39" t="inlineStr">
        <is>
          <t>991001597599702656</t>
        </is>
      </c>
      <c r="AX39" t="inlineStr">
        <is>
          <t>991001597599702656</t>
        </is>
      </c>
      <c r="AY39" t="inlineStr">
        <is>
          <t>2263304480002656</t>
        </is>
      </c>
      <c r="AZ39" t="inlineStr">
        <is>
          <t>BOOK</t>
        </is>
      </c>
      <c r="BB39" t="inlineStr">
        <is>
          <t>9780521387774</t>
        </is>
      </c>
      <c r="BC39" t="inlineStr">
        <is>
          <t>32285000463439</t>
        </is>
      </c>
      <c r="BD39" t="inlineStr">
        <is>
          <t>893238196</t>
        </is>
      </c>
    </row>
    <row r="40">
      <c r="A40" t="inlineStr">
        <is>
          <t>No</t>
        </is>
      </c>
      <c r="B40" t="inlineStr">
        <is>
          <t>RJ135 .H47</t>
        </is>
      </c>
      <c r="C40" t="inlineStr">
        <is>
          <t>0                      RJ 0135000H  47</t>
        </is>
      </c>
      <c r="D40" t="inlineStr">
        <is>
          <t>Beginning with the handicapped.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Hart, Verna.</t>
        </is>
      </c>
      <c r="L40" t="inlineStr">
        <is>
          <t>Springfield, Ill., Thomas [1974]</t>
        </is>
      </c>
      <c r="M40" t="inlineStr">
        <is>
          <t>1974</t>
        </is>
      </c>
      <c r="O40" t="inlineStr">
        <is>
          <t>eng</t>
        </is>
      </c>
      <c r="P40" t="inlineStr">
        <is>
          <t>ilu</t>
        </is>
      </c>
      <c r="R40" t="inlineStr">
        <is>
          <t xml:space="preserve">RJ </t>
        </is>
      </c>
      <c r="S40" t="n">
        <v>2</v>
      </c>
      <c r="T40" t="n">
        <v>2</v>
      </c>
      <c r="U40" t="inlineStr">
        <is>
          <t>1994-10-27</t>
        </is>
      </c>
      <c r="V40" t="inlineStr">
        <is>
          <t>1994-10-27</t>
        </is>
      </c>
      <c r="W40" t="inlineStr">
        <is>
          <t>1991-12-11</t>
        </is>
      </c>
      <c r="X40" t="inlineStr">
        <is>
          <t>1991-12-11</t>
        </is>
      </c>
      <c r="Y40" t="n">
        <v>221</v>
      </c>
      <c r="Z40" t="n">
        <v>200</v>
      </c>
      <c r="AA40" t="n">
        <v>208</v>
      </c>
      <c r="AB40" t="n">
        <v>2</v>
      </c>
      <c r="AC40" t="n">
        <v>2</v>
      </c>
      <c r="AD40" t="n">
        <v>4</v>
      </c>
      <c r="AE40" t="n">
        <v>4</v>
      </c>
      <c r="AF40" t="n">
        <v>3</v>
      </c>
      <c r="AG40" t="n">
        <v>3</v>
      </c>
      <c r="AH40" t="n">
        <v>0</v>
      </c>
      <c r="AI40" t="n">
        <v>0</v>
      </c>
      <c r="AJ40" t="n">
        <v>3</v>
      </c>
      <c r="AK40" t="n">
        <v>3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HYPERLINK("http://catalog.hathitrust.org/Record/001570353","HathiTrust Record")</f>
        <v/>
      </c>
      <c r="AS40">
        <f>HYPERLINK("https://creighton-primo.hosted.exlibrisgroup.com/primo-explore/search?tab=default_tab&amp;search_scope=EVERYTHING&amp;vid=01CRU&amp;lang=en_US&amp;offset=0&amp;query=any,contains,991003329139702656","Catalog Record")</f>
        <v/>
      </c>
      <c r="AT40">
        <f>HYPERLINK("http://www.worldcat.org/oclc/858913","WorldCat Record")</f>
        <v/>
      </c>
      <c r="AU40" t="inlineStr">
        <is>
          <t>471552:eng</t>
        </is>
      </c>
      <c r="AV40" t="inlineStr">
        <is>
          <t>858913</t>
        </is>
      </c>
      <c r="AW40" t="inlineStr">
        <is>
          <t>991003329139702656</t>
        </is>
      </c>
      <c r="AX40" t="inlineStr">
        <is>
          <t>991003329139702656</t>
        </is>
      </c>
      <c r="AY40" t="inlineStr">
        <is>
          <t>2267350460002656</t>
        </is>
      </c>
      <c r="AZ40" t="inlineStr">
        <is>
          <t>BOOK</t>
        </is>
      </c>
      <c r="BB40" t="inlineStr">
        <is>
          <t>9780398031794</t>
        </is>
      </c>
      <c r="BC40" t="inlineStr">
        <is>
          <t>32285000886969</t>
        </is>
      </c>
      <c r="BD40" t="inlineStr">
        <is>
          <t>893445614</t>
        </is>
      </c>
    </row>
    <row r="41">
      <c r="A41" t="inlineStr">
        <is>
          <t>No</t>
        </is>
      </c>
      <c r="B41" t="inlineStr">
        <is>
          <t>RJ138 .D48 1981, v...</t>
        </is>
      </c>
      <c r="C41" t="inlineStr">
        <is>
          <t>0                      RJ 0138000D  48          1981                                        v...</t>
        </is>
      </c>
      <c r="D41" t="inlineStr">
        <is>
          <t>Developmental programming for infants and young children / D. Sue Schafer and Martha S. Moersch, editors.</t>
        </is>
      </c>
      <c r="E41" t="inlineStr">
        <is>
          <t>V. 3</t>
        </is>
      </c>
      <c r="F41" t="inlineStr">
        <is>
          <t>Yes</t>
        </is>
      </c>
      <c r="G41" t="inlineStr">
        <is>
          <t>1</t>
        </is>
      </c>
      <c r="H41" t="inlineStr">
        <is>
          <t>Yes</t>
        </is>
      </c>
      <c r="I41" t="inlineStr">
        <is>
          <t>No</t>
        </is>
      </c>
      <c r="J41" t="inlineStr">
        <is>
          <t>0</t>
        </is>
      </c>
      <c r="L41" t="inlineStr">
        <is>
          <t>Ann Arbor : University of Michigan Press, c1981-</t>
        </is>
      </c>
      <c r="M41" t="inlineStr">
        <is>
          <t>1981</t>
        </is>
      </c>
      <c r="N41" t="inlineStr">
        <is>
          <t>Rev. ed.</t>
        </is>
      </c>
      <c r="O41" t="inlineStr">
        <is>
          <t>eng</t>
        </is>
      </c>
      <c r="P41" t="inlineStr">
        <is>
          <t>miu</t>
        </is>
      </c>
      <c r="R41" t="inlineStr">
        <is>
          <t xml:space="preserve">RJ </t>
        </is>
      </c>
      <c r="S41" t="n">
        <v>3</v>
      </c>
      <c r="T41" t="n">
        <v>19</v>
      </c>
      <c r="U41" t="inlineStr">
        <is>
          <t>1998-09-08</t>
        </is>
      </c>
      <c r="V41" t="inlineStr">
        <is>
          <t>2008-01-08</t>
        </is>
      </c>
      <c r="W41" t="inlineStr">
        <is>
          <t>1993-02-24</t>
        </is>
      </c>
      <c r="X41" t="inlineStr">
        <is>
          <t>1993-02-24</t>
        </is>
      </c>
      <c r="Y41" t="n">
        <v>111</v>
      </c>
      <c r="Z41" t="n">
        <v>86</v>
      </c>
      <c r="AA41" t="n">
        <v>202</v>
      </c>
      <c r="AB41" t="n">
        <v>3</v>
      </c>
      <c r="AC41" t="n">
        <v>5</v>
      </c>
      <c r="AD41" t="n">
        <v>3</v>
      </c>
      <c r="AE41" t="n">
        <v>9</v>
      </c>
      <c r="AF41" t="n">
        <v>0</v>
      </c>
      <c r="AG41" t="n">
        <v>0</v>
      </c>
      <c r="AH41" t="n">
        <v>1</v>
      </c>
      <c r="AI41" t="n">
        <v>2</v>
      </c>
      <c r="AJ41" t="n">
        <v>2</v>
      </c>
      <c r="AK41" t="n">
        <v>5</v>
      </c>
      <c r="AL41" t="n">
        <v>1</v>
      </c>
      <c r="AM41" t="n">
        <v>3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HYPERLINK("http://catalog.hathitrust.org/Record/000268203","HathiTrust Record")</f>
        <v/>
      </c>
      <c r="AS41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1">
        <f>HYPERLINK("http://www.worldcat.org/oclc/7930984","WorldCat Record")</f>
        <v/>
      </c>
      <c r="AU41" t="inlineStr">
        <is>
          <t>1074696078:eng</t>
        </is>
      </c>
      <c r="AV41" t="inlineStr">
        <is>
          <t>7930984</t>
        </is>
      </c>
      <c r="AW41" t="inlineStr">
        <is>
          <t>991001784719702656</t>
        </is>
      </c>
      <c r="AX41" t="inlineStr">
        <is>
          <t>991001784719702656</t>
        </is>
      </c>
      <c r="AY41" t="inlineStr">
        <is>
          <t>2270968500002656</t>
        </is>
      </c>
      <c r="AZ41" t="inlineStr">
        <is>
          <t>BOOK</t>
        </is>
      </c>
      <c r="BB41" t="inlineStr">
        <is>
          <t>9780472081417</t>
        </is>
      </c>
      <c r="BC41" t="inlineStr">
        <is>
          <t>32285001528537</t>
        </is>
      </c>
      <c r="BD41" t="inlineStr">
        <is>
          <t>893238337</t>
        </is>
      </c>
    </row>
    <row r="42">
      <c r="A42" t="inlineStr">
        <is>
          <t>No</t>
        </is>
      </c>
      <c r="B42" t="inlineStr">
        <is>
          <t>RJ138 .D48 1981, v...</t>
        </is>
      </c>
      <c r="C42" t="inlineStr">
        <is>
          <t>0                      RJ 0138000D  48          1981                                        v...</t>
        </is>
      </c>
      <c r="D42" t="inlineStr">
        <is>
          <t>Developmental programming for infants and young children / D. Sue Schafer and Martha S. Moersch, editors.</t>
        </is>
      </c>
      <c r="E42" t="inlineStr">
        <is>
          <t>V. 1</t>
        </is>
      </c>
      <c r="F42" t="inlineStr">
        <is>
          <t>Yes</t>
        </is>
      </c>
      <c r="G42" t="inlineStr">
        <is>
          <t>1</t>
        </is>
      </c>
      <c r="H42" t="inlineStr">
        <is>
          <t>Yes</t>
        </is>
      </c>
      <c r="I42" t="inlineStr">
        <is>
          <t>No</t>
        </is>
      </c>
      <c r="J42" t="inlineStr">
        <is>
          <t>0</t>
        </is>
      </c>
      <c r="L42" t="inlineStr">
        <is>
          <t>Ann Arbor : University of Michigan Press, c1981-</t>
        </is>
      </c>
      <c r="M42" t="inlineStr">
        <is>
          <t>1981</t>
        </is>
      </c>
      <c r="N42" t="inlineStr">
        <is>
          <t>Rev. ed.</t>
        </is>
      </c>
      <c r="O42" t="inlineStr">
        <is>
          <t>eng</t>
        </is>
      </c>
      <c r="P42" t="inlineStr">
        <is>
          <t>miu</t>
        </is>
      </c>
      <c r="R42" t="inlineStr">
        <is>
          <t xml:space="preserve">RJ </t>
        </is>
      </c>
      <c r="S42" t="n">
        <v>4</v>
      </c>
      <c r="T42" t="n">
        <v>19</v>
      </c>
      <c r="U42" t="inlineStr">
        <is>
          <t>1998-09-08</t>
        </is>
      </c>
      <c r="V42" t="inlineStr">
        <is>
          <t>2008-01-08</t>
        </is>
      </c>
      <c r="W42" t="inlineStr">
        <is>
          <t>1992-05-12</t>
        </is>
      </c>
      <c r="X42" t="inlineStr">
        <is>
          <t>1993-02-24</t>
        </is>
      </c>
      <c r="Y42" t="n">
        <v>111</v>
      </c>
      <c r="Z42" t="n">
        <v>86</v>
      </c>
      <c r="AA42" t="n">
        <v>202</v>
      </c>
      <c r="AB42" t="n">
        <v>3</v>
      </c>
      <c r="AC42" t="n">
        <v>5</v>
      </c>
      <c r="AD42" t="n">
        <v>3</v>
      </c>
      <c r="AE42" t="n">
        <v>9</v>
      </c>
      <c r="AF42" t="n">
        <v>0</v>
      </c>
      <c r="AG42" t="n">
        <v>0</v>
      </c>
      <c r="AH42" t="n">
        <v>1</v>
      </c>
      <c r="AI42" t="n">
        <v>2</v>
      </c>
      <c r="AJ42" t="n">
        <v>2</v>
      </c>
      <c r="AK42" t="n">
        <v>5</v>
      </c>
      <c r="AL42" t="n">
        <v>1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HYPERLINK("http://catalog.hathitrust.org/Record/000268203","HathiTrust Record")</f>
        <v/>
      </c>
      <c r="AS42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2">
        <f>HYPERLINK("http://www.worldcat.org/oclc/7930984","WorldCat Record")</f>
        <v/>
      </c>
      <c r="AU42" t="inlineStr">
        <is>
          <t>1074696078:eng</t>
        </is>
      </c>
      <c r="AV42" t="inlineStr">
        <is>
          <t>7930984</t>
        </is>
      </c>
      <c r="AW42" t="inlineStr">
        <is>
          <t>991001784719702656</t>
        </is>
      </c>
      <c r="AX42" t="inlineStr">
        <is>
          <t>991001784719702656</t>
        </is>
      </c>
      <c r="AY42" t="inlineStr">
        <is>
          <t>2270968500002656</t>
        </is>
      </c>
      <c r="AZ42" t="inlineStr">
        <is>
          <t>BOOK</t>
        </is>
      </c>
      <c r="BB42" t="inlineStr">
        <is>
          <t>9780472081417</t>
        </is>
      </c>
      <c r="BC42" t="inlineStr">
        <is>
          <t>32285001108363</t>
        </is>
      </c>
      <c r="BD42" t="inlineStr">
        <is>
          <t>893238338</t>
        </is>
      </c>
    </row>
    <row r="43">
      <c r="A43" t="inlineStr">
        <is>
          <t>No</t>
        </is>
      </c>
      <c r="B43" t="inlineStr">
        <is>
          <t>RJ138 .D48 1981, v...</t>
        </is>
      </c>
      <c r="C43" t="inlineStr">
        <is>
          <t>0                      RJ 0138000D  48          1981                                        v...</t>
        </is>
      </c>
      <c r="D43" t="inlineStr">
        <is>
          <t>Developmental programming for infants and young children / D. Sue Schafer and Martha S. Moersch, editors.</t>
        </is>
      </c>
      <c r="E43" t="inlineStr">
        <is>
          <t>V. 2</t>
        </is>
      </c>
      <c r="F43" t="inlineStr">
        <is>
          <t>Yes</t>
        </is>
      </c>
      <c r="G43" t="inlineStr">
        <is>
          <t>1</t>
        </is>
      </c>
      <c r="H43" t="inlineStr">
        <is>
          <t>Yes</t>
        </is>
      </c>
      <c r="I43" t="inlineStr">
        <is>
          <t>No</t>
        </is>
      </c>
      <c r="J43" t="inlineStr">
        <is>
          <t>0</t>
        </is>
      </c>
      <c r="L43" t="inlineStr">
        <is>
          <t>Ann Arbor : University of Michigan Press, c1981-</t>
        </is>
      </c>
      <c r="M43" t="inlineStr">
        <is>
          <t>1981</t>
        </is>
      </c>
      <c r="N43" t="inlineStr">
        <is>
          <t>Rev. ed.</t>
        </is>
      </c>
      <c r="O43" t="inlineStr">
        <is>
          <t>eng</t>
        </is>
      </c>
      <c r="P43" t="inlineStr">
        <is>
          <t>miu</t>
        </is>
      </c>
      <c r="R43" t="inlineStr">
        <is>
          <t xml:space="preserve">RJ </t>
        </is>
      </c>
      <c r="S43" t="n">
        <v>1</v>
      </c>
      <c r="T43" t="n">
        <v>19</v>
      </c>
      <c r="U43" t="inlineStr">
        <is>
          <t>1997-02-05</t>
        </is>
      </c>
      <c r="V43" t="inlineStr">
        <is>
          <t>2008-01-08</t>
        </is>
      </c>
      <c r="W43" t="inlineStr">
        <is>
          <t>1993-02-24</t>
        </is>
      </c>
      <c r="X43" t="inlineStr">
        <is>
          <t>1993-02-24</t>
        </is>
      </c>
      <c r="Y43" t="n">
        <v>111</v>
      </c>
      <c r="Z43" t="n">
        <v>86</v>
      </c>
      <c r="AA43" t="n">
        <v>202</v>
      </c>
      <c r="AB43" t="n">
        <v>3</v>
      </c>
      <c r="AC43" t="n">
        <v>5</v>
      </c>
      <c r="AD43" t="n">
        <v>3</v>
      </c>
      <c r="AE43" t="n">
        <v>9</v>
      </c>
      <c r="AF43" t="n">
        <v>0</v>
      </c>
      <c r="AG43" t="n">
        <v>0</v>
      </c>
      <c r="AH43" t="n">
        <v>1</v>
      </c>
      <c r="AI43" t="n">
        <v>2</v>
      </c>
      <c r="AJ43" t="n">
        <v>2</v>
      </c>
      <c r="AK43" t="n">
        <v>5</v>
      </c>
      <c r="AL43" t="n">
        <v>1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HYPERLINK("http://catalog.hathitrust.org/Record/000268203","HathiTrust Record")</f>
        <v/>
      </c>
      <c r="AS43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3">
        <f>HYPERLINK("http://www.worldcat.org/oclc/7930984","WorldCat Record")</f>
        <v/>
      </c>
      <c r="AU43" t="inlineStr">
        <is>
          <t>1074696078:eng</t>
        </is>
      </c>
      <c r="AV43" t="inlineStr">
        <is>
          <t>7930984</t>
        </is>
      </c>
      <c r="AW43" t="inlineStr">
        <is>
          <t>991001784719702656</t>
        </is>
      </c>
      <c r="AX43" t="inlineStr">
        <is>
          <t>991001784719702656</t>
        </is>
      </c>
      <c r="AY43" t="inlineStr">
        <is>
          <t>2270968500002656</t>
        </is>
      </c>
      <c r="AZ43" t="inlineStr">
        <is>
          <t>BOOK</t>
        </is>
      </c>
      <c r="BB43" t="inlineStr">
        <is>
          <t>9780472081417</t>
        </is>
      </c>
      <c r="BC43" t="inlineStr">
        <is>
          <t>32285001528529</t>
        </is>
      </c>
      <c r="BD43" t="inlineStr">
        <is>
          <t>893232263</t>
        </is>
      </c>
    </row>
    <row r="44">
      <c r="A44" t="inlineStr">
        <is>
          <t>No</t>
        </is>
      </c>
      <c r="B44" t="inlineStr">
        <is>
          <t>RJ138 .H34 1987</t>
        </is>
      </c>
      <c r="C44" t="inlineStr">
        <is>
          <t>0                      RJ 0138000H  34          1987</t>
        </is>
      </c>
      <c r="D44" t="inlineStr">
        <is>
          <t>Handicapped children and youth : a comprehensive community and clinical approach / edited by Helen M. Wallace ... [et al.].</t>
        </is>
      </c>
      <c r="F44" t="inlineStr">
        <is>
          <t>No</t>
        </is>
      </c>
      <c r="G44" t="inlineStr">
        <is>
          <t>1</t>
        </is>
      </c>
      <c r="H44" t="inlineStr">
        <is>
          <t>Yes</t>
        </is>
      </c>
      <c r="I44" t="inlineStr">
        <is>
          <t>No</t>
        </is>
      </c>
      <c r="J44" t="inlineStr">
        <is>
          <t>0</t>
        </is>
      </c>
      <c r="L44" t="inlineStr">
        <is>
          <t>New York, N.Y. : Human Sciences Press, c1987.</t>
        </is>
      </c>
      <c r="M44" t="inlineStr">
        <is>
          <t>1987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RJ </t>
        </is>
      </c>
      <c r="S44" t="n">
        <v>2</v>
      </c>
      <c r="T44" t="n">
        <v>2</v>
      </c>
      <c r="U44" t="inlineStr">
        <is>
          <t>1997-05-29</t>
        </is>
      </c>
      <c r="V44" t="inlineStr">
        <is>
          <t>1997-05-29</t>
        </is>
      </c>
      <c r="W44" t="inlineStr">
        <is>
          <t>1991-12-06</t>
        </is>
      </c>
      <c r="X44" t="inlineStr">
        <is>
          <t>1991-12-06</t>
        </is>
      </c>
      <c r="Y44" t="n">
        <v>262</v>
      </c>
      <c r="Z44" t="n">
        <v>227</v>
      </c>
      <c r="AA44" t="n">
        <v>234</v>
      </c>
      <c r="AB44" t="n">
        <v>5</v>
      </c>
      <c r="AC44" t="n">
        <v>5</v>
      </c>
      <c r="AD44" t="n">
        <v>8</v>
      </c>
      <c r="AE44" t="n">
        <v>8</v>
      </c>
      <c r="AF44" t="n">
        <v>3</v>
      </c>
      <c r="AG44" t="n">
        <v>3</v>
      </c>
      <c r="AH44" t="n">
        <v>0</v>
      </c>
      <c r="AI44" t="n">
        <v>0</v>
      </c>
      <c r="AJ44" t="n">
        <v>4</v>
      </c>
      <c r="AK44" t="n">
        <v>4</v>
      </c>
      <c r="AL44" t="n">
        <v>3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HYPERLINK("http://catalog.hathitrust.org/Record/000838986","HathiTrust Record")</f>
        <v/>
      </c>
      <c r="AS44">
        <f>HYPERLINK("https://creighton-primo.hosted.exlibrisgroup.com/primo-explore/search?tab=default_tab&amp;search_scope=EVERYTHING&amp;vid=01CRU&amp;lang=en_US&amp;offset=0&amp;query=any,contains,991000915939702656","Catalog Record")</f>
        <v/>
      </c>
      <c r="AT44">
        <f>HYPERLINK("http://www.worldcat.org/oclc/14168031","WorldCat Record")</f>
        <v/>
      </c>
      <c r="AU44" t="inlineStr">
        <is>
          <t>7243928:eng</t>
        </is>
      </c>
      <c r="AV44" t="inlineStr">
        <is>
          <t>14168031</t>
        </is>
      </c>
      <c r="AW44" t="inlineStr">
        <is>
          <t>991000915939702656</t>
        </is>
      </c>
      <c r="AX44" t="inlineStr">
        <is>
          <t>991000915939702656</t>
        </is>
      </c>
      <c r="AY44" t="inlineStr">
        <is>
          <t>2271455880002656</t>
        </is>
      </c>
      <c r="AZ44" t="inlineStr">
        <is>
          <t>BOOK</t>
        </is>
      </c>
      <c r="BB44" t="inlineStr">
        <is>
          <t>9780898853339</t>
        </is>
      </c>
      <c r="BC44" t="inlineStr">
        <is>
          <t>32285000885185</t>
        </is>
      </c>
      <c r="BD44" t="inlineStr">
        <is>
          <t>893878454</t>
        </is>
      </c>
    </row>
    <row r="45">
      <c r="A45" t="inlineStr">
        <is>
          <t>No</t>
        </is>
      </c>
      <c r="B45" t="inlineStr">
        <is>
          <t>RJ138 .P45 1982</t>
        </is>
      </c>
      <c r="C45" t="inlineStr">
        <is>
          <t>0                      RJ 0138000P  45          1982</t>
        </is>
      </c>
      <c r="D45" t="inlineStr">
        <is>
          <t>Physically handicapped children : a medical atlas for teachers / edited by Eugene E. Bleck, Donald A. Nagel.</t>
        </is>
      </c>
      <c r="F45" t="inlineStr">
        <is>
          <t>No</t>
        </is>
      </c>
      <c r="G45" t="inlineStr">
        <is>
          <t>1</t>
        </is>
      </c>
      <c r="H45" t="inlineStr">
        <is>
          <t>Yes</t>
        </is>
      </c>
      <c r="I45" t="inlineStr">
        <is>
          <t>No</t>
        </is>
      </c>
      <c r="J45" t="inlineStr">
        <is>
          <t>0</t>
        </is>
      </c>
      <c r="L45" t="inlineStr">
        <is>
          <t>New York : Grune &amp; Stratton, c1982.</t>
        </is>
      </c>
      <c r="M45" t="inlineStr">
        <is>
          <t>1982</t>
        </is>
      </c>
      <c r="N45" t="inlineStr">
        <is>
          <t>2nd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RJ </t>
        </is>
      </c>
      <c r="S45" t="n">
        <v>2</v>
      </c>
      <c r="T45" t="n">
        <v>2</v>
      </c>
      <c r="U45" t="inlineStr">
        <is>
          <t>1997-05-29</t>
        </is>
      </c>
      <c r="V45" t="inlineStr">
        <is>
          <t>1997-05-29</t>
        </is>
      </c>
      <c r="W45" t="inlineStr">
        <is>
          <t>1991-12-11</t>
        </is>
      </c>
      <c r="X45" t="inlineStr">
        <is>
          <t>1991-12-11</t>
        </is>
      </c>
      <c r="Y45" t="n">
        <v>377</v>
      </c>
      <c r="Z45" t="n">
        <v>296</v>
      </c>
      <c r="AA45" t="n">
        <v>479</v>
      </c>
      <c r="AB45" t="n">
        <v>5</v>
      </c>
      <c r="AC45" t="n">
        <v>6</v>
      </c>
      <c r="AD45" t="n">
        <v>8</v>
      </c>
      <c r="AE45" t="n">
        <v>11</v>
      </c>
      <c r="AF45" t="n">
        <v>2</v>
      </c>
      <c r="AG45" t="n">
        <v>3</v>
      </c>
      <c r="AH45" t="n">
        <v>0</v>
      </c>
      <c r="AI45" t="n">
        <v>0</v>
      </c>
      <c r="AJ45" t="n">
        <v>4</v>
      </c>
      <c r="AK45" t="n">
        <v>5</v>
      </c>
      <c r="AL45" t="n">
        <v>3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HYPERLINK("http://catalog.hathitrust.org/Record/004414488","HathiTrust Record")</f>
        <v/>
      </c>
      <c r="AS45">
        <f>HYPERLINK("https://creighton-primo.hosted.exlibrisgroup.com/primo-explore/search?tab=default_tab&amp;search_scope=EVERYTHING&amp;vid=01CRU&amp;lang=en_US&amp;offset=0&amp;query=any,contains,991005146209702656","Catalog Record")</f>
        <v/>
      </c>
      <c r="AT45">
        <f>HYPERLINK("http://www.worldcat.org/oclc/7671525","WorldCat Record")</f>
        <v/>
      </c>
      <c r="AU45" t="inlineStr">
        <is>
          <t>836702426:eng</t>
        </is>
      </c>
      <c r="AV45" t="inlineStr">
        <is>
          <t>7671525</t>
        </is>
      </c>
      <c r="AW45" t="inlineStr">
        <is>
          <t>991005146209702656</t>
        </is>
      </c>
      <c r="AX45" t="inlineStr">
        <is>
          <t>991005146209702656</t>
        </is>
      </c>
      <c r="AY45" t="inlineStr">
        <is>
          <t>2272673910002656</t>
        </is>
      </c>
      <c r="AZ45" t="inlineStr">
        <is>
          <t>BOOK</t>
        </is>
      </c>
      <c r="BB45" t="inlineStr">
        <is>
          <t>9780808913917</t>
        </is>
      </c>
      <c r="BC45" t="inlineStr">
        <is>
          <t>32285000887009</t>
        </is>
      </c>
      <c r="BD45" t="inlineStr">
        <is>
          <t>893613202</t>
        </is>
      </c>
    </row>
    <row r="46">
      <c r="A46" t="inlineStr">
        <is>
          <t>No</t>
        </is>
      </c>
      <c r="B46" t="inlineStr">
        <is>
          <t>RJ138 .P49 1983</t>
        </is>
      </c>
      <c r="C46" t="inlineStr">
        <is>
          <t>0                      RJ 0138000P  49          1983</t>
        </is>
      </c>
      <c r="D46" t="inlineStr">
        <is>
          <t>Physical disabilities and health impairments : an introduction / John Umbreit, editor.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Columbus : C.E. Merrill, c1983.</t>
        </is>
      </c>
      <c r="M46" t="inlineStr">
        <is>
          <t>1983</t>
        </is>
      </c>
      <c r="O46" t="inlineStr">
        <is>
          <t>eng</t>
        </is>
      </c>
      <c r="P46" t="inlineStr">
        <is>
          <t>ohu</t>
        </is>
      </c>
      <c r="R46" t="inlineStr">
        <is>
          <t xml:space="preserve">RJ </t>
        </is>
      </c>
      <c r="S46" t="n">
        <v>1</v>
      </c>
      <c r="T46" t="n">
        <v>1</v>
      </c>
      <c r="U46" t="inlineStr">
        <is>
          <t>1992-02-26</t>
        </is>
      </c>
      <c r="V46" t="inlineStr">
        <is>
          <t>1992-02-26</t>
        </is>
      </c>
      <c r="W46" t="inlineStr">
        <is>
          <t>1991-12-11</t>
        </is>
      </c>
      <c r="X46" t="inlineStr">
        <is>
          <t>1991-12-11</t>
        </is>
      </c>
      <c r="Y46" t="n">
        <v>159</v>
      </c>
      <c r="Z46" t="n">
        <v>132</v>
      </c>
      <c r="AA46" t="n">
        <v>138</v>
      </c>
      <c r="AB46" t="n">
        <v>3</v>
      </c>
      <c r="AC46" t="n">
        <v>3</v>
      </c>
      <c r="AD46" t="n">
        <v>5</v>
      </c>
      <c r="AE46" t="n">
        <v>5</v>
      </c>
      <c r="AF46" t="n">
        <v>2</v>
      </c>
      <c r="AG46" t="n">
        <v>2</v>
      </c>
      <c r="AH46" t="n">
        <v>2</v>
      </c>
      <c r="AI46" t="n">
        <v>2</v>
      </c>
      <c r="AJ46" t="n">
        <v>1</v>
      </c>
      <c r="AK46" t="n">
        <v>1</v>
      </c>
      <c r="AL46" t="n">
        <v>2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HYPERLINK("http://catalog.hathitrust.org/Record/102078777","HathiTrust Record")</f>
        <v/>
      </c>
      <c r="AS46">
        <f>HYPERLINK("https://creighton-primo.hosted.exlibrisgroup.com/primo-explore/search?tab=default_tab&amp;search_scope=EVERYTHING&amp;vid=01CRU&amp;lang=en_US&amp;offset=0&amp;query=any,contains,991000230049702656","Catalog Record")</f>
        <v/>
      </c>
      <c r="AT46">
        <f>HYPERLINK("http://www.worldcat.org/oclc/9632580","WorldCat Record")</f>
        <v/>
      </c>
      <c r="AU46" t="inlineStr">
        <is>
          <t>1363595504:eng</t>
        </is>
      </c>
      <c r="AV46" t="inlineStr">
        <is>
          <t>9632580</t>
        </is>
      </c>
      <c r="AW46" t="inlineStr">
        <is>
          <t>991000230049702656</t>
        </is>
      </c>
      <c r="AX46" t="inlineStr">
        <is>
          <t>991000230049702656</t>
        </is>
      </c>
      <c r="AY46" t="inlineStr">
        <is>
          <t>2267935240002656</t>
        </is>
      </c>
      <c r="AZ46" t="inlineStr">
        <is>
          <t>BOOK</t>
        </is>
      </c>
      <c r="BB46" t="inlineStr">
        <is>
          <t>9780675200455</t>
        </is>
      </c>
      <c r="BC46" t="inlineStr">
        <is>
          <t>32285000887017</t>
        </is>
      </c>
      <c r="BD46" t="inlineStr">
        <is>
          <t>893796526</t>
        </is>
      </c>
    </row>
    <row r="47">
      <c r="A47" t="inlineStr">
        <is>
          <t>No</t>
        </is>
      </c>
      <c r="B47" t="inlineStr">
        <is>
          <t>RJ138 .P67</t>
        </is>
      </c>
      <c r="C47" t="inlineStr">
        <is>
          <t>0                      RJ 0138000P  67</t>
        </is>
      </c>
      <c r="D47" t="inlineStr">
        <is>
          <t>Program guide for infants and toddlers with neuromotor and other developmental disabilities / [edited by] Frances P. Connor, G. Gordon Williamson, John M. Siepp ; in cooperation with United Cerebral Palsy Associations, inc. --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New York : Teachers College Press, c1978.</t>
        </is>
      </c>
      <c r="M47" t="inlineStr">
        <is>
          <t>1978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RJ </t>
        </is>
      </c>
      <c r="S47" t="n">
        <v>2</v>
      </c>
      <c r="T47" t="n">
        <v>2</v>
      </c>
      <c r="U47" t="inlineStr">
        <is>
          <t>2001-04-18</t>
        </is>
      </c>
      <c r="V47" t="inlineStr">
        <is>
          <t>2001-04-18</t>
        </is>
      </c>
      <c r="W47" t="inlineStr">
        <is>
          <t>1991-12-06</t>
        </is>
      </c>
      <c r="X47" t="inlineStr">
        <is>
          <t>1991-12-06</t>
        </is>
      </c>
      <c r="Y47" t="n">
        <v>391</v>
      </c>
      <c r="Z47" t="n">
        <v>332</v>
      </c>
      <c r="AA47" t="n">
        <v>332</v>
      </c>
      <c r="AB47" t="n">
        <v>3</v>
      </c>
      <c r="AC47" t="n">
        <v>3</v>
      </c>
      <c r="AD47" t="n">
        <v>6</v>
      </c>
      <c r="AE47" t="n">
        <v>6</v>
      </c>
      <c r="AF47" t="n">
        <v>0</v>
      </c>
      <c r="AG47" t="n">
        <v>0</v>
      </c>
      <c r="AH47" t="n">
        <v>2</v>
      </c>
      <c r="AI47" t="n">
        <v>2</v>
      </c>
      <c r="AJ47" t="n">
        <v>3</v>
      </c>
      <c r="AK47" t="n">
        <v>3</v>
      </c>
      <c r="AL47" t="n">
        <v>2</v>
      </c>
      <c r="AM47" t="n">
        <v>2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HYPERLINK("https://creighton-primo.hosted.exlibrisgroup.com/primo-explore/search?tab=default_tab&amp;search_scope=EVERYTHING&amp;vid=01CRU&amp;lang=en_US&amp;offset=0&amp;query=any,contains,991004476539702656","Catalog Record")</f>
        <v/>
      </c>
      <c r="AT47">
        <f>HYPERLINK("http://www.worldcat.org/oclc/3609511","WorldCat Record")</f>
        <v/>
      </c>
      <c r="AU47" t="inlineStr">
        <is>
          <t>359074332:eng</t>
        </is>
      </c>
      <c r="AV47" t="inlineStr">
        <is>
          <t>3609511</t>
        </is>
      </c>
      <c r="AW47" t="inlineStr">
        <is>
          <t>991004476539702656</t>
        </is>
      </c>
      <c r="AX47" t="inlineStr">
        <is>
          <t>991004476539702656</t>
        </is>
      </c>
      <c r="AY47" t="inlineStr">
        <is>
          <t>2271756350002656</t>
        </is>
      </c>
      <c r="AZ47" t="inlineStr">
        <is>
          <t>BOOK</t>
        </is>
      </c>
      <c r="BB47" t="inlineStr">
        <is>
          <t>9780807725467</t>
        </is>
      </c>
      <c r="BC47" t="inlineStr">
        <is>
          <t>32285000885193</t>
        </is>
      </c>
      <c r="BD47" t="inlineStr">
        <is>
          <t>893807119</t>
        </is>
      </c>
    </row>
    <row r="48">
      <c r="A48" t="inlineStr">
        <is>
          <t>No</t>
        </is>
      </c>
      <c r="B48" t="inlineStr">
        <is>
          <t>RJ138 .T55 1983</t>
        </is>
      </c>
      <c r="C48" t="inlineStr">
        <is>
          <t>0                      RJ 0138000T  55          1983</t>
        </is>
      </c>
      <c r="D48" t="inlineStr">
        <is>
          <t>Handicapped infants and children : a handbook for parents and professionals / Carol Tingey-Michaelis.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Tingey, Carol, 1933-</t>
        </is>
      </c>
      <c r="L48" t="inlineStr">
        <is>
          <t>Baltimore : University Park Press, c1983.</t>
        </is>
      </c>
      <c r="M48" t="inlineStr">
        <is>
          <t>1983</t>
        </is>
      </c>
      <c r="O48" t="inlineStr">
        <is>
          <t>eng</t>
        </is>
      </c>
      <c r="P48" t="inlineStr">
        <is>
          <t>mdu</t>
        </is>
      </c>
      <c r="R48" t="inlineStr">
        <is>
          <t xml:space="preserve">RJ </t>
        </is>
      </c>
      <c r="S48" t="n">
        <v>3</v>
      </c>
      <c r="T48" t="n">
        <v>3</v>
      </c>
      <c r="U48" t="inlineStr">
        <is>
          <t>2001-04-18</t>
        </is>
      </c>
      <c r="V48" t="inlineStr">
        <is>
          <t>2001-04-18</t>
        </is>
      </c>
      <c r="W48" t="inlineStr">
        <is>
          <t>1991-12-06</t>
        </is>
      </c>
      <c r="X48" t="inlineStr">
        <is>
          <t>1991-12-06</t>
        </is>
      </c>
      <c r="Y48" t="n">
        <v>207</v>
      </c>
      <c r="Z48" t="n">
        <v>188</v>
      </c>
      <c r="AA48" t="n">
        <v>213</v>
      </c>
      <c r="AB48" t="n">
        <v>1</v>
      </c>
      <c r="AC48" t="n">
        <v>2</v>
      </c>
      <c r="AD48" t="n">
        <v>4</v>
      </c>
      <c r="AE48" t="n">
        <v>6</v>
      </c>
      <c r="AF48" t="n">
        <v>2</v>
      </c>
      <c r="AG48" t="n">
        <v>3</v>
      </c>
      <c r="AH48" t="n">
        <v>1</v>
      </c>
      <c r="AI48" t="n">
        <v>1</v>
      </c>
      <c r="AJ48" t="n">
        <v>3</v>
      </c>
      <c r="AK48" t="n">
        <v>3</v>
      </c>
      <c r="AL48" t="n">
        <v>0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HYPERLINK("https://creighton-primo.hosted.exlibrisgroup.com/primo-explore/search?tab=default_tab&amp;search_scope=EVERYTHING&amp;vid=01CRU&amp;lang=en_US&amp;offset=0&amp;query=any,contains,991000200109702656","Catalog Record")</f>
        <v/>
      </c>
      <c r="AT48">
        <f>HYPERLINK("http://www.worldcat.org/oclc/9464420","WorldCat Record")</f>
        <v/>
      </c>
      <c r="AU48" t="inlineStr">
        <is>
          <t>13522213:eng</t>
        </is>
      </c>
      <c r="AV48" t="inlineStr">
        <is>
          <t>9464420</t>
        </is>
      </c>
      <c r="AW48" t="inlineStr">
        <is>
          <t>991000200109702656</t>
        </is>
      </c>
      <c r="AX48" t="inlineStr">
        <is>
          <t>991000200109702656</t>
        </is>
      </c>
      <c r="AY48" t="inlineStr">
        <is>
          <t>2264305720002656</t>
        </is>
      </c>
      <c r="AZ48" t="inlineStr">
        <is>
          <t>BOOK</t>
        </is>
      </c>
      <c r="BB48" t="inlineStr">
        <is>
          <t>9780839117711</t>
        </is>
      </c>
      <c r="BC48" t="inlineStr">
        <is>
          <t>32285000885201</t>
        </is>
      </c>
      <c r="BD48" t="inlineStr">
        <is>
          <t>893601571</t>
        </is>
      </c>
    </row>
    <row r="49">
      <c r="A49" t="inlineStr">
        <is>
          <t>No</t>
        </is>
      </c>
      <c r="B49" t="inlineStr">
        <is>
          <t>RJ138 .W43</t>
        </is>
      </c>
      <c r="C49" t="inlineStr">
        <is>
          <t>0                      RJ 0138000W  43</t>
        </is>
      </c>
      <c r="D49" t="inlineStr">
        <is>
          <t>Who shall live? : The dilemma of severely handicapped children and its meaning for other moral questions / Leonard J. Weber.</t>
        </is>
      </c>
      <c r="F49" t="inlineStr">
        <is>
          <t>No</t>
        </is>
      </c>
      <c r="G49" t="inlineStr">
        <is>
          <t>1</t>
        </is>
      </c>
      <c r="H49" t="inlineStr">
        <is>
          <t>Yes</t>
        </is>
      </c>
      <c r="I49" t="inlineStr">
        <is>
          <t>No</t>
        </is>
      </c>
      <c r="J49" t="inlineStr">
        <is>
          <t>0</t>
        </is>
      </c>
      <c r="K49" t="inlineStr">
        <is>
          <t>Weber, Leonard J., 1942-</t>
        </is>
      </c>
      <c r="L49" t="inlineStr">
        <is>
          <t>New York : Paulist Press, c1976.</t>
        </is>
      </c>
      <c r="M49" t="inlineStr">
        <is>
          <t>1976</t>
        </is>
      </c>
      <c r="O49" t="inlineStr">
        <is>
          <t>eng</t>
        </is>
      </c>
      <c r="P49" t="inlineStr">
        <is>
          <t>nyu</t>
        </is>
      </c>
      <c r="Q49" t="inlineStr">
        <is>
          <t>An Exploration book</t>
        </is>
      </c>
      <c r="R49" t="inlineStr">
        <is>
          <t xml:space="preserve">RJ </t>
        </is>
      </c>
      <c r="S49" t="n">
        <v>6</v>
      </c>
      <c r="T49" t="n">
        <v>17</v>
      </c>
      <c r="U49" t="inlineStr">
        <is>
          <t>2004-08-05</t>
        </is>
      </c>
      <c r="V49" t="inlineStr">
        <is>
          <t>2004-08-05</t>
        </is>
      </c>
      <c r="W49" t="inlineStr">
        <is>
          <t>1991-12-13</t>
        </is>
      </c>
      <c r="X49" t="inlineStr">
        <is>
          <t>1991-12-13</t>
        </is>
      </c>
      <c r="Y49" t="n">
        <v>359</v>
      </c>
      <c r="Z49" t="n">
        <v>309</v>
      </c>
      <c r="AA49" t="n">
        <v>314</v>
      </c>
      <c r="AB49" t="n">
        <v>3</v>
      </c>
      <c r="AC49" t="n">
        <v>3</v>
      </c>
      <c r="AD49" t="n">
        <v>22</v>
      </c>
      <c r="AE49" t="n">
        <v>22</v>
      </c>
      <c r="AF49" t="n">
        <v>9</v>
      </c>
      <c r="AG49" t="n">
        <v>9</v>
      </c>
      <c r="AH49" t="n">
        <v>2</v>
      </c>
      <c r="AI49" t="n">
        <v>2</v>
      </c>
      <c r="AJ49" t="n">
        <v>15</v>
      </c>
      <c r="AK49" t="n">
        <v>15</v>
      </c>
      <c r="AL49" t="n">
        <v>1</v>
      </c>
      <c r="AM49" t="n">
        <v>1</v>
      </c>
      <c r="AN49" t="n">
        <v>2</v>
      </c>
      <c r="AO49" t="n">
        <v>2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HYPERLINK("https://creighton-primo.hosted.exlibrisgroup.com/primo-explore/search?tab=default_tab&amp;search_scope=EVERYTHING&amp;vid=01CRU&amp;lang=en_US&amp;offset=0&amp;query=any,contains,991001805749702656","Catalog Record")</f>
        <v/>
      </c>
      <c r="AT49">
        <f>HYPERLINK("http://www.worldcat.org/oclc/2660101","WorldCat Record")</f>
        <v/>
      </c>
      <c r="AU49" t="inlineStr">
        <is>
          <t>1102282460:eng</t>
        </is>
      </c>
      <c r="AV49" t="inlineStr">
        <is>
          <t>2660101</t>
        </is>
      </c>
      <c r="AW49" t="inlineStr">
        <is>
          <t>991001805749702656</t>
        </is>
      </c>
      <c r="AX49" t="inlineStr">
        <is>
          <t>991001805749702656</t>
        </is>
      </c>
      <c r="AY49" t="inlineStr">
        <is>
          <t>2261972950002656</t>
        </is>
      </c>
      <c r="AZ49" t="inlineStr">
        <is>
          <t>BOOK</t>
        </is>
      </c>
      <c r="BB49" t="inlineStr">
        <is>
          <t>9780809119684</t>
        </is>
      </c>
      <c r="BC49" t="inlineStr">
        <is>
          <t>32285000876077</t>
        </is>
      </c>
      <c r="BD49" t="inlineStr">
        <is>
          <t>893352021</t>
        </is>
      </c>
    </row>
    <row r="50">
      <c r="A50" t="inlineStr">
        <is>
          <t>No</t>
        </is>
      </c>
      <c r="B50" t="inlineStr">
        <is>
          <t>RJ140 .B56 1989</t>
        </is>
      </c>
      <c r="C50" t="inlineStr">
        <is>
          <t>0                      RJ 0140000B  56          1989</t>
        </is>
      </c>
      <c r="D50" t="inlineStr">
        <is>
          <t>Biology of adolescent behavior and development / edited by Gerald R. Adams, Raymond Montemayor, Thomas P. Gullotta.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Newbury Park, Calif. : Sage Publications, c1989.</t>
        </is>
      </c>
      <c r="M50" t="inlineStr">
        <is>
          <t>1989</t>
        </is>
      </c>
      <c r="O50" t="inlineStr">
        <is>
          <t>eng</t>
        </is>
      </c>
      <c r="P50" t="inlineStr">
        <is>
          <t>cau</t>
        </is>
      </c>
      <c r="Q50" t="inlineStr">
        <is>
          <t>Advances in adolescent development ; v. 1</t>
        </is>
      </c>
      <c r="R50" t="inlineStr">
        <is>
          <t xml:space="preserve">RJ </t>
        </is>
      </c>
      <c r="S50" t="n">
        <v>6</v>
      </c>
      <c r="T50" t="n">
        <v>6</v>
      </c>
      <c r="U50" t="inlineStr">
        <is>
          <t>2010-10-13</t>
        </is>
      </c>
      <c r="V50" t="inlineStr">
        <is>
          <t>2010-10-13</t>
        </is>
      </c>
      <c r="W50" t="inlineStr">
        <is>
          <t>1989-11-13</t>
        </is>
      </c>
      <c r="X50" t="inlineStr">
        <is>
          <t>1989-11-13</t>
        </is>
      </c>
      <c r="Y50" t="n">
        <v>383</v>
      </c>
      <c r="Z50" t="n">
        <v>288</v>
      </c>
      <c r="AA50" t="n">
        <v>295</v>
      </c>
      <c r="AB50" t="n">
        <v>4</v>
      </c>
      <c r="AC50" t="n">
        <v>4</v>
      </c>
      <c r="AD50" t="n">
        <v>14</v>
      </c>
      <c r="AE50" t="n">
        <v>14</v>
      </c>
      <c r="AF50" t="n">
        <v>4</v>
      </c>
      <c r="AG50" t="n">
        <v>4</v>
      </c>
      <c r="AH50" t="n">
        <v>3</v>
      </c>
      <c r="AI50" t="n">
        <v>3</v>
      </c>
      <c r="AJ50" t="n">
        <v>8</v>
      </c>
      <c r="AK50" t="n">
        <v>8</v>
      </c>
      <c r="AL50" t="n">
        <v>3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HYPERLINK("http://catalog.hathitrust.org/Record/001537230","HathiTrust Record")</f>
        <v/>
      </c>
      <c r="AS50">
        <f>HYPERLINK("https://creighton-primo.hosted.exlibrisgroup.com/primo-explore/search?tab=default_tab&amp;search_scope=EVERYTHING&amp;vid=01CRU&amp;lang=en_US&amp;offset=0&amp;query=any,contains,991001463619702656","Catalog Record")</f>
        <v/>
      </c>
      <c r="AT50">
        <f>HYPERLINK("http://www.worldcat.org/oclc/19458690","WorldCat Record")</f>
        <v/>
      </c>
      <c r="AU50" t="inlineStr">
        <is>
          <t>21235115:eng</t>
        </is>
      </c>
      <c r="AV50" t="inlineStr">
        <is>
          <t>19458690</t>
        </is>
      </c>
      <c r="AW50" t="inlineStr">
        <is>
          <t>991001463619702656</t>
        </is>
      </c>
      <c r="AX50" t="inlineStr">
        <is>
          <t>991001463619702656</t>
        </is>
      </c>
      <c r="AY50" t="inlineStr">
        <is>
          <t>2271229500002656</t>
        </is>
      </c>
      <c r="AZ50" t="inlineStr">
        <is>
          <t>BOOK</t>
        </is>
      </c>
      <c r="BB50" t="inlineStr">
        <is>
          <t>9780803934047</t>
        </is>
      </c>
      <c r="BC50" t="inlineStr">
        <is>
          <t>32285000012798</t>
        </is>
      </c>
      <c r="BD50" t="inlineStr">
        <is>
          <t>893321983</t>
        </is>
      </c>
    </row>
    <row r="51">
      <c r="A51" t="inlineStr">
        <is>
          <t>No</t>
        </is>
      </c>
      <c r="B51" t="inlineStr">
        <is>
          <t>RJ206 .F49 1989</t>
        </is>
      </c>
      <c r="C51" t="inlineStr">
        <is>
          <t>0                      RJ 0206000F  49          1989</t>
        </is>
      </c>
      <c r="D51" t="inlineStr">
        <is>
          <t>Starting out well : a parents' approach to physical activity &amp; nutrition / Helen T. Fish, Ronald B. Fish, Lawrence A. Golding.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Fish, Helen T., 1944-</t>
        </is>
      </c>
      <c r="L51" t="inlineStr">
        <is>
          <t>Champaign, IL : Leisure Press, c1989.</t>
        </is>
      </c>
      <c r="M51" t="inlineStr">
        <is>
          <t>1989</t>
        </is>
      </c>
      <c r="O51" t="inlineStr">
        <is>
          <t>eng</t>
        </is>
      </c>
      <c r="P51" t="inlineStr">
        <is>
          <t>ilu</t>
        </is>
      </c>
      <c r="R51" t="inlineStr">
        <is>
          <t xml:space="preserve">RJ </t>
        </is>
      </c>
      <c r="S51" t="n">
        <v>8</v>
      </c>
      <c r="T51" t="n">
        <v>8</v>
      </c>
      <c r="U51" t="inlineStr">
        <is>
          <t>1996-11-10</t>
        </is>
      </c>
      <c r="V51" t="inlineStr">
        <is>
          <t>1996-11-10</t>
        </is>
      </c>
      <c r="W51" t="inlineStr">
        <is>
          <t>1993-02-24</t>
        </is>
      </c>
      <c r="X51" t="inlineStr">
        <is>
          <t>1993-02-24</t>
        </is>
      </c>
      <c r="Y51" t="n">
        <v>217</v>
      </c>
      <c r="Z51" t="n">
        <v>176</v>
      </c>
      <c r="AA51" t="n">
        <v>176</v>
      </c>
      <c r="AB51" t="n">
        <v>4</v>
      </c>
      <c r="AC51" t="n">
        <v>4</v>
      </c>
      <c r="AD51" t="n">
        <v>2</v>
      </c>
      <c r="AE51" t="n">
        <v>2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HYPERLINK("https://creighton-primo.hosted.exlibrisgroup.com/primo-explore/search?tab=default_tab&amp;search_scope=EVERYTHING&amp;vid=01CRU&amp;lang=en_US&amp;offset=0&amp;query=any,contains,991001391859702656","Catalog Record")</f>
        <v/>
      </c>
      <c r="AT51">
        <f>HYPERLINK("http://www.worldcat.org/oclc/18778685","WorldCat Record")</f>
        <v/>
      </c>
      <c r="AU51" t="inlineStr">
        <is>
          <t>18817691:eng</t>
        </is>
      </c>
      <c r="AV51" t="inlineStr">
        <is>
          <t>18778685</t>
        </is>
      </c>
      <c r="AW51" t="inlineStr">
        <is>
          <t>991001391859702656</t>
        </is>
      </c>
      <c r="AX51" t="inlineStr">
        <is>
          <t>991001391859702656</t>
        </is>
      </c>
      <c r="AY51" t="inlineStr">
        <is>
          <t>2255290040002656</t>
        </is>
      </c>
      <c r="AZ51" t="inlineStr">
        <is>
          <t>BOOK</t>
        </is>
      </c>
      <c r="BB51" t="inlineStr">
        <is>
          <t>9780880113465</t>
        </is>
      </c>
      <c r="BC51" t="inlineStr">
        <is>
          <t>32285001528552</t>
        </is>
      </c>
      <c r="BD51" t="inlineStr">
        <is>
          <t>893516168</t>
        </is>
      </c>
    </row>
    <row r="52">
      <c r="A52" t="inlineStr">
        <is>
          <t>No</t>
        </is>
      </c>
      <c r="B52" t="inlineStr">
        <is>
          <t>RJ216 .D35 1972a</t>
        </is>
      </c>
      <c r="C52" t="inlineStr">
        <is>
          <t>0                      RJ 0216000D  35          1972a</t>
        </is>
      </c>
      <c r="D52" t="inlineStr">
        <is>
          <t>Let's have healthy children / by Adelle Davis.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Davis, Adelle.</t>
        </is>
      </c>
      <c r="L52" t="inlineStr">
        <is>
          <t>New York : New American Library, 1972.</t>
        </is>
      </c>
      <c r="M52" t="inlineStr">
        <is>
          <t>1972</t>
        </is>
      </c>
      <c r="N52" t="inlineStr">
        <is>
          <t>New and expanded ed.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RJ </t>
        </is>
      </c>
      <c r="S52" t="n">
        <v>9</v>
      </c>
      <c r="T52" t="n">
        <v>9</v>
      </c>
      <c r="U52" t="inlineStr">
        <is>
          <t>2006-08-24</t>
        </is>
      </c>
      <c r="V52" t="inlineStr">
        <is>
          <t>2006-08-24</t>
        </is>
      </c>
      <c r="W52" t="inlineStr">
        <is>
          <t>1993-02-24</t>
        </is>
      </c>
      <c r="X52" t="inlineStr">
        <is>
          <t>1993-02-24</t>
        </is>
      </c>
      <c r="Y52" t="n">
        <v>22</v>
      </c>
      <c r="Z52" t="n">
        <v>20</v>
      </c>
      <c r="AA52" t="n">
        <v>483</v>
      </c>
      <c r="AB52" t="n">
        <v>1</v>
      </c>
      <c r="AC52" t="n">
        <v>5</v>
      </c>
      <c r="AD52" t="n">
        <v>1</v>
      </c>
      <c r="AE52" t="n">
        <v>9</v>
      </c>
      <c r="AF52" t="n">
        <v>1</v>
      </c>
      <c r="AG52" t="n">
        <v>4</v>
      </c>
      <c r="AH52" t="n">
        <v>0</v>
      </c>
      <c r="AI52" t="n">
        <v>1</v>
      </c>
      <c r="AJ52" t="n">
        <v>0</v>
      </c>
      <c r="AK52" t="n">
        <v>1</v>
      </c>
      <c r="AL52" t="n">
        <v>0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HYPERLINK("https://creighton-primo.hosted.exlibrisgroup.com/primo-explore/search?tab=default_tab&amp;search_scope=EVERYTHING&amp;vid=01CRU&amp;lang=en_US&amp;offset=0&amp;query=any,contains,991004890659702656","Catalog Record")</f>
        <v/>
      </c>
      <c r="AT52">
        <f>HYPERLINK("http://www.worldcat.org/oclc/5868116","WorldCat Record")</f>
        <v/>
      </c>
      <c r="AU52" t="inlineStr">
        <is>
          <t>413303:eng</t>
        </is>
      </c>
      <c r="AV52" t="inlineStr">
        <is>
          <t>5868116</t>
        </is>
      </c>
      <c r="AW52" t="inlineStr">
        <is>
          <t>991004890659702656</t>
        </is>
      </c>
      <c r="AX52" t="inlineStr">
        <is>
          <t>991004890659702656</t>
        </is>
      </c>
      <c r="AY52" t="inlineStr">
        <is>
          <t>2262073360002656</t>
        </is>
      </c>
      <c r="AZ52" t="inlineStr">
        <is>
          <t>BOOK</t>
        </is>
      </c>
      <c r="BC52" t="inlineStr">
        <is>
          <t>32285001528750</t>
        </is>
      </c>
      <c r="BD52" t="inlineStr">
        <is>
          <t>893625209</t>
        </is>
      </c>
    </row>
    <row r="53">
      <c r="A53" t="inlineStr">
        <is>
          <t>No</t>
        </is>
      </c>
      <c r="B53" t="inlineStr">
        <is>
          <t>RJ216 .G63 1996</t>
        </is>
      </c>
      <c r="C53" t="inlineStr">
        <is>
          <t>0                      RJ 0216000G  63          1996</t>
        </is>
      </c>
      <c r="D53" t="inlineStr">
        <is>
          <t>A social history of wet nursing in America : from breast to bottle / Janet Golden.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Golden, Janet Lynne, 1951-</t>
        </is>
      </c>
      <c r="L53" t="inlineStr">
        <is>
          <t>Cambridge [England] ; New York, NY : Cambridge University Press, 1996.</t>
        </is>
      </c>
      <c r="M53" t="inlineStr">
        <is>
          <t>1996</t>
        </is>
      </c>
      <c r="O53" t="inlineStr">
        <is>
          <t>eng</t>
        </is>
      </c>
      <c r="P53" t="inlineStr">
        <is>
          <t>enk</t>
        </is>
      </c>
      <c r="Q53" t="inlineStr">
        <is>
          <t>Cambridge history of medicine</t>
        </is>
      </c>
      <c r="R53" t="inlineStr">
        <is>
          <t xml:space="preserve">RJ </t>
        </is>
      </c>
      <c r="S53" t="n">
        <v>1</v>
      </c>
      <c r="T53" t="n">
        <v>1</v>
      </c>
      <c r="U53" t="inlineStr">
        <is>
          <t>2004-12-01</t>
        </is>
      </c>
      <c r="V53" t="inlineStr">
        <is>
          <t>2004-12-01</t>
        </is>
      </c>
      <c r="W53" t="inlineStr">
        <is>
          <t>1998-03-31</t>
        </is>
      </c>
      <c r="X53" t="inlineStr">
        <is>
          <t>1998-03-31</t>
        </is>
      </c>
      <c r="Y53" t="n">
        <v>313</v>
      </c>
      <c r="Z53" t="n">
        <v>251</v>
      </c>
      <c r="AA53" t="n">
        <v>319</v>
      </c>
      <c r="AB53" t="n">
        <v>2</v>
      </c>
      <c r="AC53" t="n">
        <v>3</v>
      </c>
      <c r="AD53" t="n">
        <v>11</v>
      </c>
      <c r="AE53" t="n">
        <v>15</v>
      </c>
      <c r="AF53" t="n">
        <v>3</v>
      </c>
      <c r="AG53" t="n">
        <v>4</v>
      </c>
      <c r="AH53" t="n">
        <v>6</v>
      </c>
      <c r="AI53" t="n">
        <v>6</v>
      </c>
      <c r="AJ53" t="n">
        <v>6</v>
      </c>
      <c r="AK53" t="n">
        <v>8</v>
      </c>
      <c r="AL53" t="n">
        <v>1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HYPERLINK("https://creighton-primo.hosted.exlibrisgroup.com/primo-explore/search?tab=default_tab&amp;search_scope=EVERYTHING&amp;vid=01CRU&amp;lang=en_US&amp;offset=0&amp;query=any,contains,991002512539702656","Catalog Record")</f>
        <v/>
      </c>
      <c r="AT53">
        <f>HYPERLINK("http://www.worldcat.org/oclc/32665906","WorldCat Record")</f>
        <v/>
      </c>
      <c r="AU53" t="inlineStr">
        <is>
          <t>364431959:eng</t>
        </is>
      </c>
      <c r="AV53" t="inlineStr">
        <is>
          <t>32665906</t>
        </is>
      </c>
      <c r="AW53" t="inlineStr">
        <is>
          <t>991002512539702656</t>
        </is>
      </c>
      <c r="AX53" t="inlineStr">
        <is>
          <t>991002512539702656</t>
        </is>
      </c>
      <c r="AY53" t="inlineStr">
        <is>
          <t>2264499460002656</t>
        </is>
      </c>
      <c r="AZ53" t="inlineStr">
        <is>
          <t>BOOK</t>
        </is>
      </c>
      <c r="BB53" t="inlineStr">
        <is>
          <t>9780521495448</t>
        </is>
      </c>
      <c r="BC53" t="inlineStr">
        <is>
          <t>32285003382172</t>
        </is>
      </c>
      <c r="BD53" t="inlineStr">
        <is>
          <t>893710380</t>
        </is>
      </c>
    </row>
    <row r="54">
      <c r="A54" t="inlineStr">
        <is>
          <t>No</t>
        </is>
      </c>
      <c r="B54" t="inlineStr">
        <is>
          <t>RJ216 .K5</t>
        </is>
      </c>
      <c r="C54" t="inlineStr">
        <is>
          <t>0                      RJ 0216000K  5</t>
        </is>
      </c>
      <c r="D54" t="inlineStr">
        <is>
          <t>Breast-feeding and natural child spacing : the ecology of natural mothering / Drawings by Gigi Nealon.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Kippley, Sheila.</t>
        </is>
      </c>
      <c r="L54" t="inlineStr">
        <is>
          <t>New York : Harper &amp; Row, [1973, c1974]</t>
        </is>
      </c>
      <c r="M54" t="inlineStr">
        <is>
          <t>1974</t>
        </is>
      </c>
      <c r="N54" t="inlineStr">
        <is>
          <t>[1st ed.]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RJ </t>
        </is>
      </c>
      <c r="S54" t="n">
        <v>4</v>
      </c>
      <c r="T54" t="n">
        <v>4</v>
      </c>
      <c r="U54" t="inlineStr">
        <is>
          <t>1997-01-15</t>
        </is>
      </c>
      <c r="V54" t="inlineStr">
        <is>
          <t>1997-01-15</t>
        </is>
      </c>
      <c r="W54" t="inlineStr">
        <is>
          <t>1995-08-03</t>
        </is>
      </c>
      <c r="X54" t="inlineStr">
        <is>
          <t>1995-08-03</t>
        </is>
      </c>
      <c r="Y54" t="n">
        <v>232</v>
      </c>
      <c r="Z54" t="n">
        <v>211</v>
      </c>
      <c r="AA54" t="n">
        <v>277</v>
      </c>
      <c r="AB54" t="n">
        <v>1</v>
      </c>
      <c r="AC54" t="n">
        <v>3</v>
      </c>
      <c r="AD54" t="n">
        <v>4</v>
      </c>
      <c r="AE54" t="n">
        <v>6</v>
      </c>
      <c r="AF54" t="n">
        <v>2</v>
      </c>
      <c r="AG54" t="n">
        <v>2</v>
      </c>
      <c r="AH54" t="n">
        <v>0</v>
      </c>
      <c r="AI54" t="n">
        <v>0</v>
      </c>
      <c r="AJ54" t="n">
        <v>4</v>
      </c>
      <c r="AK54" t="n">
        <v>6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HYPERLINK("http://catalog.hathitrust.org/Record/002069604","HathiTrust Record")</f>
        <v/>
      </c>
      <c r="AS54">
        <f>HYPERLINK("https://creighton-primo.hosted.exlibrisgroup.com/primo-explore/search?tab=default_tab&amp;search_scope=EVERYTHING&amp;vid=01CRU&amp;lang=en_US&amp;offset=0&amp;query=any,contains,991003130039702656","Catalog Record")</f>
        <v/>
      </c>
      <c r="AT54">
        <f>HYPERLINK("http://www.worldcat.org/oclc/673288","WorldCat Record")</f>
        <v/>
      </c>
      <c r="AU54" t="inlineStr">
        <is>
          <t>402382:eng</t>
        </is>
      </c>
      <c r="AV54" t="inlineStr">
        <is>
          <t>673288</t>
        </is>
      </c>
      <c r="AW54" t="inlineStr">
        <is>
          <t>991003130039702656</t>
        </is>
      </c>
      <c r="AX54" t="inlineStr">
        <is>
          <t>991003130039702656</t>
        </is>
      </c>
      <c r="AY54" t="inlineStr">
        <is>
          <t>2268876870002656</t>
        </is>
      </c>
      <c r="AZ54" t="inlineStr">
        <is>
          <t>BOOK</t>
        </is>
      </c>
      <c r="BB54" t="inlineStr">
        <is>
          <t>9780060123994</t>
        </is>
      </c>
      <c r="BC54" t="inlineStr">
        <is>
          <t>32285002061793</t>
        </is>
      </c>
      <c r="BD54" t="inlineStr">
        <is>
          <t>893868127</t>
        </is>
      </c>
    </row>
    <row r="55">
      <c r="A55" t="inlineStr">
        <is>
          <t>No</t>
        </is>
      </c>
      <c r="B55" t="inlineStr">
        <is>
          <t>RJ216 .M3 1983</t>
        </is>
      </c>
      <c r="C55" t="inlineStr">
        <is>
          <t>0                      RJ 0216000M  3           1983</t>
        </is>
      </c>
      <c r="D55" t="inlineStr">
        <is>
          <t>The dilemma of third world nutrition : Nestlé and the role of infant formula / report prepared for Nestlé S. A. by Maggie McComas, Geoffrey Fookes and George Taucher ; reviewed for medical accuracy by Frank T. Falkner.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McComas, Maggie.</t>
        </is>
      </c>
      <c r="L55" t="inlineStr">
        <is>
          <t>[S.l.] : Nestlé S. A., c1983.</t>
        </is>
      </c>
      <c r="M55" t="inlineStr">
        <is>
          <t>1983</t>
        </is>
      </c>
      <c r="O55" t="inlineStr">
        <is>
          <t>eng</t>
        </is>
      </c>
      <c r="P55" t="inlineStr">
        <is>
          <t xml:space="preserve">xx </t>
        </is>
      </c>
      <c r="R55" t="inlineStr">
        <is>
          <t xml:space="preserve">RJ </t>
        </is>
      </c>
      <c r="S55" t="n">
        <v>7</v>
      </c>
      <c r="T55" t="n">
        <v>7</v>
      </c>
      <c r="U55" t="inlineStr">
        <is>
          <t>2008-02-20</t>
        </is>
      </c>
      <c r="V55" t="inlineStr">
        <is>
          <t>2008-02-20</t>
        </is>
      </c>
      <c r="W55" t="inlineStr">
        <is>
          <t>1993-02-24</t>
        </is>
      </c>
      <c r="X55" t="inlineStr">
        <is>
          <t>1993-02-24</t>
        </is>
      </c>
      <c r="Y55" t="n">
        <v>109</v>
      </c>
      <c r="Z55" t="n">
        <v>101</v>
      </c>
      <c r="AA55" t="n">
        <v>189</v>
      </c>
      <c r="AB55" t="n">
        <v>2</v>
      </c>
      <c r="AC55" t="n">
        <v>2</v>
      </c>
      <c r="AD55" t="n">
        <v>6</v>
      </c>
      <c r="AE55" t="n">
        <v>8</v>
      </c>
      <c r="AF55" t="n">
        <v>4</v>
      </c>
      <c r="AG55" t="n">
        <v>5</v>
      </c>
      <c r="AH55" t="n">
        <v>0</v>
      </c>
      <c r="AI55" t="n">
        <v>0</v>
      </c>
      <c r="AJ55" t="n">
        <v>3</v>
      </c>
      <c r="AK55" t="n">
        <v>5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HYPERLINK("https://creighton-primo.hosted.exlibrisgroup.com/primo-explore/search?tab=default_tab&amp;search_scope=EVERYTHING&amp;vid=01CRU&amp;lang=en_US&amp;offset=0&amp;query=any,contains,991000278489702656","Catalog Record")</f>
        <v/>
      </c>
      <c r="AT55">
        <f>HYPERLINK("http://www.worldcat.org/oclc/9904685","WorldCat Record")</f>
        <v/>
      </c>
      <c r="AU55" t="inlineStr">
        <is>
          <t>5467130:eng</t>
        </is>
      </c>
      <c r="AV55" t="inlineStr">
        <is>
          <t>9904685</t>
        </is>
      </c>
      <c r="AW55" t="inlineStr">
        <is>
          <t>991000278489702656</t>
        </is>
      </c>
      <c r="AX55" t="inlineStr">
        <is>
          <t>991000278489702656</t>
        </is>
      </c>
      <c r="AY55" t="inlineStr">
        <is>
          <t>2265211340002656</t>
        </is>
      </c>
      <c r="AZ55" t="inlineStr">
        <is>
          <t>BOOK</t>
        </is>
      </c>
      <c r="BC55" t="inlineStr">
        <is>
          <t>32285001528578</t>
        </is>
      </c>
      <c r="BD55" t="inlineStr">
        <is>
          <t>893701992</t>
        </is>
      </c>
    </row>
    <row r="56">
      <c r="A56" t="inlineStr">
        <is>
          <t>No</t>
        </is>
      </c>
      <c r="B56" t="inlineStr">
        <is>
          <t>RJ216 .P77 1973</t>
        </is>
      </c>
      <c r="C56" t="inlineStr">
        <is>
          <t>0                      RJ 0216000P  77          1973</t>
        </is>
      </c>
      <c r="D56" t="inlineStr">
        <is>
          <t>Nursing your baby / by Karen Pryor. Drawings by Jana Sparks.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Pryor, Karen, 1932-</t>
        </is>
      </c>
      <c r="L56" t="inlineStr">
        <is>
          <t>New York : Harper &amp; Row, [c1973]</t>
        </is>
      </c>
      <c r="M56" t="inlineStr">
        <is>
          <t>1973</t>
        </is>
      </c>
      <c r="N56" t="inlineStr">
        <is>
          <t>New rev.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RJ </t>
        </is>
      </c>
      <c r="S56" t="n">
        <v>7</v>
      </c>
      <c r="T56" t="n">
        <v>7</v>
      </c>
      <c r="U56" t="inlineStr">
        <is>
          <t>2000-08-28</t>
        </is>
      </c>
      <c r="V56" t="inlineStr">
        <is>
          <t>2000-08-28</t>
        </is>
      </c>
      <c r="W56" t="inlineStr">
        <is>
          <t>1992-03-12</t>
        </is>
      </c>
      <c r="X56" t="inlineStr">
        <is>
          <t>1992-03-12</t>
        </is>
      </c>
      <c r="Y56" t="n">
        <v>283</v>
      </c>
      <c r="Z56" t="n">
        <v>265</v>
      </c>
      <c r="AA56" t="n">
        <v>722</v>
      </c>
      <c r="AB56" t="n">
        <v>3</v>
      </c>
      <c r="AC56" t="n">
        <v>6</v>
      </c>
      <c r="AD56" t="n">
        <v>3</v>
      </c>
      <c r="AE56" t="n">
        <v>7</v>
      </c>
      <c r="AF56" t="n">
        <v>1</v>
      </c>
      <c r="AG56" t="n">
        <v>3</v>
      </c>
      <c r="AH56" t="n">
        <v>0</v>
      </c>
      <c r="AI56" t="n">
        <v>0</v>
      </c>
      <c r="AJ56" t="n">
        <v>1</v>
      </c>
      <c r="AK56" t="n">
        <v>3</v>
      </c>
      <c r="AL56" t="n">
        <v>1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HYPERLINK("http://catalog.hathitrust.org/Record/001578924","HathiTrust Record")</f>
        <v/>
      </c>
      <c r="AS56">
        <f>HYPERLINK("https://creighton-primo.hosted.exlibrisgroup.com/primo-explore/search?tab=default_tab&amp;search_scope=EVERYTHING&amp;vid=01CRU&amp;lang=en_US&amp;offset=0&amp;query=any,contains,991003548549702656","Catalog Record")</f>
        <v/>
      </c>
      <c r="AT56">
        <f>HYPERLINK("http://www.worldcat.org/oclc/1115939","WorldCat Record")</f>
        <v/>
      </c>
      <c r="AU56" t="inlineStr">
        <is>
          <t>1552939:eng</t>
        </is>
      </c>
      <c r="AV56" t="inlineStr">
        <is>
          <t>1115939</t>
        </is>
      </c>
      <c r="AW56" t="inlineStr">
        <is>
          <t>991003548549702656</t>
        </is>
      </c>
      <c r="AX56" t="inlineStr">
        <is>
          <t>991003548549702656</t>
        </is>
      </c>
      <c r="AY56" t="inlineStr">
        <is>
          <t>2267016710002656</t>
        </is>
      </c>
      <c r="AZ56" t="inlineStr">
        <is>
          <t>BOOK</t>
        </is>
      </c>
      <c r="BB56" t="inlineStr">
        <is>
          <t>9780060134433</t>
        </is>
      </c>
      <c r="BC56" t="inlineStr">
        <is>
          <t>32285000998160</t>
        </is>
      </c>
      <c r="BD56" t="inlineStr">
        <is>
          <t>893717781</t>
        </is>
      </c>
    </row>
    <row r="57">
      <c r="A57" t="inlineStr">
        <is>
          <t>No</t>
        </is>
      </c>
      <c r="B57" t="inlineStr">
        <is>
          <t>RJ216 .R835 2008</t>
        </is>
      </c>
      <c r="C57" t="inlineStr">
        <is>
          <t>0                      RJ 0216000R  835         2008</t>
        </is>
      </c>
      <c r="D57" t="inlineStr">
        <is>
          <t>The ABCs of breastfeeding : everything a mom needs to know for a happy nursing experience / Stacey H. Rubin.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Rubin, Stacey H.</t>
        </is>
      </c>
      <c r="L57" t="inlineStr">
        <is>
          <t>New York : AMACOM, c2008.</t>
        </is>
      </c>
      <c r="M57" t="inlineStr">
        <is>
          <t>2008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RJ </t>
        </is>
      </c>
      <c r="S57" t="n">
        <v>2</v>
      </c>
      <c r="T57" t="n">
        <v>2</v>
      </c>
      <c r="U57" t="inlineStr">
        <is>
          <t>2008-03-03</t>
        </is>
      </c>
      <c r="V57" t="inlineStr">
        <is>
          <t>2008-03-03</t>
        </is>
      </c>
      <c r="W57" t="inlineStr">
        <is>
          <t>2008-03-03</t>
        </is>
      </c>
      <c r="X57" t="inlineStr">
        <is>
          <t>2008-03-03</t>
        </is>
      </c>
      <c r="Y57" t="n">
        <v>294</v>
      </c>
      <c r="Z57" t="n">
        <v>255</v>
      </c>
      <c r="AA57" t="n">
        <v>689</v>
      </c>
      <c r="AB57" t="n">
        <v>4</v>
      </c>
      <c r="AC57" t="n">
        <v>16</v>
      </c>
      <c r="AD57" t="n">
        <v>2</v>
      </c>
      <c r="AE57" t="n">
        <v>18</v>
      </c>
      <c r="AF57" t="n">
        <v>1</v>
      </c>
      <c r="AG57" t="n">
        <v>8</v>
      </c>
      <c r="AH57" t="n">
        <v>0</v>
      </c>
      <c r="AI57" t="n">
        <v>2</v>
      </c>
      <c r="AJ57" t="n">
        <v>1</v>
      </c>
      <c r="AK57" t="n">
        <v>2</v>
      </c>
      <c r="AL57" t="n">
        <v>1</v>
      </c>
      <c r="AM57" t="n">
        <v>9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HYPERLINK("https://creighton-primo.hosted.exlibrisgroup.com/primo-explore/search?tab=default_tab&amp;search_scope=EVERYTHING&amp;vid=01CRU&amp;lang=en_US&amp;offset=0&amp;query=any,contains,991005186459702656","Catalog Record")</f>
        <v/>
      </c>
      <c r="AT57">
        <f>HYPERLINK("http://www.worldcat.org/oclc/154772612","WorldCat Record")</f>
        <v/>
      </c>
      <c r="AU57" t="inlineStr">
        <is>
          <t>793004651:eng</t>
        </is>
      </c>
      <c r="AV57" t="inlineStr">
        <is>
          <t>154772612</t>
        </is>
      </c>
      <c r="AW57" t="inlineStr">
        <is>
          <t>991005186459702656</t>
        </is>
      </c>
      <c r="AX57" t="inlineStr">
        <is>
          <t>991005186459702656</t>
        </is>
      </c>
      <c r="AY57" t="inlineStr">
        <is>
          <t>2267853530002656</t>
        </is>
      </c>
      <c r="AZ57" t="inlineStr">
        <is>
          <t>BOOK</t>
        </is>
      </c>
      <c r="BB57" t="inlineStr">
        <is>
          <t>9780814480571</t>
        </is>
      </c>
      <c r="BC57" t="inlineStr">
        <is>
          <t>32285005395552</t>
        </is>
      </c>
      <c r="BD57" t="inlineStr">
        <is>
          <t>893707411</t>
        </is>
      </c>
    </row>
    <row r="58">
      <c r="A58" t="inlineStr">
        <is>
          <t>No</t>
        </is>
      </c>
      <c r="B58" t="inlineStr">
        <is>
          <t>RJ242 .B47 1989</t>
        </is>
      </c>
      <c r="C58" t="inlineStr">
        <is>
          <t>0                      RJ 0242000B  47          1989</t>
        </is>
      </c>
      <c r="D58" t="inlineStr">
        <is>
          <t>Biting off the bracelet : a study of children in hospitals / Ann Hill Beuf.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Beuf, Ann H., 1938-</t>
        </is>
      </c>
      <c r="L58" t="inlineStr">
        <is>
          <t>Philadelphia : University of Pennsylvania Press, c1989.</t>
        </is>
      </c>
      <c r="M58" t="inlineStr">
        <is>
          <t>1989</t>
        </is>
      </c>
      <c r="N58" t="inlineStr">
        <is>
          <t>2nd ed.</t>
        </is>
      </c>
      <c r="O58" t="inlineStr">
        <is>
          <t>eng</t>
        </is>
      </c>
      <c r="P58" t="inlineStr">
        <is>
          <t>pau</t>
        </is>
      </c>
      <c r="R58" t="inlineStr">
        <is>
          <t xml:space="preserve">RJ </t>
        </is>
      </c>
      <c r="S58" t="n">
        <v>5</v>
      </c>
      <c r="T58" t="n">
        <v>5</v>
      </c>
      <c r="U58" t="inlineStr">
        <is>
          <t>1997-12-01</t>
        </is>
      </c>
      <c r="V58" t="inlineStr">
        <is>
          <t>1997-12-01</t>
        </is>
      </c>
      <c r="W58" t="inlineStr">
        <is>
          <t>1990-06-21</t>
        </is>
      </c>
      <c r="X58" t="inlineStr">
        <is>
          <t>1990-06-21</t>
        </is>
      </c>
      <c r="Y58" t="n">
        <v>225</v>
      </c>
      <c r="Z58" t="n">
        <v>197</v>
      </c>
      <c r="AA58" t="n">
        <v>781</v>
      </c>
      <c r="AB58" t="n">
        <v>2</v>
      </c>
      <c r="AC58" t="n">
        <v>4</v>
      </c>
      <c r="AD58" t="n">
        <v>7</v>
      </c>
      <c r="AE58" t="n">
        <v>27</v>
      </c>
      <c r="AF58" t="n">
        <v>3</v>
      </c>
      <c r="AG58" t="n">
        <v>11</v>
      </c>
      <c r="AH58" t="n">
        <v>2</v>
      </c>
      <c r="AI58" t="n">
        <v>8</v>
      </c>
      <c r="AJ58" t="n">
        <v>5</v>
      </c>
      <c r="AK58" t="n">
        <v>15</v>
      </c>
      <c r="AL58" t="n">
        <v>1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HYPERLINK("https://creighton-primo.hosted.exlibrisgroup.com/primo-explore/search?tab=default_tab&amp;search_scope=EVERYTHING&amp;vid=01CRU&amp;lang=en_US&amp;offset=0&amp;query=any,contains,991001286839702656","Catalog Record")</f>
        <v/>
      </c>
      <c r="AT58">
        <f>HYPERLINK("http://www.worldcat.org/oclc/17954715","WorldCat Record")</f>
        <v/>
      </c>
      <c r="AU58" t="inlineStr">
        <is>
          <t>472461:eng</t>
        </is>
      </c>
      <c r="AV58" t="inlineStr">
        <is>
          <t>17954715</t>
        </is>
      </c>
      <c r="AW58" t="inlineStr">
        <is>
          <t>991001286839702656</t>
        </is>
      </c>
      <c r="AX58" t="inlineStr">
        <is>
          <t>991001286839702656</t>
        </is>
      </c>
      <c r="AY58" t="inlineStr">
        <is>
          <t>2264401260002656</t>
        </is>
      </c>
      <c r="AZ58" t="inlineStr">
        <is>
          <t>BOOK</t>
        </is>
      </c>
      <c r="BB58" t="inlineStr">
        <is>
          <t>9780812212785</t>
        </is>
      </c>
      <c r="BC58" t="inlineStr">
        <is>
          <t>32285000179084</t>
        </is>
      </c>
      <c r="BD58" t="inlineStr">
        <is>
          <t>893590174</t>
        </is>
      </c>
    </row>
    <row r="59">
      <c r="A59" t="inlineStr">
        <is>
          <t>No</t>
        </is>
      </c>
      <c r="B59" t="inlineStr">
        <is>
          <t>RJ242 .H35</t>
        </is>
      </c>
      <c r="C59" t="inlineStr">
        <is>
          <t>0                      RJ 0242000H  35</t>
        </is>
      </c>
      <c r="D59" t="inlineStr">
        <is>
          <t>Parents and children in the hospital; the family's role in pediatrics [by] Carol B. Hardgrove [and] Rosemary B. Dawson.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Hardgrove, Carol B.</t>
        </is>
      </c>
      <c r="L59" t="inlineStr">
        <is>
          <t>Boston, Little, Brown [1972]</t>
        </is>
      </c>
      <c r="M59" t="inlineStr">
        <is>
          <t>1972</t>
        </is>
      </c>
      <c r="N59" t="inlineStr">
        <is>
          <t>[1st ed.]</t>
        </is>
      </c>
      <c r="O59" t="inlineStr">
        <is>
          <t>eng</t>
        </is>
      </c>
      <c r="P59" t="inlineStr">
        <is>
          <t>mau</t>
        </is>
      </c>
      <c r="R59" t="inlineStr">
        <is>
          <t xml:space="preserve">RJ </t>
        </is>
      </c>
      <c r="S59" t="n">
        <v>5</v>
      </c>
      <c r="T59" t="n">
        <v>5</v>
      </c>
      <c r="U59" t="inlineStr">
        <is>
          <t>1996-11-26</t>
        </is>
      </c>
      <c r="V59" t="inlineStr">
        <is>
          <t>1996-11-26</t>
        </is>
      </c>
      <c r="W59" t="inlineStr">
        <is>
          <t>1992-08-12</t>
        </is>
      </c>
      <c r="X59" t="inlineStr">
        <is>
          <t>1992-08-12</t>
        </is>
      </c>
      <c r="Y59" t="n">
        <v>264</v>
      </c>
      <c r="Z59" t="n">
        <v>216</v>
      </c>
      <c r="AA59" t="n">
        <v>219</v>
      </c>
      <c r="AB59" t="n">
        <v>2</v>
      </c>
      <c r="AC59" t="n">
        <v>2</v>
      </c>
      <c r="AD59" t="n">
        <v>3</v>
      </c>
      <c r="AE59" t="n">
        <v>3</v>
      </c>
      <c r="AF59" t="n">
        <v>0</v>
      </c>
      <c r="AG59" t="n">
        <v>0</v>
      </c>
      <c r="AH59" t="n">
        <v>0</v>
      </c>
      <c r="AI59" t="n">
        <v>0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HYPERLINK("http://catalog.hathitrust.org/Record/001570408","HathiTrust Record")</f>
        <v/>
      </c>
      <c r="AS59">
        <f>HYPERLINK("https://creighton-primo.hosted.exlibrisgroup.com/primo-explore/search?tab=default_tab&amp;search_scope=EVERYTHING&amp;vid=01CRU&amp;lang=en_US&amp;offset=0&amp;query=any,contains,991005264999702656","Catalog Record")</f>
        <v/>
      </c>
      <c r="AT59">
        <f>HYPERLINK("http://www.worldcat.org/oclc/340979","WorldCat Record")</f>
        <v/>
      </c>
      <c r="AU59" t="inlineStr">
        <is>
          <t>53783336:eng</t>
        </is>
      </c>
      <c r="AV59" t="inlineStr">
        <is>
          <t>340979</t>
        </is>
      </c>
      <c r="AW59" t="inlineStr">
        <is>
          <t>991005264999702656</t>
        </is>
      </c>
      <c r="AX59" t="inlineStr">
        <is>
          <t>991005264999702656</t>
        </is>
      </c>
      <c r="AY59" t="inlineStr">
        <is>
          <t>2263058780002656</t>
        </is>
      </c>
      <c r="AZ59" t="inlineStr">
        <is>
          <t>BOOK</t>
        </is>
      </c>
      <c r="BB59" t="inlineStr">
        <is>
          <t>9780031634603</t>
        </is>
      </c>
      <c r="BC59" t="inlineStr">
        <is>
          <t>32285001243715</t>
        </is>
      </c>
      <c r="BD59" t="inlineStr">
        <is>
          <t>893527200</t>
        </is>
      </c>
    </row>
    <row r="60">
      <c r="A60" t="inlineStr">
        <is>
          <t>No</t>
        </is>
      </c>
      <c r="B60" t="inlineStr">
        <is>
          <t>RJ242 .P47 1980</t>
        </is>
      </c>
      <c r="C60" t="inlineStr">
        <is>
          <t>0                      RJ 0242000P  47          1980</t>
        </is>
      </c>
      <c r="D60" t="inlineStr">
        <is>
          <t>Emotional care of hospitalized children : an environmental approach / Madeline Petrillo and Sirgay Sanger.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Petrillo, Madeline, 1935-</t>
        </is>
      </c>
      <c r="L60" t="inlineStr">
        <is>
          <t>Philadelphia : Lippincott, c1980.</t>
        </is>
      </c>
      <c r="M60" t="inlineStr">
        <is>
          <t>1980</t>
        </is>
      </c>
      <c r="N60" t="inlineStr">
        <is>
          <t>2d ed.</t>
        </is>
      </c>
      <c r="O60" t="inlineStr">
        <is>
          <t>eng</t>
        </is>
      </c>
      <c r="P60" t="inlineStr">
        <is>
          <t>pau</t>
        </is>
      </c>
      <c r="R60" t="inlineStr">
        <is>
          <t xml:space="preserve">RJ </t>
        </is>
      </c>
      <c r="S60" t="n">
        <v>3</v>
      </c>
      <c r="T60" t="n">
        <v>3</v>
      </c>
      <c r="U60" t="inlineStr">
        <is>
          <t>2004-05-14</t>
        </is>
      </c>
      <c r="V60" t="inlineStr">
        <is>
          <t>2004-05-14</t>
        </is>
      </c>
      <c r="W60" t="inlineStr">
        <is>
          <t>1993-02-24</t>
        </is>
      </c>
      <c r="X60" t="inlineStr">
        <is>
          <t>1993-02-24</t>
        </is>
      </c>
      <c r="Y60" t="n">
        <v>423</v>
      </c>
      <c r="Z60" t="n">
        <v>350</v>
      </c>
      <c r="AA60" t="n">
        <v>527</v>
      </c>
      <c r="AB60" t="n">
        <v>6</v>
      </c>
      <c r="AC60" t="n">
        <v>7</v>
      </c>
      <c r="AD60" t="n">
        <v>12</v>
      </c>
      <c r="AE60" t="n">
        <v>18</v>
      </c>
      <c r="AF60" t="n">
        <v>4</v>
      </c>
      <c r="AG60" t="n">
        <v>7</v>
      </c>
      <c r="AH60" t="n">
        <v>2</v>
      </c>
      <c r="AI60" t="n">
        <v>3</v>
      </c>
      <c r="AJ60" t="n">
        <v>8</v>
      </c>
      <c r="AK60" t="n">
        <v>10</v>
      </c>
      <c r="AL60" t="n">
        <v>2</v>
      </c>
      <c r="AM60" t="n">
        <v>2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HYPERLINK("http://catalog.hathitrust.org/Record/000705605","HathiTrust Record")</f>
        <v/>
      </c>
      <c r="AS60">
        <f>HYPERLINK("https://creighton-primo.hosted.exlibrisgroup.com/primo-explore/search?tab=default_tab&amp;search_scope=EVERYTHING&amp;vid=01CRU&amp;lang=en_US&amp;offset=0&amp;query=any,contains,991004896159702656","Catalog Record")</f>
        <v/>
      </c>
      <c r="AT60">
        <f>HYPERLINK("http://www.worldcat.org/oclc/5894014","WorldCat Record")</f>
        <v/>
      </c>
      <c r="AU60" t="inlineStr">
        <is>
          <t>53956568:eng</t>
        </is>
      </c>
      <c r="AV60" t="inlineStr">
        <is>
          <t>5894014</t>
        </is>
      </c>
      <c r="AW60" t="inlineStr">
        <is>
          <t>991004896159702656</t>
        </is>
      </c>
      <c r="AX60" t="inlineStr">
        <is>
          <t>991004896159702656</t>
        </is>
      </c>
      <c r="AY60" t="inlineStr">
        <is>
          <t>2264405180002656</t>
        </is>
      </c>
      <c r="AZ60" t="inlineStr">
        <is>
          <t>BOOK</t>
        </is>
      </c>
      <c r="BB60" t="inlineStr">
        <is>
          <t>9780397543434</t>
        </is>
      </c>
      <c r="BC60" t="inlineStr">
        <is>
          <t>32285001528602</t>
        </is>
      </c>
      <c r="BD60" t="inlineStr">
        <is>
          <t>893606570</t>
        </is>
      </c>
    </row>
    <row r="61">
      <c r="A61" t="inlineStr">
        <is>
          <t>No</t>
        </is>
      </c>
      <c r="B61" t="inlineStr">
        <is>
          <t>RJ242 .P73 1983</t>
        </is>
      </c>
      <c r="C61" t="inlineStr">
        <is>
          <t>0                      RJ 0242000P  73          1983</t>
        </is>
      </c>
      <c r="D61" t="inlineStr">
        <is>
          <t>Preparation of young healthy children for possible hospitalization : the issues / edited by Pat Azarnoff.</t>
        </is>
      </c>
      <c r="F61" t="inlineStr">
        <is>
          <t>No</t>
        </is>
      </c>
      <c r="G61" t="inlineStr">
        <is>
          <t>1</t>
        </is>
      </c>
      <c r="H61" t="inlineStr">
        <is>
          <t>Yes</t>
        </is>
      </c>
      <c r="I61" t="inlineStr">
        <is>
          <t>No</t>
        </is>
      </c>
      <c r="J61" t="inlineStr">
        <is>
          <t>0</t>
        </is>
      </c>
      <c r="L61" t="inlineStr">
        <is>
          <t>Santa Monica, CA : Pediatric Projects, c1983.</t>
        </is>
      </c>
      <c r="M61" t="inlineStr">
        <is>
          <t>1983</t>
        </is>
      </c>
      <c r="O61" t="inlineStr">
        <is>
          <t>eng</t>
        </is>
      </c>
      <c r="P61" t="inlineStr">
        <is>
          <t>cau</t>
        </is>
      </c>
      <c r="Q61" t="inlineStr">
        <is>
          <t>Monograph (Pediatric Projects Inc.) ; no. 1</t>
        </is>
      </c>
      <c r="R61" t="inlineStr">
        <is>
          <t xml:space="preserve">RJ </t>
        </is>
      </c>
      <c r="S61" t="n">
        <v>2</v>
      </c>
      <c r="T61" t="n">
        <v>3</v>
      </c>
      <c r="U61" t="inlineStr">
        <is>
          <t>2008-02-25</t>
        </is>
      </c>
      <c r="V61" t="inlineStr">
        <is>
          <t>2008-02-25</t>
        </is>
      </c>
      <c r="W61" t="inlineStr">
        <is>
          <t>1993-02-24</t>
        </is>
      </c>
      <c r="X61" t="inlineStr">
        <is>
          <t>1993-02-24</t>
        </is>
      </c>
      <c r="Y61" t="n">
        <v>48</v>
      </c>
      <c r="Z61" t="n">
        <v>42</v>
      </c>
      <c r="AA61" t="n">
        <v>44</v>
      </c>
      <c r="AB61" t="n">
        <v>2</v>
      </c>
      <c r="AC61" t="n">
        <v>2</v>
      </c>
      <c r="AD61" t="n">
        <v>1</v>
      </c>
      <c r="AE61" t="n">
        <v>1</v>
      </c>
      <c r="AF61" t="n">
        <v>1</v>
      </c>
      <c r="AG61" t="n">
        <v>1</v>
      </c>
      <c r="AH61" t="n">
        <v>0</v>
      </c>
      <c r="AI61" t="n">
        <v>0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HYPERLINK("https://creighton-primo.hosted.exlibrisgroup.com/primo-explore/search?tab=default_tab&amp;search_scope=EVERYTHING&amp;vid=01CRU&amp;lang=en_US&amp;offset=0&amp;query=any,contains,991001785159702656","Catalog Record")</f>
        <v/>
      </c>
      <c r="AT61">
        <f>HYPERLINK("http://www.worldcat.org/oclc/9504000","WorldCat Record")</f>
        <v/>
      </c>
      <c r="AU61" t="inlineStr">
        <is>
          <t>5532146786:eng</t>
        </is>
      </c>
      <c r="AV61" t="inlineStr">
        <is>
          <t>9504000</t>
        </is>
      </c>
      <c r="AW61" t="inlineStr">
        <is>
          <t>991001785159702656</t>
        </is>
      </c>
      <c r="AX61" t="inlineStr">
        <is>
          <t>991001785159702656</t>
        </is>
      </c>
      <c r="AY61" t="inlineStr">
        <is>
          <t>2272217580002656</t>
        </is>
      </c>
      <c r="AZ61" t="inlineStr">
        <is>
          <t>BOOK</t>
        </is>
      </c>
      <c r="BB61" t="inlineStr">
        <is>
          <t>9780912599007</t>
        </is>
      </c>
      <c r="BC61" t="inlineStr">
        <is>
          <t>32285001528610</t>
        </is>
      </c>
      <c r="BD61" t="inlineStr">
        <is>
          <t>893509920</t>
        </is>
      </c>
    </row>
    <row r="62">
      <c r="A62" t="inlineStr">
        <is>
          <t>No</t>
        </is>
      </c>
      <c r="B62" t="inlineStr">
        <is>
          <t>RJ245 .H37 1983</t>
        </is>
      </c>
      <c r="C62" t="inlineStr">
        <is>
          <t>0                      RJ 0245000H  37          1983</t>
        </is>
      </c>
      <c r="D62" t="inlineStr">
        <is>
          <t>Health promotion of the child with long-term illness / [edited by] Shirley Steele.</t>
        </is>
      </c>
      <c r="F62" t="inlineStr">
        <is>
          <t>No</t>
        </is>
      </c>
      <c r="G62" t="inlineStr">
        <is>
          <t>1</t>
        </is>
      </c>
      <c r="H62" t="inlineStr">
        <is>
          <t>Yes</t>
        </is>
      </c>
      <c r="I62" t="inlineStr">
        <is>
          <t>No</t>
        </is>
      </c>
      <c r="J62" t="inlineStr">
        <is>
          <t>0</t>
        </is>
      </c>
      <c r="L62" t="inlineStr">
        <is>
          <t>Norwalk, Conn. : Appleton-Century-Crofts, c1983.</t>
        </is>
      </c>
      <c r="M62" t="inlineStr">
        <is>
          <t>1983</t>
        </is>
      </c>
      <c r="N62" t="inlineStr">
        <is>
          <t>3rd ed.</t>
        </is>
      </c>
      <c r="O62" t="inlineStr">
        <is>
          <t>eng</t>
        </is>
      </c>
      <c r="P62" t="inlineStr">
        <is>
          <t>ctu</t>
        </is>
      </c>
      <c r="R62" t="inlineStr">
        <is>
          <t xml:space="preserve">RJ </t>
        </is>
      </c>
      <c r="S62" t="n">
        <v>4</v>
      </c>
      <c r="T62" t="n">
        <v>8</v>
      </c>
      <c r="U62" t="inlineStr">
        <is>
          <t>1994-02-02</t>
        </is>
      </c>
      <c r="V62" t="inlineStr">
        <is>
          <t>1998-03-24</t>
        </is>
      </c>
      <c r="W62" t="inlineStr">
        <is>
          <t>1992-03-26</t>
        </is>
      </c>
      <c r="X62" t="inlineStr">
        <is>
          <t>1992-03-26</t>
        </is>
      </c>
      <c r="Y62" t="n">
        <v>234</v>
      </c>
      <c r="Z62" t="n">
        <v>193</v>
      </c>
      <c r="AA62" t="n">
        <v>195</v>
      </c>
      <c r="AB62" t="n">
        <v>4</v>
      </c>
      <c r="AC62" t="n">
        <v>4</v>
      </c>
      <c r="AD62" t="n">
        <v>5</v>
      </c>
      <c r="AE62" t="n">
        <v>5</v>
      </c>
      <c r="AF62" t="n">
        <v>1</v>
      </c>
      <c r="AG62" t="n">
        <v>1</v>
      </c>
      <c r="AH62" t="n">
        <v>0</v>
      </c>
      <c r="AI62" t="n">
        <v>0</v>
      </c>
      <c r="AJ62" t="n">
        <v>3</v>
      </c>
      <c r="AK62" t="n">
        <v>3</v>
      </c>
      <c r="AL62" t="n">
        <v>1</v>
      </c>
      <c r="AM62" t="n">
        <v>1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HYPERLINK("http://catalog.hathitrust.org/Record/000118642","HathiTrust Record")</f>
        <v/>
      </c>
      <c r="AS62">
        <f>HYPERLINK("https://creighton-primo.hosted.exlibrisgroup.com/primo-explore/search?tab=default_tab&amp;search_scope=EVERYTHING&amp;vid=01CRU&amp;lang=en_US&amp;offset=0&amp;query=any,contains,991001759349702656","Catalog Record")</f>
        <v/>
      </c>
      <c r="AT62">
        <f>HYPERLINK("http://www.worldcat.org/oclc/8866177","WorldCat Record")</f>
        <v/>
      </c>
      <c r="AU62" t="inlineStr">
        <is>
          <t>42754805:eng</t>
        </is>
      </c>
      <c r="AV62" t="inlineStr">
        <is>
          <t>8866177</t>
        </is>
      </c>
      <c r="AW62" t="inlineStr">
        <is>
          <t>991001759349702656</t>
        </is>
      </c>
      <c r="AX62" t="inlineStr">
        <is>
          <t>991001759349702656</t>
        </is>
      </c>
      <c r="AY62" t="inlineStr">
        <is>
          <t>2262478580002656</t>
        </is>
      </c>
      <c r="AZ62" t="inlineStr">
        <is>
          <t>BOOK</t>
        </is>
      </c>
      <c r="BB62" t="inlineStr">
        <is>
          <t>9780838536674</t>
        </is>
      </c>
      <c r="BC62" t="inlineStr">
        <is>
          <t>32285001045078</t>
        </is>
      </c>
      <c r="BD62" t="inlineStr">
        <is>
          <t>893408330</t>
        </is>
      </c>
    </row>
    <row r="63">
      <c r="A63" t="inlineStr">
        <is>
          <t>No</t>
        </is>
      </c>
      <c r="B63" t="inlineStr">
        <is>
          <t>RJ249 .C487 1991</t>
        </is>
      </c>
      <c r="C63" t="inlineStr">
        <is>
          <t>0                      RJ 0249000C  487         1991</t>
        </is>
      </c>
      <c r="D63" t="inlineStr">
        <is>
          <t>Children and death / edited by Danai Papadatou, Costas Papadatos.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New York : Hemisphere Pub. Corp., c1991.</t>
        </is>
      </c>
      <c r="M63" t="inlineStr">
        <is>
          <t>1991</t>
        </is>
      </c>
      <c r="O63" t="inlineStr">
        <is>
          <t>eng</t>
        </is>
      </c>
      <c r="P63" t="inlineStr">
        <is>
          <t>nyu</t>
        </is>
      </c>
      <c r="Q63" t="inlineStr">
        <is>
          <t>Series in death education, aging, and health care</t>
        </is>
      </c>
      <c r="R63" t="inlineStr">
        <is>
          <t xml:space="preserve">RJ </t>
        </is>
      </c>
      <c r="S63" t="n">
        <v>24</v>
      </c>
      <c r="T63" t="n">
        <v>24</v>
      </c>
      <c r="U63" t="inlineStr">
        <is>
          <t>2000-10-11</t>
        </is>
      </c>
      <c r="V63" t="inlineStr">
        <is>
          <t>2000-10-11</t>
        </is>
      </c>
      <c r="W63" t="inlineStr">
        <is>
          <t>1992-08-04</t>
        </is>
      </c>
      <c r="X63" t="inlineStr">
        <is>
          <t>1992-08-04</t>
        </is>
      </c>
      <c r="Y63" t="n">
        <v>337</v>
      </c>
      <c r="Z63" t="n">
        <v>244</v>
      </c>
      <c r="AA63" t="n">
        <v>267</v>
      </c>
      <c r="AB63" t="n">
        <v>2</v>
      </c>
      <c r="AC63" t="n">
        <v>2</v>
      </c>
      <c r="AD63" t="n">
        <v>8</v>
      </c>
      <c r="AE63" t="n">
        <v>8</v>
      </c>
      <c r="AF63" t="n">
        <v>1</v>
      </c>
      <c r="AG63" t="n">
        <v>1</v>
      </c>
      <c r="AH63" t="n">
        <v>3</v>
      </c>
      <c r="AI63" t="n">
        <v>3</v>
      </c>
      <c r="AJ63" t="n">
        <v>5</v>
      </c>
      <c r="AK63" t="n">
        <v>5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HYPERLINK("https://creighton-primo.hosted.exlibrisgroup.com/primo-explore/search?tab=default_tab&amp;search_scope=EVERYTHING&amp;vid=01CRU&amp;lang=en_US&amp;offset=0&amp;query=any,contains,991001796269702656","Catalog Record")</f>
        <v/>
      </c>
      <c r="AT63">
        <f>HYPERLINK("http://www.worldcat.org/oclc/22597421","WorldCat Record")</f>
        <v/>
      </c>
      <c r="AU63" t="inlineStr">
        <is>
          <t>375372253:eng</t>
        </is>
      </c>
      <c r="AV63" t="inlineStr">
        <is>
          <t>22597421</t>
        </is>
      </c>
      <c r="AW63" t="inlineStr">
        <is>
          <t>991001796269702656</t>
        </is>
      </c>
      <c r="AX63" t="inlineStr">
        <is>
          <t>991001796269702656</t>
        </is>
      </c>
      <c r="AY63" t="inlineStr">
        <is>
          <t>2254937090002656</t>
        </is>
      </c>
      <c r="AZ63" t="inlineStr">
        <is>
          <t>BOOK</t>
        </is>
      </c>
      <c r="BB63" t="inlineStr">
        <is>
          <t>9781560320432</t>
        </is>
      </c>
      <c r="BC63" t="inlineStr">
        <is>
          <t>32285001196582</t>
        </is>
      </c>
      <c r="BD63" t="inlineStr">
        <is>
          <t>893522862</t>
        </is>
      </c>
    </row>
    <row r="64">
      <c r="A64" t="inlineStr">
        <is>
          <t>No</t>
        </is>
      </c>
      <c r="B64" t="inlineStr">
        <is>
          <t>RJ249 .H67 1985</t>
        </is>
      </c>
      <c r="C64" t="inlineStr">
        <is>
          <t>0                      RJ 0249000H  67          1985</t>
        </is>
      </c>
      <c r="D64" t="inlineStr">
        <is>
          <t>Hospice approaches to pediatric care / Charles A. Corr, Donna M. Corr, editors.</t>
        </is>
      </c>
      <c r="F64" t="inlineStr">
        <is>
          <t>No</t>
        </is>
      </c>
      <c r="G64" t="inlineStr">
        <is>
          <t>1</t>
        </is>
      </c>
      <c r="H64" t="inlineStr">
        <is>
          <t>Yes</t>
        </is>
      </c>
      <c r="I64" t="inlineStr">
        <is>
          <t>No</t>
        </is>
      </c>
      <c r="J64" t="inlineStr">
        <is>
          <t>0</t>
        </is>
      </c>
      <c r="L64" t="inlineStr">
        <is>
          <t>New York : Springer Pub. Co., c1985.</t>
        </is>
      </c>
      <c r="M64" t="inlineStr">
        <is>
          <t>1985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RJ </t>
        </is>
      </c>
      <c r="S64" t="n">
        <v>8</v>
      </c>
      <c r="T64" t="n">
        <v>8</v>
      </c>
      <c r="U64" t="inlineStr">
        <is>
          <t>1996-10-07</t>
        </is>
      </c>
      <c r="V64" t="inlineStr">
        <is>
          <t>1996-10-07</t>
        </is>
      </c>
      <c r="W64" t="inlineStr">
        <is>
          <t>1990-03-20</t>
        </is>
      </c>
      <c r="X64" t="inlineStr">
        <is>
          <t>1990-03-20</t>
        </is>
      </c>
      <c r="Y64" t="n">
        <v>333</v>
      </c>
      <c r="Z64" t="n">
        <v>289</v>
      </c>
      <c r="AA64" t="n">
        <v>292</v>
      </c>
      <c r="AB64" t="n">
        <v>4</v>
      </c>
      <c r="AC64" t="n">
        <v>4</v>
      </c>
      <c r="AD64" t="n">
        <v>9</v>
      </c>
      <c r="AE64" t="n">
        <v>9</v>
      </c>
      <c r="AF64" t="n">
        <v>2</v>
      </c>
      <c r="AG64" t="n">
        <v>2</v>
      </c>
      <c r="AH64" t="n">
        <v>3</v>
      </c>
      <c r="AI64" t="n">
        <v>3</v>
      </c>
      <c r="AJ64" t="n">
        <v>5</v>
      </c>
      <c r="AK64" t="n">
        <v>5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HYPERLINK("http://catalog.hathitrust.org/Record/000462462","HathiTrust Record")</f>
        <v/>
      </c>
      <c r="AS64">
        <f>HYPERLINK("https://creighton-primo.hosted.exlibrisgroup.com/primo-explore/search?tab=default_tab&amp;search_scope=EVERYTHING&amp;vid=01CRU&amp;lang=en_US&amp;offset=0&amp;query=any,contains,991000547239702656","Catalog Record")</f>
        <v/>
      </c>
      <c r="AT64">
        <f>HYPERLINK("http://www.worldcat.org/oclc/11519043","WorldCat Record")</f>
        <v/>
      </c>
      <c r="AU64" t="inlineStr">
        <is>
          <t>356118862:eng</t>
        </is>
      </c>
      <c r="AV64" t="inlineStr">
        <is>
          <t>11519043</t>
        </is>
      </c>
      <c r="AW64" t="inlineStr">
        <is>
          <t>991000547239702656</t>
        </is>
      </c>
      <c r="AX64" t="inlineStr">
        <is>
          <t>991000547239702656</t>
        </is>
      </c>
      <c r="AY64" t="inlineStr">
        <is>
          <t>2267405040002656</t>
        </is>
      </c>
      <c r="AZ64" t="inlineStr">
        <is>
          <t>BOOK</t>
        </is>
      </c>
      <c r="BB64" t="inlineStr">
        <is>
          <t>9780826146007</t>
        </is>
      </c>
      <c r="BC64" t="inlineStr">
        <is>
          <t>32285000088616</t>
        </is>
      </c>
      <c r="BD64" t="inlineStr">
        <is>
          <t>893237406</t>
        </is>
      </c>
    </row>
    <row r="65">
      <c r="A65" t="inlineStr">
        <is>
          <t>No</t>
        </is>
      </c>
      <c r="B65" t="inlineStr">
        <is>
          <t>RJ250 .S78 1983</t>
        </is>
      </c>
      <c r="C65" t="inlineStr">
        <is>
          <t>0                      RJ 0250000S  78          1983</t>
        </is>
      </c>
      <c r="D65" t="inlineStr">
        <is>
          <t>The long dying of baby Andrew / by Robert and Peggy Stinson.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Stinson, Robert, 1941-</t>
        </is>
      </c>
      <c r="L65" t="inlineStr">
        <is>
          <t>Boston : Little, Brown, c1983.</t>
        </is>
      </c>
      <c r="M65" t="inlineStr">
        <is>
          <t>1983</t>
        </is>
      </c>
      <c r="N65" t="inlineStr">
        <is>
          <t>1st ed.</t>
        </is>
      </c>
      <c r="O65" t="inlineStr">
        <is>
          <t>eng</t>
        </is>
      </c>
      <c r="P65" t="inlineStr">
        <is>
          <t>mau</t>
        </is>
      </c>
      <c r="R65" t="inlineStr">
        <is>
          <t xml:space="preserve">RJ </t>
        </is>
      </c>
      <c r="S65" t="n">
        <v>9</v>
      </c>
      <c r="T65" t="n">
        <v>9</v>
      </c>
      <c r="U65" t="inlineStr">
        <is>
          <t>2004-08-27</t>
        </is>
      </c>
      <c r="V65" t="inlineStr">
        <is>
          <t>2004-08-27</t>
        </is>
      </c>
      <c r="W65" t="inlineStr">
        <is>
          <t>1991-12-11</t>
        </is>
      </c>
      <c r="X65" t="inlineStr">
        <is>
          <t>1991-12-11</t>
        </is>
      </c>
      <c r="Y65" t="n">
        <v>469</v>
      </c>
      <c r="Z65" t="n">
        <v>433</v>
      </c>
      <c r="AA65" t="n">
        <v>438</v>
      </c>
      <c r="AB65" t="n">
        <v>3</v>
      </c>
      <c r="AC65" t="n">
        <v>3</v>
      </c>
      <c r="AD65" t="n">
        <v>14</v>
      </c>
      <c r="AE65" t="n">
        <v>14</v>
      </c>
      <c r="AF65" t="n">
        <v>4</v>
      </c>
      <c r="AG65" t="n">
        <v>4</v>
      </c>
      <c r="AH65" t="n">
        <v>3</v>
      </c>
      <c r="AI65" t="n">
        <v>3</v>
      </c>
      <c r="AJ65" t="n">
        <v>10</v>
      </c>
      <c r="AK65" t="n">
        <v>10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HYPERLINK("https://creighton-primo.hosted.exlibrisgroup.com/primo-explore/search?tab=default_tab&amp;search_scope=EVERYTHING&amp;vid=01CRU&amp;lang=en_US&amp;offset=0&amp;query=any,contains,991000112619702656","Catalog Record")</f>
        <v/>
      </c>
      <c r="AT65">
        <f>HYPERLINK("http://www.worldcat.org/oclc/9017650","WorldCat Record")</f>
        <v/>
      </c>
      <c r="AU65" t="inlineStr">
        <is>
          <t>448859:eng</t>
        </is>
      </c>
      <c r="AV65" t="inlineStr">
        <is>
          <t>9017650</t>
        </is>
      </c>
      <c r="AW65" t="inlineStr">
        <is>
          <t>991000112619702656</t>
        </is>
      </c>
      <c r="AX65" t="inlineStr">
        <is>
          <t>991000112619702656</t>
        </is>
      </c>
      <c r="AY65" t="inlineStr">
        <is>
          <t>2258136850002656</t>
        </is>
      </c>
      <c r="AZ65" t="inlineStr">
        <is>
          <t>BOOK</t>
        </is>
      </c>
      <c r="BB65" t="inlineStr">
        <is>
          <t>9780316816359</t>
        </is>
      </c>
      <c r="BC65" t="inlineStr">
        <is>
          <t>32285000900786</t>
        </is>
      </c>
      <c r="BD65" t="inlineStr">
        <is>
          <t>893320812</t>
        </is>
      </c>
    </row>
    <row r="66">
      <c r="A66" t="inlineStr">
        <is>
          <t>No</t>
        </is>
      </c>
      <c r="B66" t="inlineStr">
        <is>
          <t>RJ250 .V84</t>
        </is>
      </c>
      <c r="C66" t="inlineStr">
        <is>
          <t>0                      RJ 0250000V  84</t>
        </is>
      </c>
      <c r="D66" t="inlineStr">
        <is>
          <t>Vulnerable infants : a psychosocial dilemma / edited by Jane Linker Schwartz, Lawrence H. Schwartz.</t>
        </is>
      </c>
      <c r="F66" t="inlineStr">
        <is>
          <t>No</t>
        </is>
      </c>
      <c r="G66" t="inlineStr">
        <is>
          <t>1</t>
        </is>
      </c>
      <c r="H66" t="inlineStr">
        <is>
          <t>Yes</t>
        </is>
      </c>
      <c r="I66" t="inlineStr">
        <is>
          <t>No</t>
        </is>
      </c>
      <c r="J66" t="inlineStr">
        <is>
          <t>0</t>
        </is>
      </c>
      <c r="L66" t="inlineStr">
        <is>
          <t>New York : McGraw-Hill, c1977.</t>
        </is>
      </c>
      <c r="M66" t="inlineStr">
        <is>
          <t>1977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RJ </t>
        </is>
      </c>
      <c r="S66" t="n">
        <v>2</v>
      </c>
      <c r="T66" t="n">
        <v>17</v>
      </c>
      <c r="U66" t="inlineStr">
        <is>
          <t>1994-09-26</t>
        </is>
      </c>
      <c r="V66" t="inlineStr">
        <is>
          <t>2001-03-26</t>
        </is>
      </c>
      <c r="W66" t="inlineStr">
        <is>
          <t>1992-03-13</t>
        </is>
      </c>
      <c r="X66" t="inlineStr">
        <is>
          <t>1992-03-13</t>
        </is>
      </c>
      <c r="Y66" t="n">
        <v>314</v>
      </c>
      <c r="Z66" t="n">
        <v>242</v>
      </c>
      <c r="AA66" t="n">
        <v>249</v>
      </c>
      <c r="AB66" t="n">
        <v>3</v>
      </c>
      <c r="AC66" t="n">
        <v>3</v>
      </c>
      <c r="AD66" t="n">
        <v>10</v>
      </c>
      <c r="AE66" t="n">
        <v>10</v>
      </c>
      <c r="AF66" t="n">
        <v>3</v>
      </c>
      <c r="AG66" t="n">
        <v>3</v>
      </c>
      <c r="AH66" t="n">
        <v>2</v>
      </c>
      <c r="AI66" t="n">
        <v>2</v>
      </c>
      <c r="AJ66" t="n">
        <v>6</v>
      </c>
      <c r="AK66" t="n">
        <v>6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HYPERLINK("http://catalog.hathitrust.org/Record/000706777","HathiTrust Record")</f>
        <v/>
      </c>
      <c r="AS66">
        <f>HYPERLINK("https://creighton-primo.hosted.exlibrisgroup.com/primo-explore/search?tab=default_tab&amp;search_scope=EVERYTHING&amp;vid=01CRU&amp;lang=en_US&amp;offset=0&amp;query=any,contains,991001776839702656","Catalog Record")</f>
        <v/>
      </c>
      <c r="AT66">
        <f>HYPERLINK("http://www.worldcat.org/oclc/2225056","WorldCat Record")</f>
        <v/>
      </c>
      <c r="AU66" t="inlineStr">
        <is>
          <t>894521366:eng</t>
        </is>
      </c>
      <c r="AV66" t="inlineStr">
        <is>
          <t>2225056</t>
        </is>
      </c>
      <c r="AW66" t="inlineStr">
        <is>
          <t>991001776839702656</t>
        </is>
      </c>
      <c r="AX66" t="inlineStr">
        <is>
          <t>991001776839702656</t>
        </is>
      </c>
      <c r="AY66" t="inlineStr">
        <is>
          <t>2259192590002656</t>
        </is>
      </c>
      <c r="AZ66" t="inlineStr">
        <is>
          <t>BOOK</t>
        </is>
      </c>
      <c r="BB66" t="inlineStr">
        <is>
          <t>9780070557642</t>
        </is>
      </c>
      <c r="BC66" t="inlineStr">
        <is>
          <t>32285001020139</t>
        </is>
      </c>
      <c r="BD66" t="inlineStr">
        <is>
          <t>893420617</t>
        </is>
      </c>
    </row>
    <row r="67">
      <c r="A67" t="inlineStr">
        <is>
          <t>No</t>
        </is>
      </c>
      <c r="B67" t="inlineStr">
        <is>
          <t>RJ250.3 .H45 1997</t>
        </is>
      </c>
      <c r="C67" t="inlineStr">
        <is>
          <t>0                      RJ 0250300H  45          1997</t>
        </is>
      </c>
      <c r="D67" t="inlineStr">
        <is>
          <t>Helping low birth weight, premature babies : the infant health and development program / edited by Ruth T. Gross, Donna Spiker, and Christine W. Haynes.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Stanford, Calif. : Stanford University Press, 1997.</t>
        </is>
      </c>
      <c r="M67" t="inlineStr">
        <is>
          <t>1997</t>
        </is>
      </c>
      <c r="O67" t="inlineStr">
        <is>
          <t>eng</t>
        </is>
      </c>
      <c r="P67" t="inlineStr">
        <is>
          <t>cau</t>
        </is>
      </c>
      <c r="R67" t="inlineStr">
        <is>
          <t xml:space="preserve">RJ </t>
        </is>
      </c>
      <c r="S67" t="n">
        <v>3</v>
      </c>
      <c r="T67" t="n">
        <v>3</v>
      </c>
      <c r="U67" t="inlineStr">
        <is>
          <t>2008-10-01</t>
        </is>
      </c>
      <c r="V67" t="inlineStr">
        <is>
          <t>2008-10-01</t>
        </is>
      </c>
      <c r="W67" t="inlineStr">
        <is>
          <t>1997-11-18</t>
        </is>
      </c>
      <c r="X67" t="inlineStr">
        <is>
          <t>1997-11-18</t>
        </is>
      </c>
      <c r="Y67" t="n">
        <v>124</v>
      </c>
      <c r="Z67" t="n">
        <v>94</v>
      </c>
      <c r="AA67" t="n">
        <v>94</v>
      </c>
      <c r="AB67" t="n">
        <v>1</v>
      </c>
      <c r="AC67" t="n">
        <v>1</v>
      </c>
      <c r="AD67" t="n">
        <v>1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1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HYPERLINK("https://creighton-primo.hosted.exlibrisgroup.com/primo-explore/search?tab=default_tab&amp;search_scope=EVERYTHING&amp;vid=01CRU&amp;lang=en_US&amp;offset=0&amp;query=any,contains,991002605499702656","Catalog Record")</f>
        <v/>
      </c>
      <c r="AT67">
        <f>HYPERLINK("http://www.worldcat.org/oclc/34121056","WorldCat Record")</f>
        <v/>
      </c>
      <c r="AU67" t="inlineStr">
        <is>
          <t>364510169:eng</t>
        </is>
      </c>
      <c r="AV67" t="inlineStr">
        <is>
          <t>34121056</t>
        </is>
      </c>
      <c r="AW67" t="inlineStr">
        <is>
          <t>991002605499702656</t>
        </is>
      </c>
      <c r="AX67" t="inlineStr">
        <is>
          <t>991002605499702656</t>
        </is>
      </c>
      <c r="AY67" t="inlineStr">
        <is>
          <t>2269200760002656</t>
        </is>
      </c>
      <c r="AZ67" t="inlineStr">
        <is>
          <t>BOOK</t>
        </is>
      </c>
      <c r="BB67" t="inlineStr">
        <is>
          <t>9780804726122</t>
        </is>
      </c>
      <c r="BC67" t="inlineStr">
        <is>
          <t>32285003271292</t>
        </is>
      </c>
      <c r="BD67" t="inlineStr">
        <is>
          <t>893792664</t>
        </is>
      </c>
    </row>
    <row r="68">
      <c r="A68" t="inlineStr">
        <is>
          <t>No</t>
        </is>
      </c>
      <c r="B68" t="inlineStr">
        <is>
          <t>RJ251 .K56</t>
        </is>
      </c>
      <c r="C68" t="inlineStr">
        <is>
          <t>0                      RJ 0251000K  56</t>
        </is>
      </c>
      <c r="D68" t="inlineStr">
        <is>
          <t>Maternal-infant bonding : the impact of early separation or loss on family development / Marshall H. Klaus, John H. Kennell.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Klaus, Marshall H., 1927-2017.</t>
        </is>
      </c>
      <c r="L68" t="inlineStr">
        <is>
          <t>Saint Louis : Mosby, 1976.</t>
        </is>
      </c>
      <c r="M68" t="inlineStr">
        <is>
          <t>1976</t>
        </is>
      </c>
      <c r="O68" t="inlineStr">
        <is>
          <t>eng</t>
        </is>
      </c>
      <c r="P68" t="inlineStr">
        <is>
          <t>mou</t>
        </is>
      </c>
      <c r="R68" t="inlineStr">
        <is>
          <t xml:space="preserve">RJ </t>
        </is>
      </c>
      <c r="S68" t="n">
        <v>5</v>
      </c>
      <c r="T68" t="n">
        <v>5</v>
      </c>
      <c r="U68" t="inlineStr">
        <is>
          <t>2003-12-23</t>
        </is>
      </c>
      <c r="V68" t="inlineStr">
        <is>
          <t>2003-12-23</t>
        </is>
      </c>
      <c r="W68" t="inlineStr">
        <is>
          <t>1997-08-12</t>
        </is>
      </c>
      <c r="X68" t="inlineStr">
        <is>
          <t>1997-08-12</t>
        </is>
      </c>
      <c r="Y68" t="n">
        <v>635</v>
      </c>
      <c r="Z68" t="n">
        <v>494</v>
      </c>
      <c r="AA68" t="n">
        <v>501</v>
      </c>
      <c r="AB68" t="n">
        <v>5</v>
      </c>
      <c r="AC68" t="n">
        <v>5</v>
      </c>
      <c r="AD68" t="n">
        <v>15</v>
      </c>
      <c r="AE68" t="n">
        <v>15</v>
      </c>
      <c r="AF68" t="n">
        <v>3</v>
      </c>
      <c r="AG68" t="n">
        <v>3</v>
      </c>
      <c r="AH68" t="n">
        <v>5</v>
      </c>
      <c r="AI68" t="n">
        <v>5</v>
      </c>
      <c r="AJ68" t="n">
        <v>7</v>
      </c>
      <c r="AK68" t="n">
        <v>7</v>
      </c>
      <c r="AL68" t="n">
        <v>2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HYPERLINK("http://catalog.hathitrust.org/Record/000030415","HathiTrust Record")</f>
        <v/>
      </c>
      <c r="AS68">
        <f>HYPERLINK("https://creighton-primo.hosted.exlibrisgroup.com/primo-explore/search?tab=default_tab&amp;search_scope=EVERYTHING&amp;vid=01CRU&amp;lang=en_US&amp;offset=0&amp;query=any,contains,991005224769702656","Catalog Record")</f>
        <v/>
      </c>
      <c r="AT68">
        <f>HYPERLINK("http://www.worldcat.org/oclc/2074284","WorldCat Record")</f>
        <v/>
      </c>
      <c r="AU68" t="inlineStr">
        <is>
          <t>9415496925:eng</t>
        </is>
      </c>
      <c r="AV68" t="inlineStr">
        <is>
          <t>2074284</t>
        </is>
      </c>
      <c r="AW68" t="inlineStr">
        <is>
          <t>991005224769702656</t>
        </is>
      </c>
      <c r="AX68" t="inlineStr">
        <is>
          <t>991005224769702656</t>
        </is>
      </c>
      <c r="AY68" t="inlineStr">
        <is>
          <t>2264082420002656</t>
        </is>
      </c>
      <c r="AZ68" t="inlineStr">
        <is>
          <t>BOOK</t>
        </is>
      </c>
      <c r="BB68" t="inlineStr">
        <is>
          <t>9780801626302</t>
        </is>
      </c>
      <c r="BC68" t="inlineStr">
        <is>
          <t>32285003093415</t>
        </is>
      </c>
      <c r="BD68" t="inlineStr">
        <is>
          <t>893870727</t>
        </is>
      </c>
    </row>
    <row r="69">
      <c r="A69" t="inlineStr">
        <is>
          <t>No</t>
        </is>
      </c>
      <c r="B69" t="inlineStr">
        <is>
          <t>RJ253 .E88 1987</t>
        </is>
      </c>
      <c r="C69" t="inlineStr">
        <is>
          <t>0                      RJ 0253000E  88          1987</t>
        </is>
      </c>
      <c r="D69" t="inlineStr">
        <is>
          <t>Euthanasia and the newborn : conflicts regarding saving lives / edited by Richard C. McMillan, H. Tristram Engelhardt, Jr., and Stuart F. Spicker.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L69" t="inlineStr">
        <is>
          <t>Dordrecht ; Boston : D. Reidel Pub. Co. ; Norwell, MA, U.S.A. : Sold and distributed in the U.S.A. and Canada by Kluwer Academic Publishers, c1987.</t>
        </is>
      </c>
      <c r="M69" t="inlineStr">
        <is>
          <t>1987</t>
        </is>
      </c>
      <c r="O69" t="inlineStr">
        <is>
          <t>eng</t>
        </is>
      </c>
      <c r="P69" t="inlineStr">
        <is>
          <t xml:space="preserve">ne </t>
        </is>
      </c>
      <c r="Q69" t="inlineStr">
        <is>
          <t>Philosophy and medicine ; v. 24</t>
        </is>
      </c>
      <c r="R69" t="inlineStr">
        <is>
          <t xml:space="preserve">RJ </t>
        </is>
      </c>
      <c r="S69" t="n">
        <v>10</v>
      </c>
      <c r="T69" t="n">
        <v>10</v>
      </c>
      <c r="U69" t="inlineStr">
        <is>
          <t>2001-03-30</t>
        </is>
      </c>
      <c r="V69" t="inlineStr">
        <is>
          <t>2001-03-30</t>
        </is>
      </c>
      <c r="W69" t="inlineStr">
        <is>
          <t>1992-01-20</t>
        </is>
      </c>
      <c r="X69" t="inlineStr">
        <is>
          <t>1992-01-20</t>
        </is>
      </c>
      <c r="Y69" t="n">
        <v>527</v>
      </c>
      <c r="Z69" t="n">
        <v>388</v>
      </c>
      <c r="AA69" t="n">
        <v>388</v>
      </c>
      <c r="AB69" t="n">
        <v>5</v>
      </c>
      <c r="AC69" t="n">
        <v>5</v>
      </c>
      <c r="AD69" t="n">
        <v>36</v>
      </c>
      <c r="AE69" t="n">
        <v>36</v>
      </c>
      <c r="AF69" t="n">
        <v>9</v>
      </c>
      <c r="AG69" t="n">
        <v>9</v>
      </c>
      <c r="AH69" t="n">
        <v>7</v>
      </c>
      <c r="AI69" t="n">
        <v>7</v>
      </c>
      <c r="AJ69" t="n">
        <v>17</v>
      </c>
      <c r="AK69" t="n">
        <v>17</v>
      </c>
      <c r="AL69" t="n">
        <v>2</v>
      </c>
      <c r="AM69" t="n">
        <v>2</v>
      </c>
      <c r="AN69" t="n">
        <v>9</v>
      </c>
      <c r="AO69" t="n">
        <v>9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HYPERLINK("https://creighton-primo.hosted.exlibrisgroup.com/primo-explore/search?tab=default_tab&amp;search_scope=EVERYTHING&amp;vid=01CRU&amp;lang=en_US&amp;offset=0&amp;query=any,contains,991000988809702656","Catalog Record")</f>
        <v/>
      </c>
      <c r="AT69">
        <f>HYPERLINK("http://www.worldcat.org/oclc/15084710","WorldCat Record")</f>
        <v/>
      </c>
      <c r="AU69" t="inlineStr">
        <is>
          <t>836702874:eng</t>
        </is>
      </c>
      <c r="AV69" t="inlineStr">
        <is>
          <t>15084710</t>
        </is>
      </c>
      <c r="AW69" t="inlineStr">
        <is>
          <t>991000988809702656</t>
        </is>
      </c>
      <c r="AX69" t="inlineStr">
        <is>
          <t>991000988809702656</t>
        </is>
      </c>
      <c r="AY69" t="inlineStr">
        <is>
          <t>2255181320002656</t>
        </is>
      </c>
      <c r="AZ69" t="inlineStr">
        <is>
          <t>BOOK</t>
        </is>
      </c>
      <c r="BB69" t="inlineStr">
        <is>
          <t>9789027722997</t>
        </is>
      </c>
      <c r="BC69" t="inlineStr">
        <is>
          <t>32285000915859</t>
        </is>
      </c>
      <c r="BD69" t="inlineStr">
        <is>
          <t>893715069</t>
        </is>
      </c>
    </row>
    <row r="70">
      <c r="A70" t="inlineStr">
        <is>
          <t>No</t>
        </is>
      </c>
      <c r="B70" t="inlineStr">
        <is>
          <t>RJ253.5 .G85 1986</t>
        </is>
      </c>
      <c r="C70" t="inlineStr">
        <is>
          <t>0                      RJ 0253500G  85          1986</t>
        </is>
      </c>
      <c r="D70" t="inlineStr">
        <is>
          <t>Mixed blessings : intensive care for newborns / Jeanne Harley Guillemin, Lynda Lytle Holmstrom.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Guillemin, Jeanne, 1943-</t>
        </is>
      </c>
      <c r="L70" t="inlineStr">
        <is>
          <t>New York : Oxford University Press, 1986.</t>
        </is>
      </c>
      <c r="M70" t="inlineStr">
        <is>
          <t>1986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RJ </t>
        </is>
      </c>
      <c r="S70" t="n">
        <v>6</v>
      </c>
      <c r="T70" t="n">
        <v>6</v>
      </c>
      <c r="U70" t="inlineStr">
        <is>
          <t>2005-03-29</t>
        </is>
      </c>
      <c r="V70" t="inlineStr">
        <is>
          <t>2005-03-29</t>
        </is>
      </c>
      <c r="W70" t="inlineStr">
        <is>
          <t>1992-03-13</t>
        </is>
      </c>
      <c r="X70" t="inlineStr">
        <is>
          <t>1992-03-13</t>
        </is>
      </c>
      <c r="Y70" t="n">
        <v>442</v>
      </c>
      <c r="Z70" t="n">
        <v>370</v>
      </c>
      <c r="AA70" t="n">
        <v>396</v>
      </c>
      <c r="AB70" t="n">
        <v>3</v>
      </c>
      <c r="AC70" t="n">
        <v>3</v>
      </c>
      <c r="AD70" t="n">
        <v>21</v>
      </c>
      <c r="AE70" t="n">
        <v>22</v>
      </c>
      <c r="AF70" t="n">
        <v>5</v>
      </c>
      <c r="AG70" t="n">
        <v>6</v>
      </c>
      <c r="AH70" t="n">
        <v>6</v>
      </c>
      <c r="AI70" t="n">
        <v>6</v>
      </c>
      <c r="AJ70" t="n">
        <v>12</v>
      </c>
      <c r="AK70" t="n">
        <v>12</v>
      </c>
      <c r="AL70" t="n">
        <v>1</v>
      </c>
      <c r="AM70" t="n">
        <v>1</v>
      </c>
      <c r="AN70" t="n">
        <v>2</v>
      </c>
      <c r="AO70" t="n">
        <v>2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HYPERLINK("http://catalog.hathitrust.org/Record/000438305","HathiTrust Record")</f>
        <v/>
      </c>
      <c r="AS70">
        <f>HYPERLINK("https://creighton-primo.hosted.exlibrisgroup.com/primo-explore/search?tab=default_tab&amp;search_scope=EVERYTHING&amp;vid=01CRU&amp;lang=en_US&amp;offset=0&amp;query=any,contains,991000762709702656","Catalog Record")</f>
        <v/>
      </c>
      <c r="AT70">
        <f>HYPERLINK("http://www.worldcat.org/oclc/12974899","WorldCat Record")</f>
        <v/>
      </c>
      <c r="AU70" t="inlineStr">
        <is>
          <t>5635051:eng</t>
        </is>
      </c>
      <c r="AV70" t="inlineStr">
        <is>
          <t>12974899</t>
        </is>
      </c>
      <c r="AW70" t="inlineStr">
        <is>
          <t>991000762709702656</t>
        </is>
      </c>
      <c r="AX70" t="inlineStr">
        <is>
          <t>991000762709702656</t>
        </is>
      </c>
      <c r="AY70" t="inlineStr">
        <is>
          <t>2262445140002656</t>
        </is>
      </c>
      <c r="AZ70" t="inlineStr">
        <is>
          <t>BOOK</t>
        </is>
      </c>
      <c r="BB70" t="inlineStr">
        <is>
          <t>9780195040326</t>
        </is>
      </c>
      <c r="BC70" t="inlineStr">
        <is>
          <t>32285001020121</t>
        </is>
      </c>
      <c r="BD70" t="inlineStr">
        <is>
          <t>893865652</t>
        </is>
      </c>
    </row>
    <row r="71">
      <c r="A71" t="inlineStr">
        <is>
          <t>No</t>
        </is>
      </c>
      <c r="B71" t="inlineStr">
        <is>
          <t>RJ253.5 .L96 1985</t>
        </is>
      </c>
      <c r="C71" t="inlineStr">
        <is>
          <t>0                      RJ 0253500L  96          1985</t>
        </is>
      </c>
      <c r="D71" t="inlineStr">
        <is>
          <t>Playing God in the nursery / Jeff Lyon.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Lyon, Jeff.</t>
        </is>
      </c>
      <c r="L71" t="inlineStr">
        <is>
          <t>New York : W.W. Norton, c1985.</t>
        </is>
      </c>
      <c r="M71" t="inlineStr">
        <is>
          <t>1985</t>
        </is>
      </c>
      <c r="N71" t="inlineStr">
        <is>
          <t>1st ed.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RJ </t>
        </is>
      </c>
      <c r="S71" t="n">
        <v>13</v>
      </c>
      <c r="T71" t="n">
        <v>13</v>
      </c>
      <c r="U71" t="inlineStr">
        <is>
          <t>2003-10-03</t>
        </is>
      </c>
      <c r="V71" t="inlineStr">
        <is>
          <t>2003-10-03</t>
        </is>
      </c>
      <c r="W71" t="inlineStr">
        <is>
          <t>1992-04-30</t>
        </is>
      </c>
      <c r="X71" t="inlineStr">
        <is>
          <t>1992-04-30</t>
        </is>
      </c>
      <c r="Y71" t="n">
        <v>1143</v>
      </c>
      <c r="Z71" t="n">
        <v>1087</v>
      </c>
      <c r="AA71" t="n">
        <v>1099</v>
      </c>
      <c r="AB71" t="n">
        <v>7</v>
      </c>
      <c r="AC71" t="n">
        <v>7</v>
      </c>
      <c r="AD71" t="n">
        <v>31</v>
      </c>
      <c r="AE71" t="n">
        <v>32</v>
      </c>
      <c r="AF71" t="n">
        <v>7</v>
      </c>
      <c r="AG71" t="n">
        <v>8</v>
      </c>
      <c r="AH71" t="n">
        <v>4</v>
      </c>
      <c r="AI71" t="n">
        <v>4</v>
      </c>
      <c r="AJ71" t="n">
        <v>11</v>
      </c>
      <c r="AK71" t="n">
        <v>12</v>
      </c>
      <c r="AL71" t="n">
        <v>4</v>
      </c>
      <c r="AM71" t="n">
        <v>4</v>
      </c>
      <c r="AN71" t="n">
        <v>8</v>
      </c>
      <c r="AO71" t="n">
        <v>8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HYPERLINK("https://creighton-primo.hosted.exlibrisgroup.com/primo-explore/search?tab=default_tab&amp;search_scope=EVERYTHING&amp;vid=01CRU&amp;lang=en_US&amp;offset=0&amp;query=any,contains,991000525119702656","Catalog Record")</f>
        <v/>
      </c>
      <c r="AT71">
        <f>HYPERLINK("http://www.worldcat.org/oclc/11370066","WorldCat Record")</f>
        <v/>
      </c>
      <c r="AU71" t="inlineStr">
        <is>
          <t>3866027:eng</t>
        </is>
      </c>
      <c r="AV71" t="inlineStr">
        <is>
          <t>11370066</t>
        </is>
      </c>
      <c r="AW71" t="inlineStr">
        <is>
          <t>991000525119702656</t>
        </is>
      </c>
      <c r="AX71" t="inlineStr">
        <is>
          <t>991000525119702656</t>
        </is>
      </c>
      <c r="AY71" t="inlineStr">
        <is>
          <t>2260192070002656</t>
        </is>
      </c>
      <c r="AZ71" t="inlineStr">
        <is>
          <t>BOOK</t>
        </is>
      </c>
      <c r="BB71" t="inlineStr">
        <is>
          <t>9780393018981</t>
        </is>
      </c>
      <c r="BC71" t="inlineStr">
        <is>
          <t>32285001096725</t>
        </is>
      </c>
      <c r="BD71" t="inlineStr">
        <is>
          <t>893771716</t>
        </is>
      </c>
    </row>
    <row r="72">
      <c r="A72" t="inlineStr">
        <is>
          <t>No</t>
        </is>
      </c>
      <c r="B72" t="inlineStr">
        <is>
          <t>RJ253.5 .P54 2002</t>
        </is>
      </c>
      <c r="C72" t="inlineStr">
        <is>
          <t>0                      RJ 0253500P  54          2002</t>
        </is>
      </c>
      <c r="D72" t="inlineStr">
        <is>
          <t>When the bough breaks : parental perceptions of ethical decision-making in NICU / Winifred J. Ellenchild Pinch.</t>
        </is>
      </c>
      <c r="F72" t="inlineStr">
        <is>
          <t>No</t>
        </is>
      </c>
      <c r="G72" t="inlineStr">
        <is>
          <t>1</t>
        </is>
      </c>
      <c r="H72" t="inlineStr">
        <is>
          <t>Yes</t>
        </is>
      </c>
      <c r="I72" t="inlineStr">
        <is>
          <t>No</t>
        </is>
      </c>
      <c r="J72" t="inlineStr">
        <is>
          <t>0</t>
        </is>
      </c>
      <c r="K72" t="inlineStr">
        <is>
          <t>Pinch, Winifred.</t>
        </is>
      </c>
      <c r="L72" t="inlineStr">
        <is>
          <t>Lanham, Md. : University Press of America, c2002.</t>
        </is>
      </c>
      <c r="M72" t="inlineStr">
        <is>
          <t>2002</t>
        </is>
      </c>
      <c r="O72" t="inlineStr">
        <is>
          <t>eng</t>
        </is>
      </c>
      <c r="P72" t="inlineStr">
        <is>
          <t>mdu</t>
        </is>
      </c>
      <c r="R72" t="inlineStr">
        <is>
          <t xml:space="preserve">RJ </t>
        </is>
      </c>
      <c r="S72" t="n">
        <v>4</v>
      </c>
      <c r="T72" t="n">
        <v>9</v>
      </c>
      <c r="U72" t="inlineStr">
        <is>
          <t>2003-10-03</t>
        </is>
      </c>
      <c r="V72" t="inlineStr">
        <is>
          <t>2007-02-27</t>
        </is>
      </c>
      <c r="W72" t="inlineStr">
        <is>
          <t>2002-09-24</t>
        </is>
      </c>
      <c r="X72" t="inlineStr">
        <is>
          <t>2003-02-18</t>
        </is>
      </c>
      <c r="Y72" t="n">
        <v>100</v>
      </c>
      <c r="Z72" t="n">
        <v>79</v>
      </c>
      <c r="AA72" t="n">
        <v>79</v>
      </c>
      <c r="AB72" t="n">
        <v>3</v>
      </c>
      <c r="AC72" t="n">
        <v>3</v>
      </c>
      <c r="AD72" t="n">
        <v>7</v>
      </c>
      <c r="AE72" t="n">
        <v>7</v>
      </c>
      <c r="AF72" t="n">
        <v>1</v>
      </c>
      <c r="AG72" t="n">
        <v>1</v>
      </c>
      <c r="AH72" t="n">
        <v>1</v>
      </c>
      <c r="AI72" t="n">
        <v>1</v>
      </c>
      <c r="AJ72" t="n">
        <v>4</v>
      </c>
      <c r="AK72" t="n">
        <v>4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HYPERLINK("https://creighton-primo.hosted.exlibrisgroup.com/primo-explore/search?tab=default_tab&amp;search_scope=EVERYTHING&amp;vid=01CRU&amp;lang=en_US&amp;offset=0&amp;query=any,contains,991001716319702656","Catalog Record")</f>
        <v/>
      </c>
      <c r="AT72">
        <f>HYPERLINK("http://www.worldcat.org/oclc/49679803","WorldCat Record")</f>
        <v/>
      </c>
      <c r="AU72" t="inlineStr">
        <is>
          <t>891567228:eng</t>
        </is>
      </c>
      <c r="AV72" t="inlineStr">
        <is>
          <t>49679803</t>
        </is>
      </c>
      <c r="AW72" t="inlineStr">
        <is>
          <t>991001716319702656</t>
        </is>
      </c>
      <c r="AX72" t="inlineStr">
        <is>
          <t>991001716319702656</t>
        </is>
      </c>
      <c r="AY72" t="inlineStr">
        <is>
          <t>2264147380002656</t>
        </is>
      </c>
      <c r="AZ72" t="inlineStr">
        <is>
          <t>BOOK</t>
        </is>
      </c>
      <c r="BB72" t="inlineStr">
        <is>
          <t>9780761823162</t>
        </is>
      </c>
      <c r="BC72" t="inlineStr">
        <is>
          <t>32285004648365</t>
        </is>
      </c>
      <c r="BD72" t="inlineStr">
        <is>
          <t>893315986</t>
        </is>
      </c>
    </row>
    <row r="73">
      <c r="A73" t="inlineStr">
        <is>
          <t>No</t>
        </is>
      </c>
      <c r="B73" t="inlineStr">
        <is>
          <t>RJ253.5 .S62 1988</t>
        </is>
      </c>
      <c r="C73" t="inlineStr">
        <is>
          <t>0                      RJ 0253500S  62          1988</t>
        </is>
      </c>
      <c r="D73" t="inlineStr">
        <is>
          <t>To treat or not to treat : bioethics and the handicapped newborn / Richard C. Sparks ; [index prepared by Michael Kerrigan].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Sparks, Richard C., 1950-</t>
        </is>
      </c>
      <c r="L73" t="inlineStr">
        <is>
          <t>New York : Paulist Press, c1988.</t>
        </is>
      </c>
      <c r="M73" t="inlineStr">
        <is>
          <t>1988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RJ </t>
        </is>
      </c>
      <c r="S73" t="n">
        <v>14</v>
      </c>
      <c r="T73" t="n">
        <v>14</v>
      </c>
      <c r="U73" t="inlineStr">
        <is>
          <t>2000-04-02</t>
        </is>
      </c>
      <c r="V73" t="inlineStr">
        <is>
          <t>2000-04-02</t>
        </is>
      </c>
      <c r="W73" t="inlineStr">
        <is>
          <t>1992-04-30</t>
        </is>
      </c>
      <c r="X73" t="inlineStr">
        <is>
          <t>1992-04-30</t>
        </is>
      </c>
      <c r="Y73" t="n">
        <v>304</v>
      </c>
      <c r="Z73" t="n">
        <v>252</v>
      </c>
      <c r="AA73" t="n">
        <v>253</v>
      </c>
      <c r="AB73" t="n">
        <v>2</v>
      </c>
      <c r="AC73" t="n">
        <v>2</v>
      </c>
      <c r="AD73" t="n">
        <v>21</v>
      </c>
      <c r="AE73" t="n">
        <v>21</v>
      </c>
      <c r="AF73" t="n">
        <v>6</v>
      </c>
      <c r="AG73" t="n">
        <v>6</v>
      </c>
      <c r="AH73" t="n">
        <v>5</v>
      </c>
      <c r="AI73" t="n">
        <v>5</v>
      </c>
      <c r="AJ73" t="n">
        <v>16</v>
      </c>
      <c r="AK73" t="n">
        <v>16</v>
      </c>
      <c r="AL73" t="n">
        <v>0</v>
      </c>
      <c r="AM73" t="n">
        <v>0</v>
      </c>
      <c r="AN73" t="n">
        <v>1</v>
      </c>
      <c r="AO73" t="n">
        <v>1</v>
      </c>
      <c r="AP73" t="inlineStr">
        <is>
          <t>No</t>
        </is>
      </c>
      <c r="AQ73" t="inlineStr">
        <is>
          <t>Yes</t>
        </is>
      </c>
      <c r="AR73">
        <f>HYPERLINK("http://catalog.hathitrust.org/Record/101888896","HathiTrust Record")</f>
        <v/>
      </c>
      <c r="AS73">
        <f>HYPERLINK("https://creighton-primo.hosted.exlibrisgroup.com/primo-explore/search?tab=default_tab&amp;search_scope=EVERYTHING&amp;vid=01CRU&amp;lang=en_US&amp;offset=0&amp;query=any,contains,991001257069702656","Catalog Record")</f>
        <v/>
      </c>
      <c r="AT73">
        <f>HYPERLINK("http://www.worldcat.org/oclc/17732278","WorldCat Record")</f>
        <v/>
      </c>
      <c r="AU73" t="inlineStr">
        <is>
          <t>432497891:eng</t>
        </is>
      </c>
      <c r="AV73" t="inlineStr">
        <is>
          <t>17732278</t>
        </is>
      </c>
      <c r="AW73" t="inlineStr">
        <is>
          <t>991001257069702656</t>
        </is>
      </c>
      <c r="AX73" t="inlineStr">
        <is>
          <t>991001257069702656</t>
        </is>
      </c>
      <c r="AY73" t="inlineStr">
        <is>
          <t>2271000230002656</t>
        </is>
      </c>
      <c r="AZ73" t="inlineStr">
        <is>
          <t>BOOK</t>
        </is>
      </c>
      <c r="BB73" t="inlineStr">
        <is>
          <t>9780809129935</t>
        </is>
      </c>
      <c r="BC73" t="inlineStr">
        <is>
          <t>32285001096733</t>
        </is>
      </c>
      <c r="BD73" t="inlineStr">
        <is>
          <t>893420207</t>
        </is>
      </c>
    </row>
    <row r="74">
      <c r="A74" t="inlineStr">
        <is>
          <t>No</t>
        </is>
      </c>
      <c r="B74" t="inlineStr">
        <is>
          <t>RJ253.5 .W44 1984</t>
        </is>
      </c>
      <c r="C74" t="inlineStr">
        <is>
          <t>0                      RJ 0253500W  44          1984</t>
        </is>
      </c>
      <c r="D74" t="inlineStr">
        <is>
          <t>Selective nontreatment of handicapped newborns : moral dilemmas in neonatal medicine / Robert F. Weir.</t>
        </is>
      </c>
      <c r="F74" t="inlineStr">
        <is>
          <t>No</t>
        </is>
      </c>
      <c r="G74" t="inlineStr">
        <is>
          <t>1</t>
        </is>
      </c>
      <c r="H74" t="inlineStr">
        <is>
          <t>Yes</t>
        </is>
      </c>
      <c r="I74" t="inlineStr">
        <is>
          <t>No</t>
        </is>
      </c>
      <c r="J74" t="inlineStr">
        <is>
          <t>0</t>
        </is>
      </c>
      <c r="K74" t="inlineStr">
        <is>
          <t>Weir, Robert F., 1943-</t>
        </is>
      </c>
      <c r="L74" t="inlineStr">
        <is>
          <t>New York : Oxford University Press, 1984.</t>
        </is>
      </c>
      <c r="M74" t="inlineStr">
        <is>
          <t>1984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RJ </t>
        </is>
      </c>
      <c r="S74" t="n">
        <v>11</v>
      </c>
      <c r="T74" t="n">
        <v>15</v>
      </c>
      <c r="U74" t="inlineStr">
        <is>
          <t>2001-06-15</t>
        </is>
      </c>
      <c r="V74" t="inlineStr">
        <is>
          <t>2004-06-28</t>
        </is>
      </c>
      <c r="W74" t="inlineStr">
        <is>
          <t>1994-04-29</t>
        </is>
      </c>
      <c r="X74" t="inlineStr">
        <is>
          <t>1994-04-29</t>
        </is>
      </c>
      <c r="Y74" t="n">
        <v>1010</v>
      </c>
      <c r="Z74" t="n">
        <v>885</v>
      </c>
      <c r="AA74" t="n">
        <v>893</v>
      </c>
      <c r="AB74" t="n">
        <v>10</v>
      </c>
      <c r="AC74" t="n">
        <v>10</v>
      </c>
      <c r="AD74" t="n">
        <v>50</v>
      </c>
      <c r="AE74" t="n">
        <v>50</v>
      </c>
      <c r="AF74" t="n">
        <v>12</v>
      </c>
      <c r="AG74" t="n">
        <v>12</v>
      </c>
      <c r="AH74" t="n">
        <v>5</v>
      </c>
      <c r="AI74" t="n">
        <v>5</v>
      </c>
      <c r="AJ74" t="n">
        <v>20</v>
      </c>
      <c r="AK74" t="n">
        <v>20</v>
      </c>
      <c r="AL74" t="n">
        <v>4</v>
      </c>
      <c r="AM74" t="n">
        <v>4</v>
      </c>
      <c r="AN74" t="n">
        <v>17</v>
      </c>
      <c r="AO74" t="n">
        <v>17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HYPERLINK("http://catalog.hathitrust.org/Record/000281382","HathiTrust Record")</f>
        <v/>
      </c>
      <c r="AS74">
        <f>HYPERLINK("https://creighton-primo.hosted.exlibrisgroup.com/primo-explore/search?tab=default_tab&amp;search_scope=EVERYTHING&amp;vid=01CRU&amp;lang=en_US&amp;offset=0&amp;query=any,contains,991001626379702656","Catalog Record")</f>
        <v/>
      </c>
      <c r="AT74">
        <f>HYPERLINK("http://www.worldcat.org/oclc/9946318","WorldCat Record")</f>
        <v/>
      </c>
      <c r="AU74" t="inlineStr">
        <is>
          <t>28671036:eng</t>
        </is>
      </c>
      <c r="AV74" t="inlineStr">
        <is>
          <t>9946318</t>
        </is>
      </c>
      <c r="AW74" t="inlineStr">
        <is>
          <t>991001626379702656</t>
        </is>
      </c>
      <c r="AX74" t="inlineStr">
        <is>
          <t>991001626379702656</t>
        </is>
      </c>
      <c r="AY74" t="inlineStr">
        <is>
          <t>2261635430002656</t>
        </is>
      </c>
      <c r="AZ74" t="inlineStr">
        <is>
          <t>BOOK</t>
        </is>
      </c>
      <c r="BB74" t="inlineStr">
        <is>
          <t>9780195033960</t>
        </is>
      </c>
      <c r="BC74" t="inlineStr">
        <is>
          <t>32285001906345</t>
        </is>
      </c>
      <c r="BD74" t="inlineStr">
        <is>
          <t>893250338</t>
        </is>
      </c>
    </row>
    <row r="75">
      <c r="A75" t="inlineStr">
        <is>
          <t>No</t>
        </is>
      </c>
      <c r="B75" t="inlineStr">
        <is>
          <t>RJ254 .I53</t>
        </is>
      </c>
      <c r="C75" t="inlineStr">
        <is>
          <t>0                      RJ 0254000I  53</t>
        </is>
      </c>
      <c r="D75" t="inlineStr">
        <is>
          <t>Infants born at risk : behavior and development / edited by Tiffany Field.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L75" t="inlineStr">
        <is>
          <t>Jamaica, N.Y. : Spectrum Publications, c1979.</t>
        </is>
      </c>
      <c r="M75" t="inlineStr">
        <is>
          <t>1979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RJ </t>
        </is>
      </c>
      <c r="S75" t="n">
        <v>9</v>
      </c>
      <c r="T75" t="n">
        <v>9</v>
      </c>
      <c r="U75" t="inlineStr">
        <is>
          <t>2000-02-16</t>
        </is>
      </c>
      <c r="V75" t="inlineStr">
        <is>
          <t>2000-02-16</t>
        </is>
      </c>
      <c r="W75" t="inlineStr">
        <is>
          <t>1992-04-27</t>
        </is>
      </c>
      <c r="X75" t="inlineStr">
        <is>
          <t>1992-04-27</t>
        </is>
      </c>
      <c r="Y75" t="n">
        <v>228</v>
      </c>
      <c r="Z75" t="n">
        <v>177</v>
      </c>
      <c r="AA75" t="n">
        <v>182</v>
      </c>
      <c r="AB75" t="n">
        <v>2</v>
      </c>
      <c r="AC75" t="n">
        <v>2</v>
      </c>
      <c r="AD75" t="n">
        <v>5</v>
      </c>
      <c r="AE75" t="n">
        <v>5</v>
      </c>
      <c r="AF75" t="n">
        <v>1</v>
      </c>
      <c r="AG75" t="n">
        <v>1</v>
      </c>
      <c r="AH75" t="n">
        <v>0</v>
      </c>
      <c r="AI75" t="n">
        <v>0</v>
      </c>
      <c r="AJ75" t="n">
        <v>4</v>
      </c>
      <c r="AK75" t="n">
        <v>4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HYPERLINK("http://catalog.hathitrust.org/Record/000173992","HathiTrust Record")</f>
        <v/>
      </c>
      <c r="AS75">
        <f>HYPERLINK("https://creighton-primo.hosted.exlibrisgroup.com/primo-explore/search?tab=default_tab&amp;search_scope=EVERYTHING&amp;vid=01CRU&amp;lang=en_US&amp;offset=0&amp;query=any,contains,991004544699702656","Catalog Record")</f>
        <v/>
      </c>
      <c r="AT75">
        <f>HYPERLINK("http://www.worldcat.org/oclc/3912783","WorldCat Record")</f>
        <v/>
      </c>
      <c r="AU75" t="inlineStr">
        <is>
          <t>13155370:eng</t>
        </is>
      </c>
      <c r="AV75" t="inlineStr">
        <is>
          <t>3912783</t>
        </is>
      </c>
      <c r="AW75" t="inlineStr">
        <is>
          <t>991004544699702656</t>
        </is>
      </c>
      <c r="AX75" t="inlineStr">
        <is>
          <t>991004544699702656</t>
        </is>
      </c>
      <c r="AY75" t="inlineStr">
        <is>
          <t>2260407470002656</t>
        </is>
      </c>
      <c r="AZ75" t="inlineStr">
        <is>
          <t>BOOK</t>
        </is>
      </c>
      <c r="BB75" t="inlineStr">
        <is>
          <t>9780893350574</t>
        </is>
      </c>
      <c r="BC75" t="inlineStr">
        <is>
          <t>32285001072577</t>
        </is>
      </c>
      <c r="BD75" t="inlineStr">
        <is>
          <t>893247705</t>
        </is>
      </c>
    </row>
    <row r="76">
      <c r="A76" t="inlineStr">
        <is>
          <t>No</t>
        </is>
      </c>
      <c r="B76" t="inlineStr">
        <is>
          <t>RJ255 .W49 1985</t>
        </is>
      </c>
      <c r="C76" t="inlineStr">
        <is>
          <t>0                      RJ 0255000W  49          1985</t>
        </is>
      </c>
      <c r="D76" t="inlineStr">
        <is>
          <t>Which babies shall live? : humanistic dimensions of the care of imperiled newborns / edited by Thomas H. Murray and Arthur L. Caplan.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L76" t="inlineStr">
        <is>
          <t>Clifton, N.J. : Humana Press, c1985.</t>
        </is>
      </c>
      <c r="M76" t="inlineStr">
        <is>
          <t>1985</t>
        </is>
      </c>
      <c r="O76" t="inlineStr">
        <is>
          <t>eng</t>
        </is>
      </c>
      <c r="P76" t="inlineStr">
        <is>
          <t>nju</t>
        </is>
      </c>
      <c r="Q76" t="inlineStr">
        <is>
          <t>Contemporary issues in biomedicine, ethics, and society</t>
        </is>
      </c>
      <c r="R76" t="inlineStr">
        <is>
          <t xml:space="preserve">RJ </t>
        </is>
      </c>
      <c r="S76" t="n">
        <v>10</v>
      </c>
      <c r="T76" t="n">
        <v>26</v>
      </c>
      <c r="U76" t="inlineStr">
        <is>
          <t>2000-04-02</t>
        </is>
      </c>
      <c r="V76" t="inlineStr">
        <is>
          <t>2005-10-20</t>
        </is>
      </c>
      <c r="W76" t="inlineStr">
        <is>
          <t>1992-04-30</t>
        </is>
      </c>
      <c r="X76" t="inlineStr">
        <is>
          <t>1992-04-30</t>
        </is>
      </c>
      <c r="Y76" t="n">
        <v>373</v>
      </c>
      <c r="Z76" t="n">
        <v>321</v>
      </c>
      <c r="AA76" t="n">
        <v>354</v>
      </c>
      <c r="AB76" t="n">
        <v>4</v>
      </c>
      <c r="AC76" t="n">
        <v>4</v>
      </c>
      <c r="AD76" t="n">
        <v>16</v>
      </c>
      <c r="AE76" t="n">
        <v>18</v>
      </c>
      <c r="AF76" t="n">
        <v>3</v>
      </c>
      <c r="AG76" t="n">
        <v>5</v>
      </c>
      <c r="AH76" t="n">
        <v>4</v>
      </c>
      <c r="AI76" t="n">
        <v>5</v>
      </c>
      <c r="AJ76" t="n">
        <v>8</v>
      </c>
      <c r="AK76" t="n">
        <v>9</v>
      </c>
      <c r="AL76" t="n">
        <v>1</v>
      </c>
      <c r="AM76" t="n">
        <v>1</v>
      </c>
      <c r="AN76" t="n">
        <v>2</v>
      </c>
      <c r="AO76" t="n">
        <v>2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HYPERLINK("http://catalog.hathitrust.org/Record/000387494","HathiTrust Record")</f>
        <v/>
      </c>
      <c r="AS76">
        <f>HYPERLINK("https://creighton-primo.hosted.exlibrisgroup.com/primo-explore/search?tab=default_tab&amp;search_scope=EVERYTHING&amp;vid=01CRU&amp;lang=en_US&amp;offset=0&amp;query=any,contains,991001805709702656","Catalog Record")</f>
        <v/>
      </c>
      <c r="AT76">
        <f>HYPERLINK("http://www.worldcat.org/oclc/12370863","WorldCat Record")</f>
        <v/>
      </c>
      <c r="AU76" t="inlineStr">
        <is>
          <t>889389943:eng</t>
        </is>
      </c>
      <c r="AV76" t="inlineStr">
        <is>
          <t>12370863</t>
        </is>
      </c>
      <c r="AW76" t="inlineStr">
        <is>
          <t>991001805709702656</t>
        </is>
      </c>
      <c r="AX76" t="inlineStr">
        <is>
          <t>991001805709702656</t>
        </is>
      </c>
      <c r="AY76" t="inlineStr">
        <is>
          <t>2261443060002656</t>
        </is>
      </c>
      <c r="AZ76" t="inlineStr">
        <is>
          <t>BOOK</t>
        </is>
      </c>
      <c r="BB76" t="inlineStr">
        <is>
          <t>9780896030862</t>
        </is>
      </c>
      <c r="BC76" t="inlineStr">
        <is>
          <t>32285001096741</t>
        </is>
      </c>
      <c r="BD76" t="inlineStr">
        <is>
          <t>893250522</t>
        </is>
      </c>
    </row>
    <row r="77">
      <c r="A77" t="inlineStr">
        <is>
          <t>No</t>
        </is>
      </c>
      <c r="B77" t="inlineStr">
        <is>
          <t>RJ255.L65 L65 1993</t>
        </is>
      </c>
      <c r="C77" t="inlineStr">
        <is>
          <t>0                      RJ 0255000L  65                 L  65          1993</t>
        </is>
      </c>
      <c r="D77" t="inlineStr">
        <is>
          <t>Anna : a daughter's life / William Loizeaux.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Loizeaux, William.</t>
        </is>
      </c>
      <c r="L77" t="inlineStr">
        <is>
          <t>New York : Arcade Pub. : Distributed by Little, Brown and Co., c1993.</t>
        </is>
      </c>
      <c r="M77" t="inlineStr">
        <is>
          <t>1993</t>
        </is>
      </c>
      <c r="N77" t="inlineStr">
        <is>
          <t>1st ed.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RJ </t>
        </is>
      </c>
      <c r="S77" t="n">
        <v>6</v>
      </c>
      <c r="T77" t="n">
        <v>6</v>
      </c>
      <c r="U77" t="inlineStr">
        <is>
          <t>2003-11-11</t>
        </is>
      </c>
      <c r="V77" t="inlineStr">
        <is>
          <t>2003-11-11</t>
        </is>
      </c>
      <c r="W77" t="inlineStr">
        <is>
          <t>1994-05-11</t>
        </is>
      </c>
      <c r="X77" t="inlineStr">
        <is>
          <t>1994-05-11</t>
        </is>
      </c>
      <c r="Y77" t="n">
        <v>255</v>
      </c>
      <c r="Z77" t="n">
        <v>247</v>
      </c>
      <c r="AA77" t="n">
        <v>325</v>
      </c>
      <c r="AB77" t="n">
        <v>2</v>
      </c>
      <c r="AC77" t="n">
        <v>2</v>
      </c>
      <c r="AD77" t="n">
        <v>2</v>
      </c>
      <c r="AE77" t="n">
        <v>2</v>
      </c>
      <c r="AF77" t="n">
        <v>0</v>
      </c>
      <c r="AG77" t="n">
        <v>0</v>
      </c>
      <c r="AH77" t="n">
        <v>0</v>
      </c>
      <c r="AI77" t="n">
        <v>0</v>
      </c>
      <c r="AJ77" t="n">
        <v>2</v>
      </c>
      <c r="AK77" t="n">
        <v>2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HYPERLINK("https://creighton-primo.hosted.exlibrisgroup.com/primo-explore/search?tab=default_tab&amp;search_scope=EVERYTHING&amp;vid=01CRU&amp;lang=en_US&amp;offset=0&amp;query=any,contains,991001688479702656","Catalog Record")</f>
        <v/>
      </c>
      <c r="AT77">
        <f>HYPERLINK("http://www.worldcat.org/oclc/26262497","WorldCat Record")</f>
        <v/>
      </c>
      <c r="AU77" t="inlineStr">
        <is>
          <t>1103715023:eng</t>
        </is>
      </c>
      <c r="AV77" t="inlineStr">
        <is>
          <t>26262497</t>
        </is>
      </c>
      <c r="AW77" t="inlineStr">
        <is>
          <t>991001688479702656</t>
        </is>
      </c>
      <c r="AX77" t="inlineStr">
        <is>
          <t>991001688479702656</t>
        </is>
      </c>
      <c r="AY77" t="inlineStr">
        <is>
          <t>2266833500002656</t>
        </is>
      </c>
      <c r="AZ77" t="inlineStr">
        <is>
          <t>BOOK</t>
        </is>
      </c>
      <c r="BB77" t="inlineStr">
        <is>
          <t>9781559701976</t>
        </is>
      </c>
      <c r="BC77" t="inlineStr">
        <is>
          <t>32285001895795</t>
        </is>
      </c>
      <c r="BD77" t="inlineStr">
        <is>
          <t>893433034</t>
        </is>
      </c>
    </row>
    <row r="78">
      <c r="A78" t="inlineStr">
        <is>
          <t>No</t>
        </is>
      </c>
      <c r="B78" t="inlineStr">
        <is>
          <t>RJ27 .M37 1983</t>
        </is>
      </c>
      <c r="C78" t="inlineStr">
        <is>
          <t>0                      RJ 0027000M  37          1983</t>
        </is>
      </c>
      <c r="D78" t="inlineStr">
        <is>
          <t>Everyday pediatrics : anatomy of rationale, diagnosis and therapy of common pediatric problems encountered in everyday pediatrics / by George D. Maragos ; with the collaboration of fifteen contributors.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Maragos, George D.</t>
        </is>
      </c>
      <c r="L78" t="inlineStr">
        <is>
          <t>New Delhi : Interprint, c1983.</t>
        </is>
      </c>
      <c r="M78" t="inlineStr">
        <is>
          <t>1983</t>
        </is>
      </c>
      <c r="O78" t="inlineStr">
        <is>
          <t>eng</t>
        </is>
      </c>
      <c r="P78" t="inlineStr">
        <is>
          <t xml:space="preserve">ii </t>
        </is>
      </c>
      <c r="Q78" t="inlineStr">
        <is>
          <t>Pediatrics (New Delhi, India)</t>
        </is>
      </c>
      <c r="R78" t="inlineStr">
        <is>
          <t xml:space="preserve">RJ </t>
        </is>
      </c>
      <c r="S78" t="n">
        <v>3</v>
      </c>
      <c r="T78" t="n">
        <v>3</v>
      </c>
      <c r="U78" t="inlineStr">
        <is>
          <t>1994-02-08</t>
        </is>
      </c>
      <c r="V78" t="inlineStr">
        <is>
          <t>1994-02-08</t>
        </is>
      </c>
      <c r="W78" t="inlineStr">
        <is>
          <t>1993-03-25</t>
        </is>
      </c>
      <c r="X78" t="inlineStr">
        <is>
          <t>1993-03-25</t>
        </is>
      </c>
      <c r="Y78" t="n">
        <v>3</v>
      </c>
      <c r="Z78" t="n">
        <v>2</v>
      </c>
      <c r="AA78" t="n">
        <v>2</v>
      </c>
      <c r="AB78" t="n">
        <v>1</v>
      </c>
      <c r="AC78" t="n">
        <v>1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HYPERLINK("https://creighton-primo.hosted.exlibrisgroup.com/primo-explore/search?tab=default_tab&amp;search_scope=EVERYTHING&amp;vid=01CRU&amp;lang=en_US&amp;offset=0&amp;query=any,contains,991000504399702656","Catalog Record")</f>
        <v/>
      </c>
      <c r="AT78">
        <f>HYPERLINK("http://www.worldcat.org/oclc/11200572","WorldCat Record")</f>
        <v/>
      </c>
      <c r="AU78" t="inlineStr">
        <is>
          <t>428582622:eng</t>
        </is>
      </c>
      <c r="AV78" t="inlineStr">
        <is>
          <t>11200572</t>
        </is>
      </c>
      <c r="AW78" t="inlineStr">
        <is>
          <t>991000504399702656</t>
        </is>
      </c>
      <c r="AX78" t="inlineStr">
        <is>
          <t>991000504399702656</t>
        </is>
      </c>
      <c r="AY78" t="inlineStr">
        <is>
          <t>2261934130002656</t>
        </is>
      </c>
      <c r="AZ78" t="inlineStr">
        <is>
          <t>BOOK</t>
        </is>
      </c>
      <c r="BC78" t="inlineStr">
        <is>
          <t>32285001609519</t>
        </is>
      </c>
      <c r="BD78" t="inlineStr">
        <is>
          <t>893607963</t>
        </is>
      </c>
    </row>
    <row r="79">
      <c r="A79" t="inlineStr">
        <is>
          <t>No</t>
        </is>
      </c>
      <c r="B79" t="inlineStr">
        <is>
          <t>RJ370 .C73 1996</t>
        </is>
      </c>
      <c r="C79" t="inlineStr">
        <is>
          <t>0                      RJ 0370000C  73          1996</t>
        </is>
      </c>
      <c r="D79" t="inlineStr">
        <is>
          <t>Critical care of infants and children / edited by I. David Todres and John H. Fugate ; foreword by Donald N. Medearis, Jr.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Boston : Little, Brown, c1996.</t>
        </is>
      </c>
      <c r="M79" t="inlineStr">
        <is>
          <t>1996</t>
        </is>
      </c>
      <c r="N79" t="inlineStr">
        <is>
          <t>1st ed.</t>
        </is>
      </c>
      <c r="O79" t="inlineStr">
        <is>
          <t>eng</t>
        </is>
      </c>
      <c r="P79" t="inlineStr">
        <is>
          <t>mau</t>
        </is>
      </c>
      <c r="R79" t="inlineStr">
        <is>
          <t xml:space="preserve">RJ </t>
        </is>
      </c>
      <c r="S79" t="n">
        <v>3</v>
      </c>
      <c r="T79" t="n">
        <v>3</v>
      </c>
      <c r="U79" t="inlineStr">
        <is>
          <t>1999-04-20</t>
        </is>
      </c>
      <c r="V79" t="inlineStr">
        <is>
          <t>1999-04-20</t>
        </is>
      </c>
      <c r="W79" t="inlineStr">
        <is>
          <t>1997-01-13</t>
        </is>
      </c>
      <c r="X79" t="inlineStr">
        <is>
          <t>1997-01-13</t>
        </is>
      </c>
      <c r="Y79" t="n">
        <v>126</v>
      </c>
      <c r="Z79" t="n">
        <v>89</v>
      </c>
      <c r="AA79" t="n">
        <v>89</v>
      </c>
      <c r="AB79" t="n">
        <v>1</v>
      </c>
      <c r="AC79" t="n">
        <v>1</v>
      </c>
      <c r="AD79" t="n">
        <v>2</v>
      </c>
      <c r="AE79" t="n">
        <v>2</v>
      </c>
      <c r="AF79" t="n">
        <v>0</v>
      </c>
      <c r="AG79" t="n">
        <v>0</v>
      </c>
      <c r="AH79" t="n">
        <v>1</v>
      </c>
      <c r="AI79" t="n">
        <v>1</v>
      </c>
      <c r="AJ79" t="n">
        <v>1</v>
      </c>
      <c r="AK79" t="n">
        <v>1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HYPERLINK("https://creighton-primo.hosted.exlibrisgroup.com/primo-explore/search?tab=default_tab&amp;search_scope=EVERYTHING&amp;vid=01CRU&amp;lang=en_US&amp;offset=0&amp;query=any,contains,991002581239702656","Catalog Record")</f>
        <v/>
      </c>
      <c r="AT79">
        <f>HYPERLINK("http://www.worldcat.org/oclc/33819932","WorldCat Record")</f>
        <v/>
      </c>
      <c r="AU79" t="inlineStr">
        <is>
          <t>365343587:eng</t>
        </is>
      </c>
      <c r="AV79" t="inlineStr">
        <is>
          <t>33819932</t>
        </is>
      </c>
      <c r="AW79" t="inlineStr">
        <is>
          <t>991002581239702656</t>
        </is>
      </c>
      <c r="AX79" t="inlineStr">
        <is>
          <t>991002581239702656</t>
        </is>
      </c>
      <c r="AY79" t="inlineStr">
        <is>
          <t>2271175380002656</t>
        </is>
      </c>
      <c r="AZ79" t="inlineStr">
        <is>
          <t>BOOK</t>
        </is>
      </c>
      <c r="BB79" t="inlineStr">
        <is>
          <t>9780316850209</t>
        </is>
      </c>
      <c r="BC79" t="inlineStr">
        <is>
          <t>32285002407285</t>
        </is>
      </c>
      <c r="BD79" t="inlineStr">
        <is>
          <t>893773775</t>
        </is>
      </c>
    </row>
    <row r="80">
      <c r="A80" t="inlineStr">
        <is>
          <t>No</t>
        </is>
      </c>
      <c r="B80" t="inlineStr">
        <is>
          <t>RJ380 .I56 1987</t>
        </is>
      </c>
      <c r="C80" t="inlineStr">
        <is>
          <t>0                      RJ 0380000I  56          1987</t>
        </is>
      </c>
      <c r="D80" t="inlineStr">
        <is>
          <t>Children and exercise XIII / edited by Svein Oseid and Kai-Håkon Carlsen.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International Congress on Pediatric Work Physiology (13th : 1987 : Hurdal, Norway)</t>
        </is>
      </c>
      <c r="L80" t="inlineStr">
        <is>
          <t>Champaign, Ill. : Human Kinetics Books, c1989.</t>
        </is>
      </c>
      <c r="M80" t="inlineStr">
        <is>
          <t>1989</t>
        </is>
      </c>
      <c r="O80" t="inlineStr">
        <is>
          <t>eng</t>
        </is>
      </c>
      <c r="P80" t="inlineStr">
        <is>
          <t>ilu</t>
        </is>
      </c>
      <c r="Q80" t="inlineStr">
        <is>
          <t>International series on sport sciences, 0160-0559 ; v. 19</t>
        </is>
      </c>
      <c r="R80" t="inlineStr">
        <is>
          <t xml:space="preserve">RJ </t>
        </is>
      </c>
      <c r="S80" t="n">
        <v>12</v>
      </c>
      <c r="T80" t="n">
        <v>12</v>
      </c>
      <c r="U80" t="inlineStr">
        <is>
          <t>2005-11-28</t>
        </is>
      </c>
      <c r="V80" t="inlineStr">
        <is>
          <t>2005-11-28</t>
        </is>
      </c>
      <c r="W80" t="inlineStr">
        <is>
          <t>1992-01-28</t>
        </is>
      </c>
      <c r="X80" t="inlineStr">
        <is>
          <t>1992-01-28</t>
        </is>
      </c>
      <c r="Y80" t="n">
        <v>246</v>
      </c>
      <c r="Z80" t="n">
        <v>181</v>
      </c>
      <c r="AA80" t="n">
        <v>183</v>
      </c>
      <c r="AB80" t="n">
        <v>1</v>
      </c>
      <c r="AC80" t="n">
        <v>1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HYPERLINK("http://catalog.hathitrust.org/Record/004438178","HathiTrust Record")</f>
        <v/>
      </c>
      <c r="AS80">
        <f>HYPERLINK("https://creighton-primo.hosted.exlibrisgroup.com/primo-explore/search?tab=default_tab&amp;search_scope=EVERYTHING&amp;vid=01CRU&amp;lang=en_US&amp;offset=0&amp;query=any,contains,991001369169702656","Catalog Record")</f>
        <v/>
      </c>
      <c r="AT80">
        <f>HYPERLINK("http://www.worldcat.org/oclc/18560553","WorldCat Record")</f>
        <v/>
      </c>
      <c r="AU80" t="inlineStr">
        <is>
          <t>353607057:eng</t>
        </is>
      </c>
      <c r="AV80" t="inlineStr">
        <is>
          <t>18560553</t>
        </is>
      </c>
      <c r="AW80" t="inlineStr">
        <is>
          <t>991001369169702656</t>
        </is>
      </c>
      <c r="AX80" t="inlineStr">
        <is>
          <t>991001369169702656</t>
        </is>
      </c>
      <c r="AY80" t="inlineStr">
        <is>
          <t>2271493540002656</t>
        </is>
      </c>
      <c r="AZ80" t="inlineStr">
        <is>
          <t>BOOK</t>
        </is>
      </c>
      <c r="BB80" t="inlineStr">
        <is>
          <t>9780873221887</t>
        </is>
      </c>
      <c r="BC80" t="inlineStr">
        <is>
          <t>32285000867894</t>
        </is>
      </c>
      <c r="BD80" t="inlineStr">
        <is>
          <t>893608799</t>
        </is>
      </c>
    </row>
    <row r="81">
      <c r="A81" t="inlineStr">
        <is>
          <t>No</t>
        </is>
      </c>
      <c r="B81" t="inlineStr">
        <is>
          <t>RJ387.A25 C48 1995</t>
        </is>
      </c>
      <c r="C81" t="inlineStr">
        <is>
          <t>0                      RJ 0387000A  25                 C  48          1995</t>
        </is>
      </c>
      <c r="D81" t="inlineStr">
        <is>
          <t>Children, families, and HIV/AIDS : psychosocial and therapeutic issues / editors, Nancy Boyd-Franklin, Gloria L. Steiner, Mary G. Boland ; foreword by James Oleske.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New York : Guilford Press, 1995.</t>
        </is>
      </c>
      <c r="M81" t="inlineStr">
        <is>
          <t>1995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RJ </t>
        </is>
      </c>
      <c r="S81" t="n">
        <v>13</v>
      </c>
      <c r="T81" t="n">
        <v>13</v>
      </c>
      <c r="U81" t="inlineStr">
        <is>
          <t>2004-03-31</t>
        </is>
      </c>
      <c r="V81" t="inlineStr">
        <is>
          <t>2004-03-31</t>
        </is>
      </c>
      <c r="W81" t="inlineStr">
        <is>
          <t>1996-08-08</t>
        </is>
      </c>
      <c r="X81" t="inlineStr">
        <is>
          <t>1996-08-08</t>
        </is>
      </c>
      <c r="Y81" t="n">
        <v>579</v>
      </c>
      <c r="Z81" t="n">
        <v>513</v>
      </c>
      <c r="AA81" t="n">
        <v>515</v>
      </c>
      <c r="AB81" t="n">
        <v>3</v>
      </c>
      <c r="AC81" t="n">
        <v>3</v>
      </c>
      <c r="AD81" t="n">
        <v>22</v>
      </c>
      <c r="AE81" t="n">
        <v>22</v>
      </c>
      <c r="AF81" t="n">
        <v>8</v>
      </c>
      <c r="AG81" t="n">
        <v>8</v>
      </c>
      <c r="AH81" t="n">
        <v>3</v>
      </c>
      <c r="AI81" t="n">
        <v>3</v>
      </c>
      <c r="AJ81" t="n">
        <v>12</v>
      </c>
      <c r="AK81" t="n">
        <v>12</v>
      </c>
      <c r="AL81" t="n">
        <v>2</v>
      </c>
      <c r="AM81" t="n">
        <v>2</v>
      </c>
      <c r="AN81" t="n">
        <v>1</v>
      </c>
      <c r="AO81" t="n">
        <v>1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HYPERLINK("https://creighton-primo.hosted.exlibrisgroup.com/primo-explore/search?tab=default_tab&amp;search_scope=EVERYTHING&amp;vid=01CRU&amp;lang=en_US&amp;offset=0&amp;query=any,contains,991002243439702656","Catalog Record")</f>
        <v/>
      </c>
      <c r="AT81">
        <f>HYPERLINK("http://www.worldcat.org/oclc/28929040","WorldCat Record")</f>
        <v/>
      </c>
      <c r="AU81" t="inlineStr">
        <is>
          <t>351550707:eng</t>
        </is>
      </c>
      <c r="AV81" t="inlineStr">
        <is>
          <t>28929040</t>
        </is>
      </c>
      <c r="AW81" t="inlineStr">
        <is>
          <t>991002243439702656</t>
        </is>
      </c>
      <c r="AX81" t="inlineStr">
        <is>
          <t>991002243439702656</t>
        </is>
      </c>
      <c r="AY81" t="inlineStr">
        <is>
          <t>2270699220002656</t>
        </is>
      </c>
      <c r="AZ81" t="inlineStr">
        <is>
          <t>BOOK</t>
        </is>
      </c>
      <c r="BB81" t="inlineStr">
        <is>
          <t>9780898621471</t>
        </is>
      </c>
      <c r="BC81" t="inlineStr">
        <is>
          <t>32285002272119</t>
        </is>
      </c>
      <c r="BD81" t="inlineStr">
        <is>
          <t>893316566</t>
        </is>
      </c>
    </row>
    <row r="82">
      <c r="A82" t="inlineStr">
        <is>
          <t>No</t>
        </is>
      </c>
      <c r="B82" t="inlineStr">
        <is>
          <t>RJ387.A25 H46 1992</t>
        </is>
      </c>
      <c r="C82" t="inlineStr">
        <is>
          <t>0                      RJ 0387000A  25                 H  46          1992</t>
        </is>
      </c>
      <c r="D82" t="inlineStr">
        <is>
          <t>Pediatric and adolescent AIDS : research findings from the social sciences / Scott W. Henggeler, Gary B. Melton, James R. Rodrigue.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Henggeler, Scott W., 1950-</t>
        </is>
      </c>
      <c r="L82" t="inlineStr">
        <is>
          <t>Newbury Park, Calif. : Sage Publications, c1992.</t>
        </is>
      </c>
      <c r="M82" t="inlineStr">
        <is>
          <t>1992</t>
        </is>
      </c>
      <c r="O82" t="inlineStr">
        <is>
          <t>eng</t>
        </is>
      </c>
      <c r="P82" t="inlineStr">
        <is>
          <t>cau</t>
        </is>
      </c>
      <c r="R82" t="inlineStr">
        <is>
          <t xml:space="preserve">RJ </t>
        </is>
      </c>
      <c r="S82" t="n">
        <v>28</v>
      </c>
      <c r="T82" t="n">
        <v>28</v>
      </c>
      <c r="U82" t="inlineStr">
        <is>
          <t>2007-01-25</t>
        </is>
      </c>
      <c r="V82" t="inlineStr">
        <is>
          <t>2007-01-25</t>
        </is>
      </c>
      <c r="W82" t="inlineStr">
        <is>
          <t>1992-08-25</t>
        </is>
      </c>
      <c r="X82" t="inlineStr">
        <is>
          <t>1992-08-25</t>
        </is>
      </c>
      <c r="Y82" t="n">
        <v>388</v>
      </c>
      <c r="Z82" t="n">
        <v>335</v>
      </c>
      <c r="AA82" t="n">
        <v>337</v>
      </c>
      <c r="AB82" t="n">
        <v>4</v>
      </c>
      <c r="AC82" t="n">
        <v>4</v>
      </c>
      <c r="AD82" t="n">
        <v>18</v>
      </c>
      <c r="AE82" t="n">
        <v>18</v>
      </c>
      <c r="AF82" t="n">
        <v>8</v>
      </c>
      <c r="AG82" t="n">
        <v>8</v>
      </c>
      <c r="AH82" t="n">
        <v>3</v>
      </c>
      <c r="AI82" t="n">
        <v>3</v>
      </c>
      <c r="AJ82" t="n">
        <v>9</v>
      </c>
      <c r="AK82" t="n">
        <v>9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HYPERLINK("http://catalog.hathitrust.org/Record/002573891","HathiTrust Record")</f>
        <v/>
      </c>
      <c r="AS82">
        <f>HYPERLINK("https://creighton-primo.hosted.exlibrisgroup.com/primo-explore/search?tab=default_tab&amp;search_scope=EVERYTHING&amp;vid=01CRU&amp;lang=en_US&amp;offset=0&amp;query=any,contains,991002011659702656","Catalog Record")</f>
        <v/>
      </c>
      <c r="AT82">
        <f>HYPERLINK("http://www.worldcat.org/oclc/25592592","WorldCat Record")</f>
        <v/>
      </c>
      <c r="AU82" t="inlineStr">
        <is>
          <t>836887523:eng</t>
        </is>
      </c>
      <c r="AV82" t="inlineStr">
        <is>
          <t>25592592</t>
        </is>
      </c>
      <c r="AW82" t="inlineStr">
        <is>
          <t>991002011659702656</t>
        </is>
      </c>
      <c r="AX82" t="inlineStr">
        <is>
          <t>991002011659702656</t>
        </is>
      </c>
      <c r="AY82" t="inlineStr">
        <is>
          <t>2261027440002656</t>
        </is>
      </c>
      <c r="AZ82" t="inlineStr">
        <is>
          <t>BOOK</t>
        </is>
      </c>
      <c r="BB82" t="inlineStr">
        <is>
          <t>9780803939820</t>
        </is>
      </c>
      <c r="BC82" t="inlineStr">
        <is>
          <t>32285001198299</t>
        </is>
      </c>
      <c r="BD82" t="inlineStr">
        <is>
          <t>893892031</t>
        </is>
      </c>
    </row>
    <row r="83">
      <c r="A83" t="inlineStr">
        <is>
          <t>No</t>
        </is>
      </c>
      <c r="B83" t="inlineStr">
        <is>
          <t>RJ387.A25 M32 1988</t>
        </is>
      </c>
      <c r="C83" t="inlineStr">
        <is>
          <t>0                      RJ 0387000A  25                 M  32          1988</t>
        </is>
      </c>
      <c r="D83" t="inlineStr">
        <is>
          <t>Morning-glory babies : children with AIDS and the celebration of life / Tolbert McCarroll.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McCarroll, Tolbert.</t>
        </is>
      </c>
      <c r="L83" t="inlineStr">
        <is>
          <t>New York : St. Martin's Press, c1988.</t>
        </is>
      </c>
      <c r="M83" t="inlineStr">
        <is>
          <t>1988</t>
        </is>
      </c>
      <c r="N83" t="inlineStr">
        <is>
          <t>1st ed.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RJ </t>
        </is>
      </c>
      <c r="S83" t="n">
        <v>17</v>
      </c>
      <c r="T83" t="n">
        <v>17</v>
      </c>
      <c r="U83" t="inlineStr">
        <is>
          <t>2002-11-09</t>
        </is>
      </c>
      <c r="V83" t="inlineStr">
        <is>
          <t>2002-11-09</t>
        </is>
      </c>
      <c r="W83" t="inlineStr">
        <is>
          <t>1990-05-24</t>
        </is>
      </c>
      <c r="X83" t="inlineStr">
        <is>
          <t>1990-05-24</t>
        </is>
      </c>
      <c r="Y83" t="n">
        <v>377</v>
      </c>
      <c r="Z83" t="n">
        <v>356</v>
      </c>
      <c r="AA83" t="n">
        <v>404</v>
      </c>
      <c r="AB83" t="n">
        <v>1</v>
      </c>
      <c r="AC83" t="n">
        <v>1</v>
      </c>
      <c r="AD83" t="n">
        <v>5</v>
      </c>
      <c r="AE83" t="n">
        <v>5</v>
      </c>
      <c r="AF83" t="n">
        <v>0</v>
      </c>
      <c r="AG83" t="n">
        <v>0</v>
      </c>
      <c r="AH83" t="n">
        <v>1</v>
      </c>
      <c r="AI83" t="n">
        <v>1</v>
      </c>
      <c r="AJ83" t="n">
        <v>4</v>
      </c>
      <c r="AK83" t="n">
        <v>4</v>
      </c>
      <c r="AL83" t="n">
        <v>0</v>
      </c>
      <c r="AM83" t="n">
        <v>0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HYPERLINK("https://creighton-primo.hosted.exlibrisgroup.com/primo-explore/search?tab=default_tab&amp;search_scope=EVERYTHING&amp;vid=01CRU&amp;lang=en_US&amp;offset=0&amp;query=any,contains,991001308509702656","Catalog Record")</f>
        <v/>
      </c>
      <c r="AT83">
        <f>HYPERLINK("http://www.worldcat.org/oclc/18134748","WorldCat Record")</f>
        <v/>
      </c>
      <c r="AU83" t="inlineStr">
        <is>
          <t>836780774:eng</t>
        </is>
      </c>
      <c r="AV83" t="inlineStr">
        <is>
          <t>18134748</t>
        </is>
      </c>
      <c r="AW83" t="inlineStr">
        <is>
          <t>991001308509702656</t>
        </is>
      </c>
      <c r="AX83" t="inlineStr">
        <is>
          <t>991001308509702656</t>
        </is>
      </c>
      <c r="AY83" t="inlineStr">
        <is>
          <t>2259764680002656</t>
        </is>
      </c>
      <c r="AZ83" t="inlineStr">
        <is>
          <t>BOOK</t>
        </is>
      </c>
      <c r="BB83" t="inlineStr">
        <is>
          <t>9780312022556</t>
        </is>
      </c>
      <c r="BC83" t="inlineStr">
        <is>
          <t>32285000138395</t>
        </is>
      </c>
      <c r="BD83" t="inlineStr">
        <is>
          <t>893602505</t>
        </is>
      </c>
    </row>
    <row r="84">
      <c r="A84" t="inlineStr">
        <is>
          <t>No</t>
        </is>
      </c>
      <c r="B84" t="inlineStr">
        <is>
          <t>RJ399 P37 1989</t>
        </is>
      </c>
      <c r="C84" t="inlineStr">
        <is>
          <t>0                      RJ 0399000P  37          1989</t>
        </is>
      </c>
      <c r="D84" t="inlineStr">
        <is>
          <t>The relationship between nutrition and learning : a school employee's guide to information and action / prepared by Lynn Parker.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Parker, Lynn.</t>
        </is>
      </c>
      <c r="L84" t="inlineStr">
        <is>
          <t>Washington, D.C. : National Education Assn., c1989.</t>
        </is>
      </c>
      <c r="M84" t="inlineStr">
        <is>
          <t>1989</t>
        </is>
      </c>
      <c r="O84" t="inlineStr">
        <is>
          <t>eng</t>
        </is>
      </c>
      <c r="P84" t="inlineStr">
        <is>
          <t xml:space="preserve">xx </t>
        </is>
      </c>
      <c r="R84" t="inlineStr">
        <is>
          <t xml:space="preserve">RJ </t>
        </is>
      </c>
      <c r="S84" t="n">
        <v>12</v>
      </c>
      <c r="T84" t="n">
        <v>12</v>
      </c>
      <c r="U84" t="inlineStr">
        <is>
          <t>2004-03-16</t>
        </is>
      </c>
      <c r="V84" t="inlineStr">
        <is>
          <t>2004-03-16</t>
        </is>
      </c>
      <c r="W84" t="inlineStr">
        <is>
          <t>1992-02-19</t>
        </is>
      </c>
      <c r="X84" t="inlineStr">
        <is>
          <t>1992-02-19</t>
        </is>
      </c>
      <c r="Y84" t="n">
        <v>215</v>
      </c>
      <c r="Z84" t="n">
        <v>212</v>
      </c>
      <c r="AA84" t="n">
        <v>215</v>
      </c>
      <c r="AB84" t="n">
        <v>4</v>
      </c>
      <c r="AC84" t="n">
        <v>4</v>
      </c>
      <c r="AD84" t="n">
        <v>8</v>
      </c>
      <c r="AE84" t="n">
        <v>8</v>
      </c>
      <c r="AF84" t="n">
        <v>4</v>
      </c>
      <c r="AG84" t="n">
        <v>4</v>
      </c>
      <c r="AH84" t="n">
        <v>1</v>
      </c>
      <c r="AI84" t="n">
        <v>1</v>
      </c>
      <c r="AJ84" t="n">
        <v>3</v>
      </c>
      <c r="AK84" t="n">
        <v>3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HYPERLINK("https://creighton-primo.hosted.exlibrisgroup.com/primo-explore/search?tab=default_tab&amp;search_scope=EVERYTHING&amp;vid=01CRU&amp;lang=en_US&amp;offset=0&amp;query=any,contains,991001485879702656","Catalog Record")</f>
        <v/>
      </c>
      <c r="AT84">
        <f>HYPERLINK("http://www.worldcat.org/oclc/19655138","WorldCat Record")</f>
        <v/>
      </c>
      <c r="AU84" t="inlineStr">
        <is>
          <t>21169585:eng</t>
        </is>
      </c>
      <c r="AV84" t="inlineStr">
        <is>
          <t>19655138</t>
        </is>
      </c>
      <c r="AW84" t="inlineStr">
        <is>
          <t>991001485879702656</t>
        </is>
      </c>
      <c r="AX84" t="inlineStr">
        <is>
          <t>991001485879702656</t>
        </is>
      </c>
      <c r="AY84" t="inlineStr">
        <is>
          <t>2254762260002656</t>
        </is>
      </c>
      <c r="AZ84" t="inlineStr">
        <is>
          <t>BOOK</t>
        </is>
      </c>
      <c r="BC84" t="inlineStr">
        <is>
          <t>32285000971407</t>
        </is>
      </c>
      <c r="BD84" t="inlineStr">
        <is>
          <t>893596503</t>
        </is>
      </c>
    </row>
    <row r="85">
      <c r="A85" t="inlineStr">
        <is>
          <t>No</t>
        </is>
      </c>
      <c r="B85" t="inlineStr">
        <is>
          <t>RJ399.C6 E93 1988</t>
        </is>
      </c>
      <c r="C85" t="inlineStr">
        <is>
          <t>0                      RJ 0399000C  6                  E  93          1988</t>
        </is>
      </c>
      <c r="D85" t="inlineStr">
        <is>
          <t>Evaluation and management of eating disorders : anorexia, bulimia, and obesity / edited by Kristine L. Clark, Richard B. Parr, William P. Castelli.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Champaign, Ill. : Life Enhancement Publications, c1988.</t>
        </is>
      </c>
      <c r="M85" t="inlineStr">
        <is>
          <t>1988</t>
        </is>
      </c>
      <c r="O85" t="inlineStr">
        <is>
          <t>eng</t>
        </is>
      </c>
      <c r="P85" t="inlineStr">
        <is>
          <t>ilu</t>
        </is>
      </c>
      <c r="Q85" t="inlineStr">
        <is>
          <t>La Crosse exercise and health series, 0894-4261</t>
        </is>
      </c>
      <c r="R85" t="inlineStr">
        <is>
          <t xml:space="preserve">RJ </t>
        </is>
      </c>
      <c r="S85" t="n">
        <v>48</v>
      </c>
      <c r="T85" t="n">
        <v>48</v>
      </c>
      <c r="U85" t="inlineStr">
        <is>
          <t>2007-02-23</t>
        </is>
      </c>
      <c r="V85" t="inlineStr">
        <is>
          <t>2007-02-23</t>
        </is>
      </c>
      <c r="W85" t="inlineStr">
        <is>
          <t>1991-08-26</t>
        </is>
      </c>
      <c r="X85" t="inlineStr">
        <is>
          <t>1991-08-26</t>
        </is>
      </c>
      <c r="Y85" t="n">
        <v>499</v>
      </c>
      <c r="Z85" t="n">
        <v>409</v>
      </c>
      <c r="AA85" t="n">
        <v>416</v>
      </c>
      <c r="AB85" t="n">
        <v>7</v>
      </c>
      <c r="AC85" t="n">
        <v>7</v>
      </c>
      <c r="AD85" t="n">
        <v>17</v>
      </c>
      <c r="AE85" t="n">
        <v>17</v>
      </c>
      <c r="AF85" t="n">
        <v>4</v>
      </c>
      <c r="AG85" t="n">
        <v>4</v>
      </c>
      <c r="AH85" t="n">
        <v>2</v>
      </c>
      <c r="AI85" t="n">
        <v>2</v>
      </c>
      <c r="AJ85" t="n">
        <v>8</v>
      </c>
      <c r="AK85" t="n">
        <v>8</v>
      </c>
      <c r="AL85" t="n">
        <v>6</v>
      </c>
      <c r="AM85" t="n">
        <v>6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HYPERLINK("http://catalog.hathitrust.org/Record/004410367","HathiTrust Record")</f>
        <v/>
      </c>
      <c r="AS85">
        <f>HYPERLINK("https://creighton-primo.hosted.exlibrisgroup.com/primo-explore/search?tab=default_tab&amp;search_scope=EVERYTHING&amp;vid=01CRU&amp;lang=en_US&amp;offset=0&amp;query=any,contains,991001130709702656","Catalog Record")</f>
        <v/>
      </c>
      <c r="AT85">
        <f>HYPERLINK("http://www.worldcat.org/oclc/16682713","WorldCat Record")</f>
        <v/>
      </c>
      <c r="AU85" t="inlineStr">
        <is>
          <t>12619447:eng</t>
        </is>
      </c>
      <c r="AV85" t="inlineStr">
        <is>
          <t>16682713</t>
        </is>
      </c>
      <c r="AW85" t="inlineStr">
        <is>
          <t>991001130709702656</t>
        </is>
      </c>
      <c r="AX85" t="inlineStr">
        <is>
          <t>991001130709702656</t>
        </is>
      </c>
      <c r="AY85" t="inlineStr">
        <is>
          <t>2272137350002656</t>
        </is>
      </c>
      <c r="AZ85" t="inlineStr">
        <is>
          <t>BOOK</t>
        </is>
      </c>
      <c r="BB85" t="inlineStr">
        <is>
          <t>9780873229111</t>
        </is>
      </c>
      <c r="BC85" t="inlineStr">
        <is>
          <t>32285000701895</t>
        </is>
      </c>
      <c r="BD85" t="inlineStr">
        <is>
          <t>893426345</t>
        </is>
      </c>
    </row>
    <row r="86">
      <c r="A86" t="inlineStr">
        <is>
          <t>No</t>
        </is>
      </c>
      <c r="B86" t="inlineStr">
        <is>
          <t>RJ399.C6 K52 1987</t>
        </is>
      </c>
      <c r="C86" t="inlineStr">
        <is>
          <t>0                      RJ 0399000C  6                  K  52          1987</t>
        </is>
      </c>
      <c r="D86" t="inlineStr">
        <is>
          <t>Treating childhood and adolescent obesity / Daniel S. Kirschenbaum, William G. Johnson, Peter M. Stalonas, Jr.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Kirschenbaum, Daniel S., 1950-</t>
        </is>
      </c>
      <c r="L86" t="inlineStr">
        <is>
          <t>New York : Pergamon Press, c1987.</t>
        </is>
      </c>
      <c r="M86" t="inlineStr">
        <is>
          <t>1987</t>
        </is>
      </c>
      <c r="O86" t="inlineStr">
        <is>
          <t>eng</t>
        </is>
      </c>
      <c r="P86" t="inlineStr">
        <is>
          <t>nyu</t>
        </is>
      </c>
      <c r="Q86" t="inlineStr">
        <is>
          <t>Psychology practitioner guidebooks</t>
        </is>
      </c>
      <c r="R86" t="inlineStr">
        <is>
          <t xml:space="preserve">RJ </t>
        </is>
      </c>
      <c r="S86" t="n">
        <v>19</v>
      </c>
      <c r="T86" t="n">
        <v>19</v>
      </c>
      <c r="U86" t="inlineStr">
        <is>
          <t>2006-10-31</t>
        </is>
      </c>
      <c r="V86" t="inlineStr">
        <is>
          <t>2006-10-31</t>
        </is>
      </c>
      <c r="W86" t="inlineStr">
        <is>
          <t>1992-02-25</t>
        </is>
      </c>
      <c r="X86" t="inlineStr">
        <is>
          <t>1992-02-25</t>
        </is>
      </c>
      <c r="Y86" t="n">
        <v>282</v>
      </c>
      <c r="Z86" t="n">
        <v>211</v>
      </c>
      <c r="AA86" t="n">
        <v>218</v>
      </c>
      <c r="AB86" t="n">
        <v>3</v>
      </c>
      <c r="AC86" t="n">
        <v>3</v>
      </c>
      <c r="AD86" t="n">
        <v>7</v>
      </c>
      <c r="AE86" t="n">
        <v>7</v>
      </c>
      <c r="AF86" t="n">
        <v>2</v>
      </c>
      <c r="AG86" t="n">
        <v>2</v>
      </c>
      <c r="AH86" t="n">
        <v>2</v>
      </c>
      <c r="AI86" t="n">
        <v>2</v>
      </c>
      <c r="AJ86" t="n">
        <v>3</v>
      </c>
      <c r="AK86" t="n">
        <v>3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HYPERLINK("http://catalog.hathitrust.org/Record/000831162","HathiTrust Record")</f>
        <v/>
      </c>
      <c r="AS86">
        <f>HYPERLINK("https://creighton-primo.hosted.exlibrisgroup.com/primo-explore/search?tab=default_tab&amp;search_scope=EVERYTHING&amp;vid=01CRU&amp;lang=en_US&amp;offset=0&amp;query=any,contains,991000948349702656","Catalog Record")</f>
        <v/>
      </c>
      <c r="AT86">
        <f>HYPERLINK("http://www.worldcat.org/oclc/14588853","WorldCat Record")</f>
        <v/>
      </c>
      <c r="AU86" t="inlineStr">
        <is>
          <t>9084323:eng</t>
        </is>
      </c>
      <c r="AV86" t="inlineStr">
        <is>
          <t>14588853</t>
        </is>
      </c>
      <c r="AW86" t="inlineStr">
        <is>
          <t>991000948349702656</t>
        </is>
      </c>
      <c r="AX86" t="inlineStr">
        <is>
          <t>991000948349702656</t>
        </is>
      </c>
      <c r="AY86" t="inlineStr">
        <is>
          <t>2267425990002656</t>
        </is>
      </c>
      <c r="AZ86" t="inlineStr">
        <is>
          <t>BOOK</t>
        </is>
      </c>
      <c r="BB86" t="inlineStr">
        <is>
          <t>9780080324135</t>
        </is>
      </c>
      <c r="BC86" t="inlineStr">
        <is>
          <t>32285000982834</t>
        </is>
      </c>
      <c r="BD86" t="inlineStr">
        <is>
          <t>893321514</t>
        </is>
      </c>
    </row>
    <row r="87">
      <c r="A87" t="inlineStr">
        <is>
          <t>No</t>
        </is>
      </c>
      <c r="B87" t="inlineStr">
        <is>
          <t>RJ399.C6 Y68 2008</t>
        </is>
      </c>
      <c r="C87" t="inlineStr">
        <is>
          <t>0                      RJ 0399000C  6                  Y  68          2008</t>
        </is>
      </c>
      <c r="D87" t="inlineStr">
        <is>
          <t>Youth physical activity and sedentary behavior : challenges and solutions / Alan L. Smith, Stuart J.H. Biddle, editors.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Champaign, IL : Human Kinetics, c2008.</t>
        </is>
      </c>
      <c r="M87" t="inlineStr">
        <is>
          <t>2008</t>
        </is>
      </c>
      <c r="O87" t="inlineStr">
        <is>
          <t>eng</t>
        </is>
      </c>
      <c r="P87" t="inlineStr">
        <is>
          <t>ilu</t>
        </is>
      </c>
      <c r="R87" t="inlineStr">
        <is>
          <t xml:space="preserve">RJ </t>
        </is>
      </c>
      <c r="S87" t="n">
        <v>1</v>
      </c>
      <c r="T87" t="n">
        <v>1</v>
      </c>
      <c r="U87" t="inlineStr">
        <is>
          <t>2010-12-07</t>
        </is>
      </c>
      <c r="V87" t="inlineStr">
        <is>
          <t>2010-12-07</t>
        </is>
      </c>
      <c r="W87" t="inlineStr">
        <is>
          <t>2010-12-07</t>
        </is>
      </c>
      <c r="X87" t="inlineStr">
        <is>
          <t>2010-12-07</t>
        </is>
      </c>
      <c r="Y87" t="n">
        <v>281</v>
      </c>
      <c r="Z87" t="n">
        <v>170</v>
      </c>
      <c r="AA87" t="n">
        <v>189</v>
      </c>
      <c r="AB87" t="n">
        <v>2</v>
      </c>
      <c r="AC87" t="n">
        <v>2</v>
      </c>
      <c r="AD87" t="n">
        <v>6</v>
      </c>
      <c r="AE87" t="n">
        <v>6</v>
      </c>
      <c r="AF87" t="n">
        <v>3</v>
      </c>
      <c r="AG87" t="n">
        <v>3</v>
      </c>
      <c r="AH87" t="n">
        <v>2</v>
      </c>
      <c r="AI87" t="n">
        <v>2</v>
      </c>
      <c r="AJ87" t="n">
        <v>3</v>
      </c>
      <c r="AK87" t="n">
        <v>3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HYPERLINK("https://creighton-primo.hosted.exlibrisgroup.com/primo-explore/search?tab=default_tab&amp;search_scope=EVERYTHING&amp;vid=01CRU&amp;lang=en_US&amp;offset=0&amp;query=any,contains,991000377759702656","Catalog Record")</f>
        <v/>
      </c>
      <c r="AT87">
        <f>HYPERLINK("http://www.worldcat.org/oclc/213008133","WorldCat Record")</f>
        <v/>
      </c>
      <c r="AU87" t="inlineStr">
        <is>
          <t>865130689:eng</t>
        </is>
      </c>
      <c r="AV87" t="inlineStr">
        <is>
          <t>213008133</t>
        </is>
      </c>
      <c r="AW87" t="inlineStr">
        <is>
          <t>991000377759702656</t>
        </is>
      </c>
      <c r="AX87" t="inlineStr">
        <is>
          <t>991000377759702656</t>
        </is>
      </c>
      <c r="AY87" t="inlineStr">
        <is>
          <t>2255076070002656</t>
        </is>
      </c>
      <c r="AZ87" t="inlineStr">
        <is>
          <t>BOOK</t>
        </is>
      </c>
      <c r="BB87" t="inlineStr">
        <is>
          <t>9780736065092</t>
        </is>
      </c>
      <c r="BC87" t="inlineStr">
        <is>
          <t>32285005609283</t>
        </is>
      </c>
      <c r="BD87" t="inlineStr">
        <is>
          <t>893243189</t>
        </is>
      </c>
    </row>
    <row r="88">
      <c r="A88" t="inlineStr">
        <is>
          <t>No</t>
        </is>
      </c>
      <c r="B88" t="inlineStr">
        <is>
          <t>RJ399.M26 M34 1976b</t>
        </is>
      </c>
      <c r="C88" t="inlineStr">
        <is>
          <t>0                      RJ 0399000M  26                 M  34          1976b</t>
        </is>
      </c>
      <c r="D88" t="inlineStr">
        <is>
          <t>Malnutrition and intellectual development / edited by John D. Lloyd-Still.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Lancaster, Eng. : MTP Press, c1976.</t>
        </is>
      </c>
      <c r="M88" t="inlineStr">
        <is>
          <t>1976</t>
        </is>
      </c>
      <c r="O88" t="inlineStr">
        <is>
          <t>eng</t>
        </is>
      </c>
      <c r="P88" t="inlineStr">
        <is>
          <t>enk</t>
        </is>
      </c>
      <c r="R88" t="inlineStr">
        <is>
          <t xml:space="preserve">RJ </t>
        </is>
      </c>
      <c r="S88" t="n">
        <v>6</v>
      </c>
      <c r="T88" t="n">
        <v>6</v>
      </c>
      <c r="U88" t="inlineStr">
        <is>
          <t>1998-11-03</t>
        </is>
      </c>
      <c r="V88" t="inlineStr">
        <is>
          <t>1998-11-03</t>
        </is>
      </c>
      <c r="W88" t="inlineStr">
        <is>
          <t>1994-02-14</t>
        </is>
      </c>
      <c r="X88" t="inlineStr">
        <is>
          <t>1994-02-14</t>
        </is>
      </c>
      <c r="Y88" t="n">
        <v>122</v>
      </c>
      <c r="Z88" t="n">
        <v>58</v>
      </c>
      <c r="AA88" t="n">
        <v>337</v>
      </c>
      <c r="AB88" t="n">
        <v>2</v>
      </c>
      <c r="AC88" t="n">
        <v>2</v>
      </c>
      <c r="AD88" t="n">
        <v>1</v>
      </c>
      <c r="AE88" t="n">
        <v>7</v>
      </c>
      <c r="AF88" t="n">
        <v>0</v>
      </c>
      <c r="AG88" t="n">
        <v>2</v>
      </c>
      <c r="AH88" t="n">
        <v>0</v>
      </c>
      <c r="AI88" t="n">
        <v>1</v>
      </c>
      <c r="AJ88" t="n">
        <v>0</v>
      </c>
      <c r="AK88" t="n">
        <v>3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HYPERLINK("https://creighton-primo.hosted.exlibrisgroup.com/primo-explore/search?tab=default_tab&amp;search_scope=EVERYTHING&amp;vid=01CRU&amp;lang=en_US&amp;offset=0&amp;query=any,contains,991004223419702656","Catalog Record")</f>
        <v/>
      </c>
      <c r="AT88">
        <f>HYPERLINK("http://www.worldcat.org/oclc/2720378","WorldCat Record")</f>
        <v/>
      </c>
      <c r="AU88" t="inlineStr">
        <is>
          <t>54149209:eng</t>
        </is>
      </c>
      <c r="AV88" t="inlineStr">
        <is>
          <t>2720378</t>
        </is>
      </c>
      <c r="AW88" t="inlineStr">
        <is>
          <t>991004223419702656</t>
        </is>
      </c>
      <c r="AX88" t="inlineStr">
        <is>
          <t>991004223419702656</t>
        </is>
      </c>
      <c r="AY88" t="inlineStr">
        <is>
          <t>2256009200002656</t>
        </is>
      </c>
      <c r="AZ88" t="inlineStr">
        <is>
          <t>BOOK</t>
        </is>
      </c>
      <c r="BB88" t="inlineStr">
        <is>
          <t>9780852001400</t>
        </is>
      </c>
      <c r="BC88" t="inlineStr">
        <is>
          <t>32285001838225</t>
        </is>
      </c>
      <c r="BD88" t="inlineStr">
        <is>
          <t>893253415</t>
        </is>
      </c>
    </row>
    <row r="89">
      <c r="A89" t="inlineStr">
        <is>
          <t>No</t>
        </is>
      </c>
      <c r="B89" t="inlineStr">
        <is>
          <t>RJ399.N8 S67 1982</t>
        </is>
      </c>
      <c r="C89" t="inlineStr">
        <is>
          <t>0                      RJ 0399000N  8                  S  67          1982</t>
        </is>
      </c>
      <c r="D89" t="inlineStr">
        <is>
          <t>Nutrition casebook on developmental disabilities / Ninfa Saturnino Springer.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Springer, Ninfa Saturnino.</t>
        </is>
      </c>
      <c r="L89" t="inlineStr">
        <is>
          <t>Syracuse, N.Y. : Syracuse University Press, 1982.</t>
        </is>
      </c>
      <c r="M89" t="inlineStr">
        <is>
          <t>1982</t>
        </is>
      </c>
      <c r="N89" t="inlineStr">
        <is>
          <t>1st ed.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RJ </t>
        </is>
      </c>
      <c r="S89" t="n">
        <v>7</v>
      </c>
      <c r="T89" t="n">
        <v>7</v>
      </c>
      <c r="U89" t="inlineStr">
        <is>
          <t>2006-10-31</t>
        </is>
      </c>
      <c r="V89" t="inlineStr">
        <is>
          <t>2006-10-31</t>
        </is>
      </c>
      <c r="W89" t="inlineStr">
        <is>
          <t>1993-02-24</t>
        </is>
      </c>
      <c r="X89" t="inlineStr">
        <is>
          <t>1993-02-24</t>
        </is>
      </c>
      <c r="Y89" t="n">
        <v>187</v>
      </c>
      <c r="Z89" t="n">
        <v>167</v>
      </c>
      <c r="AA89" t="n">
        <v>169</v>
      </c>
      <c r="AB89" t="n">
        <v>3</v>
      </c>
      <c r="AC89" t="n">
        <v>3</v>
      </c>
      <c r="AD89" t="n">
        <v>6</v>
      </c>
      <c r="AE89" t="n">
        <v>6</v>
      </c>
      <c r="AF89" t="n">
        <v>1</v>
      </c>
      <c r="AG89" t="n">
        <v>1</v>
      </c>
      <c r="AH89" t="n">
        <v>1</v>
      </c>
      <c r="AI89" t="n">
        <v>1</v>
      </c>
      <c r="AJ89" t="n">
        <v>3</v>
      </c>
      <c r="AK89" t="n">
        <v>3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HYPERLINK("http://catalog.hathitrust.org/Record/000103728","HathiTrust Record")</f>
        <v/>
      </c>
      <c r="AS89">
        <f>HYPERLINK("https://creighton-primo.hosted.exlibrisgroup.com/primo-explore/search?tab=default_tab&amp;search_scope=EVERYTHING&amp;vid=01CRU&amp;lang=en_US&amp;offset=0&amp;query=any,contains,991005195189702656","Catalog Record")</f>
        <v/>
      </c>
      <c r="AT89">
        <f>HYPERLINK("http://www.worldcat.org/oclc/8034646","WorldCat Record")</f>
        <v/>
      </c>
      <c r="AU89" t="inlineStr">
        <is>
          <t>477753:eng</t>
        </is>
      </c>
      <c r="AV89" t="inlineStr">
        <is>
          <t>8034646</t>
        </is>
      </c>
      <c r="AW89" t="inlineStr">
        <is>
          <t>991005195189702656</t>
        </is>
      </c>
      <c r="AX89" t="inlineStr">
        <is>
          <t>991005195189702656</t>
        </is>
      </c>
      <c r="AY89" t="inlineStr">
        <is>
          <t>2267579240002656</t>
        </is>
      </c>
      <c r="AZ89" t="inlineStr">
        <is>
          <t>BOOK</t>
        </is>
      </c>
      <c r="BB89" t="inlineStr">
        <is>
          <t>9780815622598</t>
        </is>
      </c>
      <c r="BC89" t="inlineStr">
        <is>
          <t>32285001528636</t>
        </is>
      </c>
      <c r="BD89" t="inlineStr">
        <is>
          <t>893883486</t>
        </is>
      </c>
    </row>
    <row r="90">
      <c r="A90" t="inlineStr">
        <is>
          <t>No</t>
        </is>
      </c>
      <c r="B90" t="inlineStr">
        <is>
          <t>RJ47 .C46</t>
        </is>
      </c>
      <c r="C90" t="inlineStr">
        <is>
          <t>0                      RJ 0047000C  46</t>
        </is>
      </c>
      <c r="D90" t="inlineStr">
        <is>
          <t>The Chronically ill child and his family / edited by Matthew Debuskey, assistant editor: Robert H. Dombro. With a foreword by Robert E. Cooke. Illus. by Aaron Sopher.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Springfield, Ill. : Thomas, [1970]</t>
        </is>
      </c>
      <c r="M90" t="inlineStr">
        <is>
          <t>1970</t>
        </is>
      </c>
      <c r="O90" t="inlineStr">
        <is>
          <t>eng</t>
        </is>
      </c>
      <c r="P90" t="inlineStr">
        <is>
          <t>ilu</t>
        </is>
      </c>
      <c r="R90" t="inlineStr">
        <is>
          <t xml:space="preserve">RJ </t>
        </is>
      </c>
      <c r="S90" t="n">
        <v>2</v>
      </c>
      <c r="T90" t="n">
        <v>2</v>
      </c>
      <c r="U90" t="inlineStr">
        <is>
          <t>1993-05-03</t>
        </is>
      </c>
      <c r="V90" t="inlineStr">
        <is>
          <t>1993-05-03</t>
        </is>
      </c>
      <c r="W90" t="inlineStr">
        <is>
          <t>1992-03-16</t>
        </is>
      </c>
      <c r="X90" t="inlineStr">
        <is>
          <t>1992-03-16</t>
        </is>
      </c>
      <c r="Y90" t="n">
        <v>259</v>
      </c>
      <c r="Z90" t="n">
        <v>212</v>
      </c>
      <c r="AA90" t="n">
        <v>214</v>
      </c>
      <c r="AB90" t="n">
        <v>3</v>
      </c>
      <c r="AC90" t="n">
        <v>3</v>
      </c>
      <c r="AD90" t="n">
        <v>8</v>
      </c>
      <c r="AE90" t="n">
        <v>8</v>
      </c>
      <c r="AF90" t="n">
        <v>1</v>
      </c>
      <c r="AG90" t="n">
        <v>1</v>
      </c>
      <c r="AH90" t="n">
        <v>0</v>
      </c>
      <c r="AI90" t="n">
        <v>0</v>
      </c>
      <c r="AJ90" t="n">
        <v>5</v>
      </c>
      <c r="AK90" t="n">
        <v>5</v>
      </c>
      <c r="AL90" t="n">
        <v>2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HYPERLINK("http://catalog.hathitrust.org/Record/001570133","HathiTrust Record")</f>
        <v/>
      </c>
      <c r="AS90">
        <f>HYPERLINK("https://creighton-primo.hosted.exlibrisgroup.com/primo-explore/search?tab=default_tab&amp;search_scope=EVERYTHING&amp;vid=01CRU&amp;lang=en_US&amp;offset=0&amp;query=any,contains,991000546359702656","Catalog Record")</f>
        <v/>
      </c>
      <c r="AT90">
        <f>HYPERLINK("http://www.worldcat.org/oclc/91499","WorldCat Record")</f>
        <v/>
      </c>
      <c r="AU90" t="inlineStr">
        <is>
          <t>1302190:eng</t>
        </is>
      </c>
      <c r="AV90" t="inlineStr">
        <is>
          <t>91499</t>
        </is>
      </c>
      <c r="AW90" t="inlineStr">
        <is>
          <t>991000546359702656</t>
        </is>
      </c>
      <c r="AX90" t="inlineStr">
        <is>
          <t>991000546359702656</t>
        </is>
      </c>
      <c r="AY90" t="inlineStr">
        <is>
          <t>2264644680002656</t>
        </is>
      </c>
      <c r="AZ90" t="inlineStr">
        <is>
          <t>BOOK</t>
        </is>
      </c>
      <c r="BC90" t="inlineStr">
        <is>
          <t>32285001021194</t>
        </is>
      </c>
      <c r="BD90" t="inlineStr">
        <is>
          <t>893784320</t>
        </is>
      </c>
    </row>
    <row r="91">
      <c r="A91" t="inlineStr">
        <is>
          <t>No</t>
        </is>
      </c>
      <c r="B91" t="inlineStr">
        <is>
          <t>RJ47.3 .G556 2006</t>
        </is>
      </c>
      <c r="C91" t="inlineStr">
        <is>
          <t>0                      RJ 0047300G  556         2006</t>
        </is>
      </c>
      <c r="D91" t="inlineStr">
        <is>
          <t>Choosing children : genes, disability, and design / Jonathan Glover.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Glover, Jonathan.</t>
        </is>
      </c>
      <c r="L91" t="inlineStr">
        <is>
          <t>Oxford : Clarendon Press ; Oxford ; New York : Oxford University Press, c2006</t>
        </is>
      </c>
      <c r="M91" t="inlineStr">
        <is>
          <t>2006</t>
        </is>
      </c>
      <c r="O91" t="inlineStr">
        <is>
          <t>eng</t>
        </is>
      </c>
      <c r="P91" t="inlineStr">
        <is>
          <t>enk</t>
        </is>
      </c>
      <c r="Q91" t="inlineStr">
        <is>
          <t>Uehiro series in practical ethics</t>
        </is>
      </c>
      <c r="R91" t="inlineStr">
        <is>
          <t xml:space="preserve">RJ </t>
        </is>
      </c>
      <c r="S91" t="n">
        <v>1</v>
      </c>
      <c r="T91" t="n">
        <v>1</v>
      </c>
      <c r="U91" t="inlineStr">
        <is>
          <t>2008-05-21</t>
        </is>
      </c>
      <c r="V91" t="inlineStr">
        <is>
          <t>2008-05-21</t>
        </is>
      </c>
      <c r="W91" t="inlineStr">
        <is>
          <t>2008-03-17</t>
        </is>
      </c>
      <c r="X91" t="inlineStr">
        <is>
          <t>2008-03-17</t>
        </is>
      </c>
      <c r="Y91" t="n">
        <v>438</v>
      </c>
      <c r="Z91" t="n">
        <v>273</v>
      </c>
      <c r="AA91" t="n">
        <v>908</v>
      </c>
      <c r="AB91" t="n">
        <v>3</v>
      </c>
      <c r="AC91" t="n">
        <v>16</v>
      </c>
      <c r="AD91" t="n">
        <v>20</v>
      </c>
      <c r="AE91" t="n">
        <v>47</v>
      </c>
      <c r="AF91" t="n">
        <v>7</v>
      </c>
      <c r="AG91" t="n">
        <v>15</v>
      </c>
      <c r="AH91" t="n">
        <v>2</v>
      </c>
      <c r="AI91" t="n">
        <v>8</v>
      </c>
      <c r="AJ91" t="n">
        <v>7</v>
      </c>
      <c r="AK91" t="n">
        <v>14</v>
      </c>
      <c r="AL91" t="n">
        <v>2</v>
      </c>
      <c r="AM91" t="n">
        <v>11</v>
      </c>
      <c r="AN91" t="n">
        <v>6</v>
      </c>
      <c r="AO91" t="n">
        <v>7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HYPERLINK("https://creighton-primo.hosted.exlibrisgroup.com/primo-explore/search?tab=default_tab&amp;search_scope=EVERYTHING&amp;vid=01CRU&amp;lang=en_US&amp;offset=0&amp;query=any,contains,991005193329702656","Catalog Record")</f>
        <v/>
      </c>
      <c r="AT91">
        <f>HYPERLINK("http://www.worldcat.org/oclc/62118380","WorldCat Record")</f>
        <v/>
      </c>
      <c r="AU91" t="inlineStr">
        <is>
          <t>801168267:eng</t>
        </is>
      </c>
      <c r="AV91" t="inlineStr">
        <is>
          <t>62118380</t>
        </is>
      </c>
      <c r="AW91" t="inlineStr">
        <is>
          <t>991005193329702656</t>
        </is>
      </c>
      <c r="AX91" t="inlineStr">
        <is>
          <t>991005193329702656</t>
        </is>
      </c>
      <c r="AY91" t="inlineStr">
        <is>
          <t>2260409190002656</t>
        </is>
      </c>
      <c r="AZ91" t="inlineStr">
        <is>
          <t>BOOK</t>
        </is>
      </c>
      <c r="BB91" t="inlineStr">
        <is>
          <t>9780199238491</t>
        </is>
      </c>
      <c r="BC91" t="inlineStr">
        <is>
          <t>32285005397129</t>
        </is>
      </c>
      <c r="BD91" t="inlineStr">
        <is>
          <t>893613279</t>
        </is>
      </c>
    </row>
    <row r="92">
      <c r="A92" t="inlineStr">
        <is>
          <t>No</t>
        </is>
      </c>
      <c r="B92" t="inlineStr">
        <is>
          <t>RJ47.5 .B58</t>
        </is>
      </c>
      <c r="C92" t="inlineStr">
        <is>
          <t>0                      RJ 0047500B  58</t>
        </is>
      </c>
      <c r="D92" t="inlineStr">
        <is>
          <t>The private worlds of dying children / Myra Bluebond-Langner.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Bluebond-Langner, Myra, 1948-</t>
        </is>
      </c>
      <c r="L92" t="inlineStr">
        <is>
          <t>Princeton, N.J. : Princeton University Press, c1978.</t>
        </is>
      </c>
      <c r="M92" t="inlineStr">
        <is>
          <t>1978</t>
        </is>
      </c>
      <c r="O92" t="inlineStr">
        <is>
          <t>eng</t>
        </is>
      </c>
      <c r="P92" t="inlineStr">
        <is>
          <t>nju</t>
        </is>
      </c>
      <c r="R92" t="inlineStr">
        <is>
          <t xml:space="preserve">RJ </t>
        </is>
      </c>
      <c r="S92" t="n">
        <v>9</v>
      </c>
      <c r="T92" t="n">
        <v>9</v>
      </c>
      <c r="U92" t="inlineStr">
        <is>
          <t>1998-03-03</t>
        </is>
      </c>
      <c r="V92" t="inlineStr">
        <is>
          <t>1998-03-03</t>
        </is>
      </c>
      <c r="W92" t="inlineStr">
        <is>
          <t>1992-03-01</t>
        </is>
      </c>
      <c r="X92" t="inlineStr">
        <is>
          <t>1992-03-01</t>
        </is>
      </c>
      <c r="Y92" t="n">
        <v>1019</v>
      </c>
      <c r="Z92" t="n">
        <v>856</v>
      </c>
      <c r="AA92" t="n">
        <v>1052</v>
      </c>
      <c r="AB92" t="n">
        <v>7</v>
      </c>
      <c r="AC92" t="n">
        <v>8</v>
      </c>
      <c r="AD92" t="n">
        <v>30</v>
      </c>
      <c r="AE92" t="n">
        <v>37</v>
      </c>
      <c r="AF92" t="n">
        <v>11</v>
      </c>
      <c r="AG92" t="n">
        <v>15</v>
      </c>
      <c r="AH92" t="n">
        <v>6</v>
      </c>
      <c r="AI92" t="n">
        <v>9</v>
      </c>
      <c r="AJ92" t="n">
        <v>16</v>
      </c>
      <c r="AK92" t="n">
        <v>17</v>
      </c>
      <c r="AL92" t="n">
        <v>5</v>
      </c>
      <c r="AM92" t="n">
        <v>6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HYPERLINK("https://creighton-primo.hosted.exlibrisgroup.com/primo-explore/search?tab=default_tab&amp;search_scope=EVERYTHING&amp;vid=01CRU&amp;lang=en_US&amp;offset=0&amp;query=any,contains,991005265089702656","Catalog Record")</f>
        <v/>
      </c>
      <c r="AT92">
        <f>HYPERLINK("http://www.worldcat.org/oclc/3480475","WorldCat Record")</f>
        <v/>
      </c>
      <c r="AU92" t="inlineStr">
        <is>
          <t>441019:eng</t>
        </is>
      </c>
      <c r="AV92" t="inlineStr">
        <is>
          <t>3480475</t>
        </is>
      </c>
      <c r="AW92" t="inlineStr">
        <is>
          <t>991005265089702656</t>
        </is>
      </c>
      <c r="AX92" t="inlineStr">
        <is>
          <t>991005265089702656</t>
        </is>
      </c>
      <c r="AY92" t="inlineStr">
        <is>
          <t>2264859450002656</t>
        </is>
      </c>
      <c r="AZ92" t="inlineStr">
        <is>
          <t>BOOK</t>
        </is>
      </c>
      <c r="BB92" t="inlineStr">
        <is>
          <t>9780691093741</t>
        </is>
      </c>
      <c r="BC92" t="inlineStr">
        <is>
          <t>32285000979574</t>
        </is>
      </c>
      <c r="BD92" t="inlineStr">
        <is>
          <t>893896153</t>
        </is>
      </c>
    </row>
    <row r="93">
      <c r="A93" t="inlineStr">
        <is>
          <t>No</t>
        </is>
      </c>
      <c r="B93" t="inlineStr">
        <is>
          <t>RJ47.5 .C37</t>
        </is>
      </c>
      <c r="C93" t="inlineStr">
        <is>
          <t>0                      RJ 0047500C  37</t>
        </is>
      </c>
      <c r="D93" t="inlineStr">
        <is>
          <t>Care of the child facing death / edited by Lindy Burton ; foreword by I. J. Carré.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London ; Boston : Routledge and Kegan Paul, 1974.</t>
        </is>
      </c>
      <c r="M93" t="inlineStr">
        <is>
          <t>1974</t>
        </is>
      </c>
      <c r="O93" t="inlineStr">
        <is>
          <t>eng</t>
        </is>
      </c>
      <c r="P93" t="inlineStr">
        <is>
          <t>enk</t>
        </is>
      </c>
      <c r="R93" t="inlineStr">
        <is>
          <t xml:space="preserve">RJ </t>
        </is>
      </c>
      <c r="S93" t="n">
        <v>4</v>
      </c>
      <c r="T93" t="n">
        <v>4</v>
      </c>
      <c r="U93" t="inlineStr">
        <is>
          <t>2006-11-14</t>
        </is>
      </c>
      <c r="V93" t="inlineStr">
        <is>
          <t>2006-11-14</t>
        </is>
      </c>
      <c r="W93" t="inlineStr">
        <is>
          <t>1993-03-17</t>
        </is>
      </c>
      <c r="X93" t="inlineStr">
        <is>
          <t>1993-03-17</t>
        </is>
      </c>
      <c r="Y93" t="n">
        <v>468</v>
      </c>
      <c r="Z93" t="n">
        <v>307</v>
      </c>
      <c r="AA93" t="n">
        <v>312</v>
      </c>
      <c r="AB93" t="n">
        <v>5</v>
      </c>
      <c r="AC93" t="n">
        <v>5</v>
      </c>
      <c r="AD93" t="n">
        <v>14</v>
      </c>
      <c r="AE93" t="n">
        <v>14</v>
      </c>
      <c r="AF93" t="n">
        <v>2</v>
      </c>
      <c r="AG93" t="n">
        <v>2</v>
      </c>
      <c r="AH93" t="n">
        <v>3</v>
      </c>
      <c r="AI93" t="n">
        <v>3</v>
      </c>
      <c r="AJ93" t="n">
        <v>7</v>
      </c>
      <c r="AK93" t="n">
        <v>7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HYPERLINK("https://creighton-primo.hosted.exlibrisgroup.com/primo-explore/search?tab=default_tab&amp;search_scope=EVERYTHING&amp;vid=01CRU&amp;lang=en_US&amp;offset=0&amp;query=any,contains,991003652689702656","Catalog Record")</f>
        <v/>
      </c>
      <c r="AT93">
        <f>HYPERLINK("http://www.worldcat.org/oclc/1256191","WorldCat Record")</f>
        <v/>
      </c>
      <c r="AU93" t="inlineStr">
        <is>
          <t>346934743:eng</t>
        </is>
      </c>
      <c r="AV93" t="inlineStr">
        <is>
          <t>1256191</t>
        </is>
      </c>
      <c r="AW93" t="inlineStr">
        <is>
          <t>991003652689702656</t>
        </is>
      </c>
      <c r="AX93" t="inlineStr">
        <is>
          <t>991003652689702656</t>
        </is>
      </c>
      <c r="AY93" t="inlineStr">
        <is>
          <t>2258244510002656</t>
        </is>
      </c>
      <c r="AZ93" t="inlineStr">
        <is>
          <t>BOOK</t>
        </is>
      </c>
      <c r="BB93" t="inlineStr">
        <is>
          <t>9780710078636</t>
        </is>
      </c>
      <c r="BC93" t="inlineStr">
        <is>
          <t>32285001573913</t>
        </is>
      </c>
      <c r="BD93" t="inlineStr">
        <is>
          <t>893868677</t>
        </is>
      </c>
    </row>
    <row r="94">
      <c r="A94" t="inlineStr">
        <is>
          <t>No</t>
        </is>
      </c>
      <c r="B94" t="inlineStr">
        <is>
          <t>RJ47.5 .C44</t>
        </is>
      </c>
      <c r="C94" t="inlineStr">
        <is>
          <t>0                      RJ 0047500C  44</t>
        </is>
      </c>
      <c r="D94" t="inlineStr">
        <is>
          <t>The Child and death / edited by Olle Jane Z. Sahler.</t>
        </is>
      </c>
      <c r="F94" t="inlineStr">
        <is>
          <t>No</t>
        </is>
      </c>
      <c r="G94" t="inlineStr">
        <is>
          <t>1</t>
        </is>
      </c>
      <c r="H94" t="inlineStr">
        <is>
          <t>Yes</t>
        </is>
      </c>
      <c r="I94" t="inlineStr">
        <is>
          <t>No</t>
        </is>
      </c>
      <c r="J94" t="inlineStr">
        <is>
          <t>0</t>
        </is>
      </c>
      <c r="L94" t="inlineStr">
        <is>
          <t>St. Louis : Mosby, 1978.</t>
        </is>
      </c>
      <c r="M94" t="inlineStr">
        <is>
          <t>1978</t>
        </is>
      </c>
      <c r="O94" t="inlineStr">
        <is>
          <t>eng</t>
        </is>
      </c>
      <c r="P94" t="inlineStr">
        <is>
          <t>mou</t>
        </is>
      </c>
      <c r="R94" t="inlineStr">
        <is>
          <t xml:space="preserve">RJ </t>
        </is>
      </c>
      <c r="S94" t="n">
        <v>10</v>
      </c>
      <c r="T94" t="n">
        <v>15</v>
      </c>
      <c r="U94" t="inlineStr">
        <is>
          <t>1997-12-03</t>
        </is>
      </c>
      <c r="V94" t="inlineStr">
        <is>
          <t>1999-10-05</t>
        </is>
      </c>
      <c r="W94" t="inlineStr">
        <is>
          <t>1994-12-21</t>
        </is>
      </c>
      <c r="X94" t="inlineStr">
        <is>
          <t>1994-12-21</t>
        </is>
      </c>
      <c r="Y94" t="n">
        <v>387</v>
      </c>
      <c r="Z94" t="n">
        <v>321</v>
      </c>
      <c r="AA94" t="n">
        <v>328</v>
      </c>
      <c r="AB94" t="n">
        <v>5</v>
      </c>
      <c r="AC94" t="n">
        <v>5</v>
      </c>
      <c r="AD94" t="n">
        <v>12</v>
      </c>
      <c r="AE94" t="n">
        <v>12</v>
      </c>
      <c r="AF94" t="n">
        <v>4</v>
      </c>
      <c r="AG94" t="n">
        <v>4</v>
      </c>
      <c r="AH94" t="n">
        <v>1</v>
      </c>
      <c r="AI94" t="n">
        <v>1</v>
      </c>
      <c r="AJ94" t="n">
        <v>5</v>
      </c>
      <c r="AK94" t="n">
        <v>5</v>
      </c>
      <c r="AL94" t="n">
        <v>2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HYPERLINK("http://catalog.hathitrust.org/Record/000688972","HathiTrust Record")</f>
        <v/>
      </c>
      <c r="AS94">
        <f>HYPERLINK("https://creighton-primo.hosted.exlibrisgroup.com/primo-explore/search?tab=default_tab&amp;search_scope=EVERYTHING&amp;vid=01CRU&amp;lang=en_US&amp;offset=0&amp;query=any,contains,991001757859702656","Catalog Record")</f>
        <v/>
      </c>
      <c r="AT94">
        <f>HYPERLINK("http://www.worldcat.org/oclc/4003510","WorldCat Record")</f>
        <v/>
      </c>
      <c r="AU94" t="inlineStr">
        <is>
          <t>54228320:eng</t>
        </is>
      </c>
      <c r="AV94" t="inlineStr">
        <is>
          <t>4003510</t>
        </is>
      </c>
      <c r="AW94" t="inlineStr">
        <is>
          <t>991001757859702656</t>
        </is>
      </c>
      <c r="AX94" t="inlineStr">
        <is>
          <t>991001757859702656</t>
        </is>
      </c>
      <c r="AY94" t="inlineStr">
        <is>
          <t>2267746900002656</t>
        </is>
      </c>
      <c r="AZ94" t="inlineStr">
        <is>
          <t>BOOK</t>
        </is>
      </c>
      <c r="BB94" t="inlineStr">
        <is>
          <t>9780801642883</t>
        </is>
      </c>
      <c r="BC94" t="inlineStr">
        <is>
          <t>32285001778710</t>
        </is>
      </c>
      <c r="BD94" t="inlineStr">
        <is>
          <t>893697008</t>
        </is>
      </c>
    </row>
    <row r="95">
      <c r="A95" t="inlineStr">
        <is>
          <t>No</t>
        </is>
      </c>
      <c r="B95" t="inlineStr">
        <is>
          <t>RJ47.5 .C67 1983</t>
        </is>
      </c>
      <c r="C95" t="inlineStr">
        <is>
          <t>0                      RJ 0047500C  67          1983</t>
        </is>
      </c>
      <c r="D95" t="inlineStr">
        <is>
          <t>Coping with pediatric illness / edited by Charles E. Hollingsworth.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New York : SP Medical &amp; Scientific Books, c1983.</t>
        </is>
      </c>
      <c r="M95" t="inlineStr">
        <is>
          <t>1983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RJ </t>
        </is>
      </c>
      <c r="S95" t="n">
        <v>5</v>
      </c>
      <c r="T95" t="n">
        <v>5</v>
      </c>
      <c r="U95" t="inlineStr">
        <is>
          <t>1996-09-21</t>
        </is>
      </c>
      <c r="V95" t="inlineStr">
        <is>
          <t>1996-09-21</t>
        </is>
      </c>
      <c r="W95" t="inlineStr">
        <is>
          <t>1992-03-26</t>
        </is>
      </c>
      <c r="X95" t="inlineStr">
        <is>
          <t>1992-03-26</t>
        </is>
      </c>
      <c r="Y95" t="n">
        <v>146</v>
      </c>
      <c r="Z95" t="n">
        <v>132</v>
      </c>
      <c r="AA95" t="n">
        <v>135</v>
      </c>
      <c r="AB95" t="n">
        <v>2</v>
      </c>
      <c r="AC95" t="n">
        <v>2</v>
      </c>
      <c r="AD95" t="n">
        <v>4</v>
      </c>
      <c r="AE95" t="n">
        <v>4</v>
      </c>
      <c r="AF95" t="n">
        <v>3</v>
      </c>
      <c r="AG95" t="n">
        <v>3</v>
      </c>
      <c r="AH95" t="n">
        <v>0</v>
      </c>
      <c r="AI95" t="n">
        <v>0</v>
      </c>
      <c r="AJ95" t="n">
        <v>2</v>
      </c>
      <c r="AK95" t="n">
        <v>2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HYPERLINK("http://catalog.hathitrust.org/Record/000269748","HathiTrust Record")</f>
        <v/>
      </c>
      <c r="AS95">
        <f>HYPERLINK("https://creighton-primo.hosted.exlibrisgroup.com/primo-explore/search?tab=default_tab&amp;search_scope=EVERYTHING&amp;vid=01CRU&amp;lang=en_US&amp;offset=0&amp;query=any,contains,991000054209702656","Catalog Record")</f>
        <v/>
      </c>
      <c r="AT95">
        <f>HYPERLINK("http://www.worldcat.org/oclc/8708090","WorldCat Record")</f>
        <v/>
      </c>
      <c r="AU95" t="inlineStr">
        <is>
          <t>54516631:eng</t>
        </is>
      </c>
      <c r="AV95" t="inlineStr">
        <is>
          <t>8708090</t>
        </is>
      </c>
      <c r="AW95" t="inlineStr">
        <is>
          <t>991000054209702656</t>
        </is>
      </c>
      <c r="AX95" t="inlineStr">
        <is>
          <t>991000054209702656</t>
        </is>
      </c>
      <c r="AY95" t="inlineStr">
        <is>
          <t>2255664780002656</t>
        </is>
      </c>
      <c r="AZ95" t="inlineStr">
        <is>
          <t>BOOK</t>
        </is>
      </c>
      <c r="BB95" t="inlineStr">
        <is>
          <t>9780893351571</t>
        </is>
      </c>
      <c r="BC95" t="inlineStr">
        <is>
          <t>32285001045060</t>
        </is>
      </c>
      <c r="BD95" t="inlineStr">
        <is>
          <t>893589085</t>
        </is>
      </c>
    </row>
    <row r="96">
      <c r="A96" t="inlineStr">
        <is>
          <t>No</t>
        </is>
      </c>
      <c r="B96" t="inlineStr">
        <is>
          <t>RJ47.5 .D95 1988</t>
        </is>
      </c>
      <c r="C96" t="inlineStr">
        <is>
          <t>0                      RJ 0047500D  95          1988</t>
        </is>
      </c>
      <c r="D96" t="inlineStr">
        <is>
          <t>Dying and disabled children : dealing with loss and grief / Harold M. Dick ... [et al.], editors.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New York : Haworth Press, c1988.</t>
        </is>
      </c>
      <c r="M96" t="inlineStr">
        <is>
          <t>1988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RJ </t>
        </is>
      </c>
      <c r="S96" t="n">
        <v>4</v>
      </c>
      <c r="T96" t="n">
        <v>4</v>
      </c>
      <c r="U96" t="inlineStr">
        <is>
          <t>1995-11-30</t>
        </is>
      </c>
      <c r="V96" t="inlineStr">
        <is>
          <t>1995-11-30</t>
        </is>
      </c>
      <c r="W96" t="inlineStr">
        <is>
          <t>1990-06-18</t>
        </is>
      </c>
      <c r="X96" t="inlineStr">
        <is>
          <t>1990-06-18</t>
        </is>
      </c>
      <c r="Y96" t="n">
        <v>192</v>
      </c>
      <c r="Z96" t="n">
        <v>124</v>
      </c>
      <c r="AA96" t="n">
        <v>152</v>
      </c>
      <c r="AB96" t="n">
        <v>3</v>
      </c>
      <c r="AC96" t="n">
        <v>3</v>
      </c>
      <c r="AD96" t="n">
        <v>5</v>
      </c>
      <c r="AE96" t="n">
        <v>5</v>
      </c>
      <c r="AF96" t="n">
        <v>0</v>
      </c>
      <c r="AG96" t="n">
        <v>0</v>
      </c>
      <c r="AH96" t="n">
        <v>1</v>
      </c>
      <c r="AI96" t="n">
        <v>1</v>
      </c>
      <c r="AJ96" t="n">
        <v>2</v>
      </c>
      <c r="AK96" t="n">
        <v>2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HYPERLINK("http://catalog.hathitrust.org/Record/001830449","HathiTrust Record")</f>
        <v/>
      </c>
      <c r="AS96">
        <f>HYPERLINK("https://creighton-primo.hosted.exlibrisgroup.com/primo-explore/search?tab=default_tab&amp;search_scope=EVERYTHING&amp;vid=01CRU&amp;lang=en_US&amp;offset=0&amp;query=any,contains,991001283349702656","Catalog Record")</f>
        <v/>
      </c>
      <c r="AT96">
        <f>HYPERLINK("http://www.worldcat.org/oclc/17951321","WorldCat Record")</f>
        <v/>
      </c>
      <c r="AU96" t="inlineStr">
        <is>
          <t>836880384:eng</t>
        </is>
      </c>
      <c r="AV96" t="inlineStr">
        <is>
          <t>17951321</t>
        </is>
      </c>
      <c r="AW96" t="inlineStr">
        <is>
          <t>991001283349702656</t>
        </is>
      </c>
      <c r="AX96" t="inlineStr">
        <is>
          <t>991001283349702656</t>
        </is>
      </c>
      <c r="AY96" t="inlineStr">
        <is>
          <t>2271104930002656</t>
        </is>
      </c>
      <c r="AZ96" t="inlineStr">
        <is>
          <t>BOOK</t>
        </is>
      </c>
      <c r="BB96" t="inlineStr">
        <is>
          <t>9780866567596</t>
        </is>
      </c>
      <c r="BC96" t="inlineStr">
        <is>
          <t>32285000177674</t>
        </is>
      </c>
      <c r="BD96" t="inlineStr">
        <is>
          <t>893614951</t>
        </is>
      </c>
    </row>
    <row r="97">
      <c r="A97" t="inlineStr">
        <is>
          <t>No</t>
        </is>
      </c>
      <c r="B97" t="inlineStr">
        <is>
          <t>RJ47.5 .E37 1985</t>
        </is>
      </c>
      <c r="C97" t="inlineStr">
        <is>
          <t>0                      RJ 0047500E  37          1985</t>
        </is>
      </c>
      <c r="D97" t="inlineStr">
        <is>
          <t>The psychology of childhood illness / Christine Eiser.</t>
        </is>
      </c>
      <c r="F97" t="inlineStr">
        <is>
          <t>No</t>
        </is>
      </c>
      <c r="G97" t="inlineStr">
        <is>
          <t>1</t>
        </is>
      </c>
      <c r="H97" t="inlineStr">
        <is>
          <t>Yes</t>
        </is>
      </c>
      <c r="I97" t="inlineStr">
        <is>
          <t>No</t>
        </is>
      </c>
      <c r="J97" t="inlineStr">
        <is>
          <t>0</t>
        </is>
      </c>
      <c r="K97" t="inlineStr">
        <is>
          <t>Eiser, Christine.</t>
        </is>
      </c>
      <c r="L97" t="inlineStr">
        <is>
          <t>New York : Springer-Verlag, c1985.</t>
        </is>
      </c>
      <c r="M97" t="inlineStr">
        <is>
          <t>1985</t>
        </is>
      </c>
      <c r="O97" t="inlineStr">
        <is>
          <t>eng</t>
        </is>
      </c>
      <c r="P97" t="inlineStr">
        <is>
          <t>nyu</t>
        </is>
      </c>
      <c r="Q97" t="inlineStr">
        <is>
          <t>Contributions to psychology and medicine</t>
        </is>
      </c>
      <c r="R97" t="inlineStr">
        <is>
          <t xml:space="preserve">RJ </t>
        </is>
      </c>
      <c r="S97" t="n">
        <v>6</v>
      </c>
      <c r="T97" t="n">
        <v>10</v>
      </c>
      <c r="U97" t="inlineStr">
        <is>
          <t>1996-10-21</t>
        </is>
      </c>
      <c r="V97" t="inlineStr">
        <is>
          <t>2001-03-26</t>
        </is>
      </c>
      <c r="W97" t="inlineStr">
        <is>
          <t>1992-02-20</t>
        </is>
      </c>
      <c r="X97" t="inlineStr">
        <is>
          <t>1992-02-20</t>
        </is>
      </c>
      <c r="Y97" t="n">
        <v>278</v>
      </c>
      <c r="Z97" t="n">
        <v>186</v>
      </c>
      <c r="AA97" t="n">
        <v>208</v>
      </c>
      <c r="AB97" t="n">
        <v>3</v>
      </c>
      <c r="AC97" t="n">
        <v>3</v>
      </c>
      <c r="AD97" t="n">
        <v>6</v>
      </c>
      <c r="AE97" t="n">
        <v>8</v>
      </c>
      <c r="AF97" t="n">
        <v>1</v>
      </c>
      <c r="AG97" t="n">
        <v>3</v>
      </c>
      <c r="AH97" t="n">
        <v>2</v>
      </c>
      <c r="AI97" t="n">
        <v>2</v>
      </c>
      <c r="AJ97" t="n">
        <v>5</v>
      </c>
      <c r="AK97" t="n">
        <v>6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HYPERLINK("http://catalog.hathitrust.org/Record/000610483","HathiTrust Record")</f>
        <v/>
      </c>
      <c r="AS97">
        <f>HYPERLINK("https://creighton-primo.hosted.exlibrisgroup.com/primo-explore/search?tab=default_tab&amp;search_scope=EVERYTHING&amp;vid=01CRU&amp;lang=en_US&amp;offset=0&amp;query=any,contains,991001785199702656","Catalog Record")</f>
        <v/>
      </c>
      <c r="AT97">
        <f>HYPERLINK("http://www.worldcat.org/oclc/11370157","WorldCat Record")</f>
        <v/>
      </c>
      <c r="AU97" t="inlineStr">
        <is>
          <t>3869236:eng</t>
        </is>
      </c>
      <c r="AV97" t="inlineStr">
        <is>
          <t>11370157</t>
        </is>
      </c>
      <c r="AW97" t="inlineStr">
        <is>
          <t>991001785199702656</t>
        </is>
      </c>
      <c r="AX97" t="inlineStr">
        <is>
          <t>991001785199702656</t>
        </is>
      </c>
      <c r="AY97" t="inlineStr">
        <is>
          <t>2260159890002656</t>
        </is>
      </c>
      <c r="AZ97" t="inlineStr">
        <is>
          <t>BOOK</t>
        </is>
      </c>
      <c r="BB97" t="inlineStr">
        <is>
          <t>9780387960968</t>
        </is>
      </c>
      <c r="BC97" t="inlineStr">
        <is>
          <t>32285000948330</t>
        </is>
      </c>
      <c r="BD97" t="inlineStr">
        <is>
          <t>893803896</t>
        </is>
      </c>
    </row>
    <row r="98">
      <c r="A98" t="inlineStr">
        <is>
          <t>No</t>
        </is>
      </c>
      <c r="B98" t="inlineStr">
        <is>
          <t>RJ47.5 .G97</t>
        </is>
      </c>
      <c r="C98" t="inlineStr">
        <is>
          <t>0                      RJ 0047500G  97</t>
        </is>
      </c>
      <c r="D98" t="inlineStr">
        <is>
          <t>The dying child / Jo-Eileen Gyulay.</t>
        </is>
      </c>
      <c r="F98" t="inlineStr">
        <is>
          <t>No</t>
        </is>
      </c>
      <c r="G98" t="inlineStr">
        <is>
          <t>1</t>
        </is>
      </c>
      <c r="H98" t="inlineStr">
        <is>
          <t>Yes</t>
        </is>
      </c>
      <c r="I98" t="inlineStr">
        <is>
          <t>No</t>
        </is>
      </c>
      <c r="J98" t="inlineStr">
        <is>
          <t>0</t>
        </is>
      </c>
      <c r="K98" t="inlineStr">
        <is>
          <t>Gyulay, Jo-Eileen.</t>
        </is>
      </c>
      <c r="L98" t="inlineStr">
        <is>
          <t>New York : McGraw-Hill, c1978.</t>
        </is>
      </c>
      <c r="M98" t="inlineStr">
        <is>
          <t>1978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RJ </t>
        </is>
      </c>
      <c r="S98" t="n">
        <v>7</v>
      </c>
      <c r="T98" t="n">
        <v>9</v>
      </c>
      <c r="U98" t="inlineStr">
        <is>
          <t>2006-11-14</t>
        </is>
      </c>
      <c r="V98" t="inlineStr">
        <is>
          <t>2006-11-14</t>
        </is>
      </c>
      <c r="W98" t="inlineStr">
        <is>
          <t>1991-12-09</t>
        </is>
      </c>
      <c r="X98" t="inlineStr">
        <is>
          <t>1991-12-09</t>
        </is>
      </c>
      <c r="Y98" t="n">
        <v>421</v>
      </c>
      <c r="Z98" t="n">
        <v>324</v>
      </c>
      <c r="AA98" t="n">
        <v>333</v>
      </c>
      <c r="AB98" t="n">
        <v>3</v>
      </c>
      <c r="AC98" t="n">
        <v>3</v>
      </c>
      <c r="AD98" t="n">
        <v>12</v>
      </c>
      <c r="AE98" t="n">
        <v>12</v>
      </c>
      <c r="AF98" t="n">
        <v>4</v>
      </c>
      <c r="AG98" t="n">
        <v>4</v>
      </c>
      <c r="AH98" t="n">
        <v>3</v>
      </c>
      <c r="AI98" t="n">
        <v>3</v>
      </c>
      <c r="AJ98" t="n">
        <v>6</v>
      </c>
      <c r="AK98" t="n">
        <v>6</v>
      </c>
      <c r="AL98" t="n">
        <v>1</v>
      </c>
      <c r="AM98" t="n">
        <v>1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HYPERLINK("http://catalog.hathitrust.org/Record/000294655","HathiTrust Record")</f>
        <v/>
      </c>
      <c r="AS98">
        <f>HYPERLINK("https://creighton-primo.hosted.exlibrisgroup.com/primo-explore/search?tab=default_tab&amp;search_scope=EVERYTHING&amp;vid=01CRU&amp;lang=en_US&amp;offset=0&amp;query=any,contains,991001787789702656","Catalog Record")</f>
        <v/>
      </c>
      <c r="AT98">
        <f>HYPERLINK("http://www.worldcat.org/oclc/3202905","WorldCat Record")</f>
        <v/>
      </c>
      <c r="AU98" t="inlineStr">
        <is>
          <t>8319231:eng</t>
        </is>
      </c>
      <c r="AV98" t="inlineStr">
        <is>
          <t>3202905</t>
        </is>
      </c>
      <c r="AW98" t="inlineStr">
        <is>
          <t>991001787789702656</t>
        </is>
      </c>
      <c r="AX98" t="inlineStr">
        <is>
          <t>991001787789702656</t>
        </is>
      </c>
      <c r="AY98" t="inlineStr">
        <is>
          <t>2270558450002656</t>
        </is>
      </c>
      <c r="AZ98" t="inlineStr">
        <is>
          <t>BOOK</t>
        </is>
      </c>
      <c r="BB98" t="inlineStr">
        <is>
          <t>9780070253605</t>
        </is>
      </c>
      <c r="BC98" t="inlineStr">
        <is>
          <t>32285000872605</t>
        </is>
      </c>
      <c r="BD98" t="inlineStr">
        <is>
          <t>893420625</t>
        </is>
      </c>
    </row>
    <row r="99">
      <c r="A99" t="inlineStr">
        <is>
          <t>No</t>
        </is>
      </c>
      <c r="B99" t="inlineStr">
        <is>
          <t>RJ47.5 .P3 1983</t>
        </is>
      </c>
      <c r="C99" t="inlineStr">
        <is>
          <t>0                      RJ 0047500P  3           1983</t>
        </is>
      </c>
      <c r="D99" t="inlineStr">
        <is>
          <t>Pediatric and adolescent behavioral medicine : issues in treatment / Patrick J. McGrath, Philip Firestone, editors ; foreword by Frederick J. Evans.</t>
        </is>
      </c>
      <c r="F99" t="inlineStr">
        <is>
          <t>No</t>
        </is>
      </c>
      <c r="G99" t="inlineStr">
        <is>
          <t>1</t>
        </is>
      </c>
      <c r="H99" t="inlineStr">
        <is>
          <t>Yes</t>
        </is>
      </c>
      <c r="I99" t="inlineStr">
        <is>
          <t>No</t>
        </is>
      </c>
      <c r="J99" t="inlineStr">
        <is>
          <t>0</t>
        </is>
      </c>
      <c r="L99" t="inlineStr">
        <is>
          <t>New York : Springer Pub. Co., c1983.</t>
        </is>
      </c>
      <c r="M99" t="inlineStr">
        <is>
          <t>1983</t>
        </is>
      </c>
      <c r="O99" t="inlineStr">
        <is>
          <t>eng</t>
        </is>
      </c>
      <c r="P99" t="inlineStr">
        <is>
          <t>nyu</t>
        </is>
      </c>
      <c r="Q99" t="inlineStr">
        <is>
          <t>Springer series on behavior therapy and behavioral medicine, 0278-6729 ; v. 10</t>
        </is>
      </c>
      <c r="R99" t="inlineStr">
        <is>
          <t xml:space="preserve">RJ </t>
        </is>
      </c>
      <c r="S99" t="n">
        <v>2</v>
      </c>
      <c r="T99" t="n">
        <v>2</v>
      </c>
      <c r="U99" t="inlineStr">
        <is>
          <t>2000-02-17</t>
        </is>
      </c>
      <c r="V99" t="inlineStr">
        <is>
          <t>2000-02-17</t>
        </is>
      </c>
      <c r="W99" t="inlineStr">
        <is>
          <t>1993-03-25</t>
        </is>
      </c>
      <c r="X99" t="inlineStr">
        <is>
          <t>1993-03-25</t>
        </is>
      </c>
      <c r="Y99" t="n">
        <v>187</v>
      </c>
      <c r="Z99" t="n">
        <v>153</v>
      </c>
      <c r="AA99" t="n">
        <v>156</v>
      </c>
      <c r="AB99" t="n">
        <v>2</v>
      </c>
      <c r="AC99" t="n">
        <v>2</v>
      </c>
      <c r="AD99" t="n">
        <v>6</v>
      </c>
      <c r="AE99" t="n">
        <v>6</v>
      </c>
      <c r="AF99" t="n">
        <v>3</v>
      </c>
      <c r="AG99" t="n">
        <v>3</v>
      </c>
      <c r="AH99" t="n">
        <v>2</v>
      </c>
      <c r="AI99" t="n">
        <v>2</v>
      </c>
      <c r="AJ99" t="n">
        <v>4</v>
      </c>
      <c r="AK99" t="n">
        <v>4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HYPERLINK("http://catalog.hathitrust.org/Record/000283584","HathiTrust Record")</f>
        <v/>
      </c>
      <c r="AS99">
        <f>HYPERLINK("https://creighton-primo.hosted.exlibrisgroup.com/primo-explore/search?tab=default_tab&amp;search_scope=EVERYTHING&amp;vid=01CRU&amp;lang=en_US&amp;offset=0&amp;query=any,contains,991000068119702656","Catalog Record")</f>
        <v/>
      </c>
      <c r="AT99">
        <f>HYPERLINK("http://www.worldcat.org/oclc/8765047","WorldCat Record")</f>
        <v/>
      </c>
      <c r="AU99" t="inlineStr">
        <is>
          <t>429698310:eng</t>
        </is>
      </c>
      <c r="AV99" t="inlineStr">
        <is>
          <t>8765047</t>
        </is>
      </c>
      <c r="AW99" t="inlineStr">
        <is>
          <t>991000068119702656</t>
        </is>
      </c>
      <c r="AX99" t="inlineStr">
        <is>
          <t>991000068119702656</t>
        </is>
      </c>
      <c r="AY99" t="inlineStr">
        <is>
          <t>2267854620002656</t>
        </is>
      </c>
      <c r="AZ99" t="inlineStr">
        <is>
          <t>BOOK</t>
        </is>
      </c>
      <c r="BB99" t="inlineStr">
        <is>
          <t>9780826140104</t>
        </is>
      </c>
      <c r="BC99" t="inlineStr">
        <is>
          <t>32285001609600</t>
        </is>
      </c>
      <c r="BD99" t="inlineStr">
        <is>
          <t>893790209</t>
        </is>
      </c>
    </row>
    <row r="100">
      <c r="A100" t="inlineStr">
        <is>
          <t>No</t>
        </is>
      </c>
      <c r="B100" t="inlineStr">
        <is>
          <t>RJ47.5 .P78</t>
        </is>
      </c>
      <c r="C100" t="inlineStr">
        <is>
          <t>0                      RJ 0047500P  78</t>
        </is>
      </c>
      <c r="D100" t="inlineStr">
        <is>
          <t>Psychological management of pediatric problems / edited by Phyllis R. Magrab. --</t>
        </is>
      </c>
      <c r="E100" t="inlineStr">
        <is>
          <t>V.1</t>
        </is>
      </c>
      <c r="F100" t="inlineStr">
        <is>
          <t>Yes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Baltimore : University Park Press, c1978.</t>
        </is>
      </c>
      <c r="M100" t="inlineStr">
        <is>
          <t>1978</t>
        </is>
      </c>
      <c r="O100" t="inlineStr">
        <is>
          <t>eng</t>
        </is>
      </c>
      <c r="P100" t="inlineStr">
        <is>
          <t>mdu</t>
        </is>
      </c>
      <c r="R100" t="inlineStr">
        <is>
          <t xml:space="preserve">RJ </t>
        </is>
      </c>
      <c r="S100" t="n">
        <v>3</v>
      </c>
      <c r="T100" t="n">
        <v>6</v>
      </c>
      <c r="U100" t="inlineStr">
        <is>
          <t>1995-02-20</t>
        </is>
      </c>
      <c r="V100" t="inlineStr">
        <is>
          <t>1998-09-29</t>
        </is>
      </c>
      <c r="W100" t="inlineStr">
        <is>
          <t>1992-02-20</t>
        </is>
      </c>
      <c r="X100" t="inlineStr">
        <is>
          <t>1992-03-18</t>
        </is>
      </c>
      <c r="Y100" t="n">
        <v>300</v>
      </c>
      <c r="Z100" t="n">
        <v>244</v>
      </c>
      <c r="AA100" t="n">
        <v>246</v>
      </c>
      <c r="AB100" t="n">
        <v>2</v>
      </c>
      <c r="AC100" t="n">
        <v>2</v>
      </c>
      <c r="AD100" t="n">
        <v>8</v>
      </c>
      <c r="AE100" t="n">
        <v>8</v>
      </c>
      <c r="AF100" t="n">
        <v>3</v>
      </c>
      <c r="AG100" t="n">
        <v>3</v>
      </c>
      <c r="AH100" t="n">
        <v>1</v>
      </c>
      <c r="AI100" t="n">
        <v>1</v>
      </c>
      <c r="AJ100" t="n">
        <v>6</v>
      </c>
      <c r="AK100" t="n">
        <v>6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HYPERLINK("http://catalog.hathitrust.org/Record/000025914","HathiTrust Record")</f>
        <v/>
      </c>
      <c r="AS100">
        <f>HYPERLINK("https://creighton-primo.hosted.exlibrisgroup.com/primo-explore/search?tab=default_tab&amp;search_scope=EVERYTHING&amp;vid=01CRU&amp;lang=en_US&amp;offset=0&amp;query=any,contains,991004508099702656","Catalog Record")</f>
        <v/>
      </c>
      <c r="AT100">
        <f>HYPERLINK("http://www.worldcat.org/oclc/3748680","WorldCat Record")</f>
        <v/>
      </c>
      <c r="AU100" t="inlineStr">
        <is>
          <t>2865208049:eng</t>
        </is>
      </c>
      <c r="AV100" t="inlineStr">
        <is>
          <t>3748680</t>
        </is>
      </c>
      <c r="AW100" t="inlineStr">
        <is>
          <t>991004508099702656</t>
        </is>
      </c>
      <c r="AX100" t="inlineStr">
        <is>
          <t>991004508099702656</t>
        </is>
      </c>
      <c r="AY100" t="inlineStr">
        <is>
          <t>2269287900002656</t>
        </is>
      </c>
      <c r="AZ100" t="inlineStr">
        <is>
          <t>BOOK</t>
        </is>
      </c>
      <c r="BB100" t="inlineStr">
        <is>
          <t>9780839112181</t>
        </is>
      </c>
      <c r="BC100" t="inlineStr">
        <is>
          <t>32285000948355</t>
        </is>
      </c>
      <c r="BD100" t="inlineStr">
        <is>
          <t>893235589</t>
        </is>
      </c>
    </row>
    <row r="101">
      <c r="A101" t="inlineStr">
        <is>
          <t>No</t>
        </is>
      </c>
      <c r="B101" t="inlineStr">
        <is>
          <t>RJ47.5 .P78</t>
        </is>
      </c>
      <c r="C101" t="inlineStr">
        <is>
          <t>0                      RJ 0047500P  78</t>
        </is>
      </c>
      <c r="D101" t="inlineStr">
        <is>
          <t>Psychological management of pediatric problems / edited by Phyllis R. Magrab. --</t>
        </is>
      </c>
      <c r="E101" t="inlineStr">
        <is>
          <t>V.2</t>
        </is>
      </c>
      <c r="F101" t="inlineStr">
        <is>
          <t>Yes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Baltimore : University Park Press, c1978.</t>
        </is>
      </c>
      <c r="M101" t="inlineStr">
        <is>
          <t>1978</t>
        </is>
      </c>
      <c r="O101" t="inlineStr">
        <is>
          <t>eng</t>
        </is>
      </c>
      <c r="P101" t="inlineStr">
        <is>
          <t>mdu</t>
        </is>
      </c>
      <c r="R101" t="inlineStr">
        <is>
          <t xml:space="preserve">RJ </t>
        </is>
      </c>
      <c r="S101" t="n">
        <v>3</v>
      </c>
      <c r="T101" t="n">
        <v>6</v>
      </c>
      <c r="U101" t="inlineStr">
        <is>
          <t>1998-09-29</t>
        </is>
      </c>
      <c r="V101" t="inlineStr">
        <is>
          <t>1998-09-29</t>
        </is>
      </c>
      <c r="W101" t="inlineStr">
        <is>
          <t>1992-03-18</t>
        </is>
      </c>
      <c r="X101" t="inlineStr">
        <is>
          <t>1992-03-18</t>
        </is>
      </c>
      <c r="Y101" t="n">
        <v>300</v>
      </c>
      <c r="Z101" t="n">
        <v>244</v>
      </c>
      <c r="AA101" t="n">
        <v>246</v>
      </c>
      <c r="AB101" t="n">
        <v>2</v>
      </c>
      <c r="AC101" t="n">
        <v>2</v>
      </c>
      <c r="AD101" t="n">
        <v>8</v>
      </c>
      <c r="AE101" t="n">
        <v>8</v>
      </c>
      <c r="AF101" t="n">
        <v>3</v>
      </c>
      <c r="AG101" t="n">
        <v>3</v>
      </c>
      <c r="AH101" t="n">
        <v>1</v>
      </c>
      <c r="AI101" t="n">
        <v>1</v>
      </c>
      <c r="AJ101" t="n">
        <v>6</v>
      </c>
      <c r="AK101" t="n">
        <v>6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HYPERLINK("http://catalog.hathitrust.org/Record/000025914","HathiTrust Record")</f>
        <v/>
      </c>
      <c r="AS101">
        <f>HYPERLINK("https://creighton-primo.hosted.exlibrisgroup.com/primo-explore/search?tab=default_tab&amp;search_scope=EVERYTHING&amp;vid=01CRU&amp;lang=en_US&amp;offset=0&amp;query=any,contains,991004508099702656","Catalog Record")</f>
        <v/>
      </c>
      <c r="AT101">
        <f>HYPERLINK("http://www.worldcat.org/oclc/3748680","WorldCat Record")</f>
        <v/>
      </c>
      <c r="AU101" t="inlineStr">
        <is>
          <t>2865208049:eng</t>
        </is>
      </c>
      <c r="AV101" t="inlineStr">
        <is>
          <t>3748680</t>
        </is>
      </c>
      <c r="AW101" t="inlineStr">
        <is>
          <t>991004508099702656</t>
        </is>
      </c>
      <c r="AX101" t="inlineStr">
        <is>
          <t>991004508099702656</t>
        </is>
      </c>
      <c r="AY101" t="inlineStr">
        <is>
          <t>2269287900002656</t>
        </is>
      </c>
      <c r="AZ101" t="inlineStr">
        <is>
          <t>BOOK</t>
        </is>
      </c>
      <c r="BB101" t="inlineStr">
        <is>
          <t>9780839112181</t>
        </is>
      </c>
      <c r="BC101" t="inlineStr">
        <is>
          <t>32285001013845</t>
        </is>
      </c>
      <c r="BD101" t="inlineStr">
        <is>
          <t>893263306</t>
        </is>
      </c>
    </row>
    <row r="102">
      <c r="A102" t="inlineStr">
        <is>
          <t>No</t>
        </is>
      </c>
      <c r="B102" t="inlineStr">
        <is>
          <t>RJ47.5 .P785</t>
        </is>
      </c>
      <c r="C102" t="inlineStr">
        <is>
          <t>0                      RJ 0047500P  785</t>
        </is>
      </c>
      <c r="D102" t="inlineStr">
        <is>
          <t>Psychosocial aspects of pediatric care / edited by Elizabeth Gellert.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New York : Grune &amp; Stratton, c1978.</t>
        </is>
      </c>
      <c r="M102" t="inlineStr">
        <is>
          <t>1978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RJ </t>
        </is>
      </c>
      <c r="S102" t="n">
        <v>4</v>
      </c>
      <c r="T102" t="n">
        <v>4</v>
      </c>
      <c r="U102" t="inlineStr">
        <is>
          <t>1997-02-16</t>
        </is>
      </c>
      <c r="V102" t="inlineStr">
        <is>
          <t>1997-02-16</t>
        </is>
      </c>
      <c r="W102" t="inlineStr">
        <is>
          <t>1993-03-25</t>
        </is>
      </c>
      <c r="X102" t="inlineStr">
        <is>
          <t>1993-03-25</t>
        </is>
      </c>
      <c r="Y102" t="n">
        <v>192</v>
      </c>
      <c r="Z102" t="n">
        <v>136</v>
      </c>
      <c r="AA102" t="n">
        <v>138</v>
      </c>
      <c r="AB102" t="n">
        <v>2</v>
      </c>
      <c r="AC102" t="n">
        <v>2</v>
      </c>
      <c r="AD102" t="n">
        <v>5</v>
      </c>
      <c r="AE102" t="n">
        <v>5</v>
      </c>
      <c r="AF102" t="n">
        <v>0</v>
      </c>
      <c r="AG102" t="n">
        <v>0</v>
      </c>
      <c r="AH102" t="n">
        <v>1</v>
      </c>
      <c r="AI102" t="n">
        <v>1</v>
      </c>
      <c r="AJ102" t="n">
        <v>3</v>
      </c>
      <c r="AK102" t="n">
        <v>3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HYPERLINK("http://catalog.hathitrust.org/Record/000176687","HathiTrust Record")</f>
        <v/>
      </c>
      <c r="AS102">
        <f>HYPERLINK("https://creighton-primo.hosted.exlibrisgroup.com/primo-explore/search?tab=default_tab&amp;search_scope=EVERYTHING&amp;vid=01CRU&amp;lang=en_US&amp;offset=0&amp;query=any,contains,991004565659702656","Catalog Record")</f>
        <v/>
      </c>
      <c r="AT102">
        <f>HYPERLINK("http://www.worldcat.org/oclc/4004475","WorldCat Record")</f>
        <v/>
      </c>
      <c r="AU102" t="inlineStr">
        <is>
          <t>13629648:eng</t>
        </is>
      </c>
      <c r="AV102" t="inlineStr">
        <is>
          <t>4004475</t>
        </is>
      </c>
      <c r="AW102" t="inlineStr">
        <is>
          <t>991004565659702656</t>
        </is>
      </c>
      <c r="AX102" t="inlineStr">
        <is>
          <t>991004565659702656</t>
        </is>
      </c>
      <c r="AY102" t="inlineStr">
        <is>
          <t>2264939340002656</t>
        </is>
      </c>
      <c r="AZ102" t="inlineStr">
        <is>
          <t>BOOK</t>
        </is>
      </c>
      <c r="BB102" t="inlineStr">
        <is>
          <t>9780808910916</t>
        </is>
      </c>
      <c r="BC102" t="inlineStr">
        <is>
          <t>32285001609618</t>
        </is>
      </c>
      <c r="BD102" t="inlineStr">
        <is>
          <t>893606190</t>
        </is>
      </c>
    </row>
    <row r="103">
      <c r="A103" t="inlineStr">
        <is>
          <t>No</t>
        </is>
      </c>
      <c r="B103" t="inlineStr">
        <is>
          <t>RJ47.53 .S457 1998</t>
        </is>
      </c>
      <c r="C103" t="inlineStr">
        <is>
          <t>0                      RJ 0047530S  457         1998</t>
        </is>
      </c>
      <c r="D103" t="inlineStr">
        <is>
          <t>Adolescents' health : a developmental perspective / Inge Seiffge-Krenke.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Seiffge-Krenke, Inge.</t>
        </is>
      </c>
      <c r="L103" t="inlineStr">
        <is>
          <t>Mahwah, N.J. : Lawrence Erlbaum Associates, 1998.</t>
        </is>
      </c>
      <c r="M103" t="inlineStr">
        <is>
          <t>1998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RJ </t>
        </is>
      </c>
      <c r="S103" t="n">
        <v>2</v>
      </c>
      <c r="T103" t="n">
        <v>2</v>
      </c>
      <c r="U103" t="inlineStr">
        <is>
          <t>1998-10-01</t>
        </is>
      </c>
      <c r="V103" t="inlineStr">
        <is>
          <t>1998-10-01</t>
        </is>
      </c>
      <c r="W103" t="inlineStr">
        <is>
          <t>1998-08-31</t>
        </is>
      </c>
      <c r="X103" t="inlineStr">
        <is>
          <t>1998-08-31</t>
        </is>
      </c>
      <c r="Y103" t="n">
        <v>158</v>
      </c>
      <c r="Z103" t="n">
        <v>116</v>
      </c>
      <c r="AA103" t="n">
        <v>141</v>
      </c>
      <c r="AB103" t="n">
        <v>1</v>
      </c>
      <c r="AC103" t="n">
        <v>1</v>
      </c>
      <c r="AD103" t="n">
        <v>4</v>
      </c>
      <c r="AE103" t="n">
        <v>4</v>
      </c>
      <c r="AF103" t="n">
        <v>2</v>
      </c>
      <c r="AG103" t="n">
        <v>2</v>
      </c>
      <c r="AH103" t="n">
        <v>1</v>
      </c>
      <c r="AI103" t="n">
        <v>1</v>
      </c>
      <c r="AJ103" t="n">
        <v>2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HYPERLINK("https://creighton-primo.hosted.exlibrisgroup.com/primo-explore/search?tab=default_tab&amp;search_scope=EVERYTHING&amp;vid=01CRU&amp;lang=en_US&amp;offset=0&amp;query=any,contains,991002875019702656","Catalog Record")</f>
        <v/>
      </c>
      <c r="AT103">
        <f>HYPERLINK("http://www.worldcat.org/oclc/37884822","WorldCat Record")</f>
        <v/>
      </c>
      <c r="AU103" t="inlineStr">
        <is>
          <t>837018705:eng</t>
        </is>
      </c>
      <c r="AV103" t="inlineStr">
        <is>
          <t>37884822</t>
        </is>
      </c>
      <c r="AW103" t="inlineStr">
        <is>
          <t>991002875019702656</t>
        </is>
      </c>
      <c r="AX103" t="inlineStr">
        <is>
          <t>991002875019702656</t>
        </is>
      </c>
      <c r="AY103" t="inlineStr">
        <is>
          <t>2267138330002656</t>
        </is>
      </c>
      <c r="AZ103" t="inlineStr">
        <is>
          <t>BOOK</t>
        </is>
      </c>
      <c r="BB103" t="inlineStr">
        <is>
          <t>9780805818390</t>
        </is>
      </c>
      <c r="BC103" t="inlineStr">
        <is>
          <t>32285003463915</t>
        </is>
      </c>
      <c r="BD103" t="inlineStr">
        <is>
          <t>893348033</t>
        </is>
      </c>
    </row>
    <row r="104">
      <c r="A104" t="inlineStr">
        <is>
          <t>No</t>
        </is>
      </c>
      <c r="B104" t="inlineStr">
        <is>
          <t>RJ482.D9 T68 1983</t>
        </is>
      </c>
      <c r="C104" t="inlineStr">
        <is>
          <t>0                      RJ 0482000D  9                  T  68          1983</t>
        </is>
      </c>
      <c r="D104" t="inlineStr">
        <is>
          <t>Gene expression in muscle / edited by Richard C. Strohman and Stewart Wolf.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Totts Gap Colloquium on Gene Expression in Muscle (1983 : Bangor, Pa.)</t>
        </is>
      </c>
      <c r="L104" t="inlineStr">
        <is>
          <t>New York : Plenum Press, c1985.</t>
        </is>
      </c>
      <c r="M104" t="inlineStr">
        <is>
          <t>1985</t>
        </is>
      </c>
      <c r="O104" t="inlineStr">
        <is>
          <t>eng</t>
        </is>
      </c>
      <c r="P104" t="inlineStr">
        <is>
          <t>nyu</t>
        </is>
      </c>
      <c r="Q104" t="inlineStr">
        <is>
          <t>Advances in experimental medicine and biology ; v. 182</t>
        </is>
      </c>
      <c r="R104" t="inlineStr">
        <is>
          <t xml:space="preserve">RJ </t>
        </is>
      </c>
      <c r="S104" t="n">
        <v>3</v>
      </c>
      <c r="T104" t="n">
        <v>3</v>
      </c>
      <c r="U104" t="inlineStr">
        <is>
          <t>2008-02-24</t>
        </is>
      </c>
      <c r="V104" t="inlineStr">
        <is>
          <t>2008-02-24</t>
        </is>
      </c>
      <c r="W104" t="inlineStr">
        <is>
          <t>1993-02-24</t>
        </is>
      </c>
      <c r="X104" t="inlineStr">
        <is>
          <t>1993-02-24</t>
        </is>
      </c>
      <c r="Y104" t="n">
        <v>221</v>
      </c>
      <c r="Z104" t="n">
        <v>179</v>
      </c>
      <c r="AA104" t="n">
        <v>180</v>
      </c>
      <c r="AB104" t="n">
        <v>1</v>
      </c>
      <c r="AC104" t="n">
        <v>1</v>
      </c>
      <c r="AD104" t="n">
        <v>3</v>
      </c>
      <c r="AE104" t="n">
        <v>3</v>
      </c>
      <c r="AF104" t="n">
        <v>0</v>
      </c>
      <c r="AG104" t="n">
        <v>0</v>
      </c>
      <c r="AH104" t="n">
        <v>3</v>
      </c>
      <c r="AI104" t="n">
        <v>3</v>
      </c>
      <c r="AJ104" t="n">
        <v>2</v>
      </c>
      <c r="AK104" t="n">
        <v>2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HYPERLINK("http://catalog.hathitrust.org/Record/000346677","HathiTrust Record")</f>
        <v/>
      </c>
      <c r="AS104">
        <f>HYPERLINK("https://creighton-primo.hosted.exlibrisgroup.com/primo-explore/search?tab=default_tab&amp;search_scope=EVERYTHING&amp;vid=01CRU&amp;lang=en_US&amp;offset=0&amp;query=any,contains,991000549499702656","Catalog Record")</f>
        <v/>
      </c>
      <c r="AT104">
        <f>HYPERLINK("http://www.worldcat.org/oclc/11532308","WorldCat Record")</f>
        <v/>
      </c>
      <c r="AU104" t="inlineStr">
        <is>
          <t>477193346:eng</t>
        </is>
      </c>
      <c r="AV104" t="inlineStr">
        <is>
          <t>11532308</t>
        </is>
      </c>
      <c r="AW104" t="inlineStr">
        <is>
          <t>991000549499702656</t>
        </is>
      </c>
      <c r="AX104" t="inlineStr">
        <is>
          <t>991000549499702656</t>
        </is>
      </c>
      <c r="AY104" t="inlineStr">
        <is>
          <t>2261443650002656</t>
        </is>
      </c>
      <c r="AZ104" t="inlineStr">
        <is>
          <t>BOOK</t>
        </is>
      </c>
      <c r="BB104" t="inlineStr">
        <is>
          <t>9780306418945</t>
        </is>
      </c>
      <c r="BC104" t="inlineStr">
        <is>
          <t>32285001528669</t>
        </is>
      </c>
      <c r="BD104" t="inlineStr">
        <is>
          <t>893778023</t>
        </is>
      </c>
    </row>
    <row r="105">
      <c r="A105" t="inlineStr">
        <is>
          <t>No</t>
        </is>
      </c>
      <c r="B105" t="inlineStr">
        <is>
          <t>RJ486 .A96</t>
        </is>
      </c>
      <c r="C105" t="inlineStr">
        <is>
          <t>0                      RJ 0486000A  96</t>
        </is>
      </c>
      <c r="D105" t="inlineStr">
        <is>
          <t>Sensory integration and learning disorders / by A. Jean Ayres.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Ayres, A. Jean.</t>
        </is>
      </c>
      <c r="L105" t="inlineStr">
        <is>
          <t>Los Angeles, Calif. : Western Psychological Services, [c1972]</t>
        </is>
      </c>
      <c r="M105" t="inlineStr">
        <is>
          <t>1972</t>
        </is>
      </c>
      <c r="O105" t="inlineStr">
        <is>
          <t>eng</t>
        </is>
      </c>
      <c r="P105" t="inlineStr">
        <is>
          <t>cau</t>
        </is>
      </c>
      <c r="R105" t="inlineStr">
        <is>
          <t xml:space="preserve">RJ </t>
        </is>
      </c>
      <c r="S105" t="n">
        <v>8</v>
      </c>
      <c r="T105" t="n">
        <v>8</v>
      </c>
      <c r="U105" t="inlineStr">
        <is>
          <t>2009-03-23</t>
        </is>
      </c>
      <c r="V105" t="inlineStr">
        <is>
          <t>2009-03-23</t>
        </is>
      </c>
      <c r="W105" t="inlineStr">
        <is>
          <t>1990-04-25</t>
        </is>
      </c>
      <c r="X105" t="inlineStr">
        <is>
          <t>1990-04-25</t>
        </is>
      </c>
      <c r="Y105" t="n">
        <v>364</v>
      </c>
      <c r="Z105" t="n">
        <v>283</v>
      </c>
      <c r="AA105" t="n">
        <v>360</v>
      </c>
      <c r="AB105" t="n">
        <v>2</v>
      </c>
      <c r="AC105" t="n">
        <v>3</v>
      </c>
      <c r="AD105" t="n">
        <v>6</v>
      </c>
      <c r="AE105" t="n">
        <v>11</v>
      </c>
      <c r="AF105" t="n">
        <v>4</v>
      </c>
      <c r="AG105" t="n">
        <v>6</v>
      </c>
      <c r="AH105" t="n">
        <v>0</v>
      </c>
      <c r="AI105" t="n">
        <v>2</v>
      </c>
      <c r="AJ105" t="n">
        <v>5</v>
      </c>
      <c r="AK105" t="n">
        <v>6</v>
      </c>
      <c r="AL105" t="n">
        <v>0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HYPERLINK("http://catalog.hathitrust.org/Record/001570644","HathiTrust Record")</f>
        <v/>
      </c>
      <c r="AS105">
        <f>HYPERLINK("https://creighton-primo.hosted.exlibrisgroup.com/primo-explore/search?tab=default_tab&amp;search_scope=EVERYTHING&amp;vid=01CRU&amp;lang=en_US&amp;offset=0&amp;query=any,contains,991003027389702656","Catalog Record")</f>
        <v/>
      </c>
      <c r="AT105">
        <f>HYPERLINK("http://www.worldcat.org/oclc/590960","WorldCat Record")</f>
        <v/>
      </c>
      <c r="AU105" t="inlineStr">
        <is>
          <t>63730:eng</t>
        </is>
      </c>
      <c r="AV105" t="inlineStr">
        <is>
          <t>590960</t>
        </is>
      </c>
      <c r="AW105" t="inlineStr">
        <is>
          <t>991003027389702656</t>
        </is>
      </c>
      <c r="AX105" t="inlineStr">
        <is>
          <t>991003027389702656</t>
        </is>
      </c>
      <c r="AY105" t="inlineStr">
        <is>
          <t>2265603450002656</t>
        </is>
      </c>
      <c r="AZ105" t="inlineStr">
        <is>
          <t>BOOK</t>
        </is>
      </c>
      <c r="BB105" t="inlineStr">
        <is>
          <t>9780874243031</t>
        </is>
      </c>
      <c r="BC105" t="inlineStr">
        <is>
          <t>32285000119270</t>
        </is>
      </c>
      <c r="BD105" t="inlineStr">
        <is>
          <t>893233742</t>
        </is>
      </c>
    </row>
    <row r="106">
      <c r="A106" t="inlineStr">
        <is>
          <t>No</t>
        </is>
      </c>
      <c r="B106" t="inlineStr">
        <is>
          <t>RJ486 .P73 1982</t>
        </is>
      </c>
      <c r="C106" t="inlineStr">
        <is>
          <t>0                      RJ 0486000P  73          1982</t>
        </is>
      </c>
      <c r="D106" t="inlineStr">
        <is>
          <t>Care of the neurologically handicapped child : a book for parents and professionals / Arthur L. Prensky, Helen Stein Palkes ; with contributions by Suzanne Busch ... [et al.].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Prensky, Arthur L.</t>
        </is>
      </c>
      <c r="L106" t="inlineStr">
        <is>
          <t>New York : Oxford University Press, 1982.</t>
        </is>
      </c>
      <c r="M106" t="inlineStr">
        <is>
          <t>1982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RJ </t>
        </is>
      </c>
      <c r="S106" t="n">
        <v>3</v>
      </c>
      <c r="T106" t="n">
        <v>3</v>
      </c>
      <c r="U106" t="inlineStr">
        <is>
          <t>2001-02-27</t>
        </is>
      </c>
      <c r="V106" t="inlineStr">
        <is>
          <t>2001-02-27</t>
        </is>
      </c>
      <c r="W106" t="inlineStr">
        <is>
          <t>1993-02-24</t>
        </is>
      </c>
      <c r="X106" t="inlineStr">
        <is>
          <t>1993-02-24</t>
        </is>
      </c>
      <c r="Y106" t="n">
        <v>238</v>
      </c>
      <c r="Z106" t="n">
        <v>190</v>
      </c>
      <c r="AA106" t="n">
        <v>192</v>
      </c>
      <c r="AB106" t="n">
        <v>1</v>
      </c>
      <c r="AC106" t="n">
        <v>1</v>
      </c>
      <c r="AD106" t="n">
        <v>3</v>
      </c>
      <c r="AE106" t="n">
        <v>3</v>
      </c>
      <c r="AF106" t="n">
        <v>0</v>
      </c>
      <c r="AG106" t="n">
        <v>0</v>
      </c>
      <c r="AH106" t="n">
        <v>0</v>
      </c>
      <c r="AI106" t="n">
        <v>0</v>
      </c>
      <c r="AJ106" t="n">
        <v>2</v>
      </c>
      <c r="AK106" t="n">
        <v>2</v>
      </c>
      <c r="AL106" t="n">
        <v>0</v>
      </c>
      <c r="AM106" t="n">
        <v>0</v>
      </c>
      <c r="AN106" t="n">
        <v>1</v>
      </c>
      <c r="AO106" t="n">
        <v>1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HYPERLINK("http://catalog.hathitrust.org/Record/000150113","HathiTrust Record")</f>
        <v/>
      </c>
      <c r="AS106">
        <f>HYPERLINK("https://creighton-primo.hosted.exlibrisgroup.com/primo-explore/search?tab=default_tab&amp;search_scope=EVERYTHING&amp;vid=01CRU&amp;lang=en_US&amp;offset=0&amp;query=any,contains,991005097809702656","Catalog Record")</f>
        <v/>
      </c>
      <c r="AT106">
        <f>HYPERLINK("http://www.worldcat.org/oclc/7276800","WorldCat Record")</f>
        <v/>
      </c>
      <c r="AU106" t="inlineStr">
        <is>
          <t>299166180:eng</t>
        </is>
      </c>
      <c r="AV106" t="inlineStr">
        <is>
          <t>7276800</t>
        </is>
      </c>
      <c r="AW106" t="inlineStr">
        <is>
          <t>991005097809702656</t>
        </is>
      </c>
      <c r="AX106" t="inlineStr">
        <is>
          <t>991005097809702656</t>
        </is>
      </c>
      <c r="AY106" t="inlineStr">
        <is>
          <t>2263458530002656</t>
        </is>
      </c>
      <c r="AZ106" t="inlineStr">
        <is>
          <t>BOOK</t>
        </is>
      </c>
      <c r="BB106" t="inlineStr">
        <is>
          <t>9780195029178</t>
        </is>
      </c>
      <c r="BC106" t="inlineStr">
        <is>
          <t>32285001528693</t>
        </is>
      </c>
      <c r="BD106" t="inlineStr">
        <is>
          <t>893613114</t>
        </is>
      </c>
    </row>
    <row r="107">
      <c r="A107" t="inlineStr">
        <is>
          <t>No</t>
        </is>
      </c>
      <c r="B107" t="inlineStr">
        <is>
          <t>RJ488.5.E93 S48</t>
        </is>
      </c>
      <c r="C107" t="inlineStr">
        <is>
          <t>0                      RJ 0488500E  93                 S  48</t>
        </is>
      </c>
      <c r="D107" t="inlineStr">
        <is>
          <t>Sensory integration in children : evoked potentials and intersensory functions in pediatrics and psychology / by Thorne Shipley.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Shipley, Thorne.</t>
        </is>
      </c>
      <c r="L107" t="inlineStr">
        <is>
          <t>Springfield, Ill. : Thomas, c1979.</t>
        </is>
      </c>
      <c r="M107" t="inlineStr">
        <is>
          <t>1979</t>
        </is>
      </c>
      <c r="O107" t="inlineStr">
        <is>
          <t>eng</t>
        </is>
      </c>
      <c r="P107" t="inlineStr">
        <is>
          <t>ilu</t>
        </is>
      </c>
      <c r="R107" t="inlineStr">
        <is>
          <t xml:space="preserve">RJ </t>
        </is>
      </c>
      <c r="S107" t="n">
        <v>5</v>
      </c>
      <c r="T107" t="n">
        <v>5</v>
      </c>
      <c r="U107" t="inlineStr">
        <is>
          <t>1996-10-21</t>
        </is>
      </c>
      <c r="V107" t="inlineStr">
        <is>
          <t>1996-10-21</t>
        </is>
      </c>
      <c r="W107" t="inlineStr">
        <is>
          <t>1993-02-24</t>
        </is>
      </c>
      <c r="X107" t="inlineStr">
        <is>
          <t>1993-02-24</t>
        </is>
      </c>
      <c r="Y107" t="n">
        <v>249</v>
      </c>
      <c r="Z107" t="n">
        <v>215</v>
      </c>
      <c r="AA107" t="n">
        <v>217</v>
      </c>
      <c r="AB107" t="n">
        <v>4</v>
      </c>
      <c r="AC107" t="n">
        <v>4</v>
      </c>
      <c r="AD107" t="n">
        <v>5</v>
      </c>
      <c r="AE107" t="n">
        <v>5</v>
      </c>
      <c r="AF107" t="n">
        <v>1</v>
      </c>
      <c r="AG107" t="n">
        <v>1</v>
      </c>
      <c r="AH107" t="n">
        <v>0</v>
      </c>
      <c r="AI107" t="n">
        <v>0</v>
      </c>
      <c r="AJ107" t="n">
        <v>2</v>
      </c>
      <c r="AK107" t="n">
        <v>2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HYPERLINK("https://creighton-primo.hosted.exlibrisgroup.com/primo-explore/search?tab=default_tab&amp;search_scope=EVERYTHING&amp;vid=01CRU&amp;lang=en_US&amp;offset=0&amp;query=any,contains,991004655119702656","Catalog Record")</f>
        <v/>
      </c>
      <c r="AT107">
        <f>HYPERLINK("http://www.worldcat.org/oclc/4495068","WorldCat Record")</f>
        <v/>
      </c>
      <c r="AU107" t="inlineStr">
        <is>
          <t>292662787:eng</t>
        </is>
      </c>
      <c r="AV107" t="inlineStr">
        <is>
          <t>4495068</t>
        </is>
      </c>
      <c r="AW107" t="inlineStr">
        <is>
          <t>991004655119702656</t>
        </is>
      </c>
      <c r="AX107" t="inlineStr">
        <is>
          <t>991004655119702656</t>
        </is>
      </c>
      <c r="AY107" t="inlineStr">
        <is>
          <t>2268047000002656</t>
        </is>
      </c>
      <c r="AZ107" t="inlineStr">
        <is>
          <t>BOOK</t>
        </is>
      </c>
      <c r="BB107" t="inlineStr">
        <is>
          <t>9780398038694</t>
        </is>
      </c>
      <c r="BC107" t="inlineStr">
        <is>
          <t>32285001528727</t>
        </is>
      </c>
      <c r="BD107" t="inlineStr">
        <is>
          <t>893229666</t>
        </is>
      </c>
    </row>
    <row r="108">
      <c r="A108" t="inlineStr">
        <is>
          <t>No</t>
        </is>
      </c>
      <c r="B108" t="inlineStr">
        <is>
          <t>RJ496.A5 D97 1981</t>
        </is>
      </c>
      <c r="C108" t="inlineStr">
        <is>
          <t>0                      RJ 0496000A  5                  D  97          1981</t>
        </is>
      </c>
      <c r="D108" t="inlineStr">
        <is>
          <t>The Dyslexic child / [by Drake D. Duane and Paula Dozier Rome].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New York : Insight Pub. Co., c1981.</t>
        </is>
      </c>
      <c r="M108" t="inlineStr">
        <is>
          <t>1981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RJ </t>
        </is>
      </c>
      <c r="S108" t="n">
        <v>12</v>
      </c>
      <c r="T108" t="n">
        <v>12</v>
      </c>
      <c r="U108" t="inlineStr">
        <is>
          <t>2001-03-19</t>
        </is>
      </c>
      <c r="V108" t="inlineStr">
        <is>
          <t>2001-03-19</t>
        </is>
      </c>
      <c r="W108" t="inlineStr">
        <is>
          <t>1991-11-21</t>
        </is>
      </c>
      <c r="X108" t="inlineStr">
        <is>
          <t>1991-11-21</t>
        </is>
      </c>
      <c r="Y108" t="n">
        <v>47</v>
      </c>
      <c r="Z108" t="n">
        <v>43</v>
      </c>
      <c r="AA108" t="n">
        <v>50</v>
      </c>
      <c r="AB108" t="n">
        <v>1</v>
      </c>
      <c r="AC108" t="n">
        <v>1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HYPERLINK("https://creighton-primo.hosted.exlibrisgroup.com/primo-explore/search?tab=default_tab&amp;search_scope=EVERYTHING&amp;vid=01CRU&amp;lang=en_US&amp;offset=0&amp;query=any,contains,991005179569702656","Catalog Record")</f>
        <v/>
      </c>
      <c r="AT108">
        <f>HYPERLINK("http://www.worldcat.org/oclc/7943053","WorldCat Record")</f>
        <v/>
      </c>
      <c r="AU108" t="inlineStr">
        <is>
          <t>426205329:eng</t>
        </is>
      </c>
      <c r="AV108" t="inlineStr">
        <is>
          <t>7943053</t>
        </is>
      </c>
      <c r="AW108" t="inlineStr">
        <is>
          <t>991005179569702656</t>
        </is>
      </c>
      <c r="AX108" t="inlineStr">
        <is>
          <t>991005179569702656</t>
        </is>
      </c>
      <c r="AY108" t="inlineStr">
        <is>
          <t>2271965990002656</t>
        </is>
      </c>
      <c r="AZ108" t="inlineStr">
        <is>
          <t>BOOK</t>
        </is>
      </c>
      <c r="BC108" t="inlineStr">
        <is>
          <t>32285000843416</t>
        </is>
      </c>
      <c r="BD108" t="inlineStr">
        <is>
          <t>893332543</t>
        </is>
      </c>
    </row>
    <row r="109">
      <c r="A109" t="inlineStr">
        <is>
          <t>No</t>
        </is>
      </c>
      <c r="B109" t="inlineStr">
        <is>
          <t>RJ496.A5 E93</t>
        </is>
      </c>
      <c r="C109" t="inlineStr">
        <is>
          <t>0                      RJ 0496000A  5                  E  93</t>
        </is>
      </c>
      <c r="D109" t="inlineStr">
        <is>
          <t>Dyslexia : an annotated bibliography / Martha M. Evans.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Evans, Martha M.</t>
        </is>
      </c>
      <c r="L109" t="inlineStr">
        <is>
          <t>Westport, Conn. : Greenwood Press, c1982.</t>
        </is>
      </c>
      <c r="M109" t="inlineStr">
        <is>
          <t>1982</t>
        </is>
      </c>
      <c r="O109" t="inlineStr">
        <is>
          <t>eng</t>
        </is>
      </c>
      <c r="P109" t="inlineStr">
        <is>
          <t>ctu</t>
        </is>
      </c>
      <c r="Q109" t="inlineStr">
        <is>
          <t>Contemporary problems of childhood, 0147-1082 ; no. 5</t>
        </is>
      </c>
      <c r="R109" t="inlineStr">
        <is>
          <t xml:space="preserve">RJ </t>
        </is>
      </c>
      <c r="S109" t="n">
        <v>3</v>
      </c>
      <c r="T109" t="n">
        <v>3</v>
      </c>
      <c r="U109" t="inlineStr">
        <is>
          <t>1996-10-15</t>
        </is>
      </c>
      <c r="V109" t="inlineStr">
        <is>
          <t>1996-10-15</t>
        </is>
      </c>
      <c r="W109" t="inlineStr">
        <is>
          <t>1991-11-06</t>
        </is>
      </c>
      <c r="X109" t="inlineStr">
        <is>
          <t>1991-11-06</t>
        </is>
      </c>
      <c r="Y109" t="n">
        <v>421</v>
      </c>
      <c r="Z109" t="n">
        <v>349</v>
      </c>
      <c r="AA109" t="n">
        <v>355</v>
      </c>
      <c r="AB109" t="n">
        <v>3</v>
      </c>
      <c r="AC109" t="n">
        <v>3</v>
      </c>
      <c r="AD109" t="n">
        <v>17</v>
      </c>
      <c r="AE109" t="n">
        <v>17</v>
      </c>
      <c r="AF109" t="n">
        <v>10</v>
      </c>
      <c r="AG109" t="n">
        <v>10</v>
      </c>
      <c r="AH109" t="n">
        <v>3</v>
      </c>
      <c r="AI109" t="n">
        <v>3</v>
      </c>
      <c r="AJ109" t="n">
        <v>7</v>
      </c>
      <c r="AK109" t="n">
        <v>7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HYPERLINK("http://catalog.hathitrust.org/Record/000766834","HathiTrust Record")</f>
        <v/>
      </c>
      <c r="AS109">
        <f>HYPERLINK("https://creighton-primo.hosted.exlibrisgroup.com/primo-explore/search?tab=default_tab&amp;search_scope=EVERYTHING&amp;vid=01CRU&amp;lang=en_US&amp;offset=0&amp;query=any,contains,991005203859702656","Catalog Record")</f>
        <v/>
      </c>
      <c r="AT109">
        <f>HYPERLINK("http://www.worldcat.org/oclc/8110575","WorldCat Record")</f>
        <v/>
      </c>
      <c r="AU109" t="inlineStr">
        <is>
          <t>435813182:eng</t>
        </is>
      </c>
      <c r="AV109" t="inlineStr">
        <is>
          <t>8110575</t>
        </is>
      </c>
      <c r="AW109" t="inlineStr">
        <is>
          <t>991005203859702656</t>
        </is>
      </c>
      <c r="AX109" t="inlineStr">
        <is>
          <t>991005203859702656</t>
        </is>
      </c>
      <c r="AY109" t="inlineStr">
        <is>
          <t>2255913580002656</t>
        </is>
      </c>
      <c r="AZ109" t="inlineStr">
        <is>
          <t>BOOK</t>
        </is>
      </c>
      <c r="BB109" t="inlineStr">
        <is>
          <t>9780313213441</t>
        </is>
      </c>
      <c r="BC109" t="inlineStr">
        <is>
          <t>32285000798321</t>
        </is>
      </c>
      <c r="BD109" t="inlineStr">
        <is>
          <t>893801907</t>
        </is>
      </c>
    </row>
    <row r="110">
      <c r="A110" t="inlineStr">
        <is>
          <t>No</t>
        </is>
      </c>
      <c r="B110" t="inlineStr">
        <is>
          <t>RJ496.A5 G65</t>
        </is>
      </c>
      <c r="C110" t="inlineStr">
        <is>
          <t>0                      RJ 0496000A  5                  G  65</t>
        </is>
      </c>
      <c r="D110" t="inlineStr">
        <is>
          <t>Dyslexia : problems of reading disabilities / by Herman K. Goldberg and Gilbert B. Schiffman.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Goldberg, Herman K.</t>
        </is>
      </c>
      <c r="L110" t="inlineStr">
        <is>
          <t>New York : Grune &amp; Stratton, [1972]</t>
        </is>
      </c>
      <c r="M110" t="inlineStr">
        <is>
          <t>1972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RJ </t>
        </is>
      </c>
      <c r="S110" t="n">
        <v>4</v>
      </c>
      <c r="T110" t="n">
        <v>4</v>
      </c>
      <c r="U110" t="inlineStr">
        <is>
          <t>1996-02-22</t>
        </is>
      </c>
      <c r="V110" t="inlineStr">
        <is>
          <t>1996-02-22</t>
        </is>
      </c>
      <c r="W110" t="inlineStr">
        <is>
          <t>1990-04-12</t>
        </is>
      </c>
      <c r="X110" t="inlineStr">
        <is>
          <t>1990-04-12</t>
        </is>
      </c>
      <c r="Y110" t="n">
        <v>604</v>
      </c>
      <c r="Z110" t="n">
        <v>465</v>
      </c>
      <c r="AA110" t="n">
        <v>469</v>
      </c>
      <c r="AB110" t="n">
        <v>5</v>
      </c>
      <c r="AC110" t="n">
        <v>5</v>
      </c>
      <c r="AD110" t="n">
        <v>23</v>
      </c>
      <c r="AE110" t="n">
        <v>23</v>
      </c>
      <c r="AF110" t="n">
        <v>7</v>
      </c>
      <c r="AG110" t="n">
        <v>7</v>
      </c>
      <c r="AH110" t="n">
        <v>2</v>
      </c>
      <c r="AI110" t="n">
        <v>2</v>
      </c>
      <c r="AJ110" t="n">
        <v>14</v>
      </c>
      <c r="AK110" t="n">
        <v>14</v>
      </c>
      <c r="AL110" t="n">
        <v>3</v>
      </c>
      <c r="AM110" t="n">
        <v>3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HYPERLINK("http://catalog.hathitrust.org/Record/001570671","HathiTrust Record")</f>
        <v/>
      </c>
      <c r="AS110">
        <f>HYPERLINK("https://creighton-primo.hosted.exlibrisgroup.com/primo-explore/search?tab=default_tab&amp;search_scope=EVERYTHING&amp;vid=01CRU&amp;lang=en_US&amp;offset=0&amp;query=any,contains,991002729659702656","Catalog Record")</f>
        <v/>
      </c>
      <c r="AT110">
        <f>HYPERLINK("http://www.worldcat.org/oclc/415476","WorldCat Record")</f>
        <v/>
      </c>
      <c r="AU110" t="inlineStr">
        <is>
          <t>1475510:eng</t>
        </is>
      </c>
      <c r="AV110" t="inlineStr">
        <is>
          <t>415476</t>
        </is>
      </c>
      <c r="AW110" t="inlineStr">
        <is>
          <t>991002729659702656</t>
        </is>
      </c>
      <c r="AX110" t="inlineStr">
        <is>
          <t>991002729659702656</t>
        </is>
      </c>
      <c r="AY110" t="inlineStr">
        <is>
          <t>2266956880002656</t>
        </is>
      </c>
      <c r="AZ110" t="inlineStr">
        <is>
          <t>BOOK</t>
        </is>
      </c>
      <c r="BB110" t="inlineStr">
        <is>
          <t>9780808907848</t>
        </is>
      </c>
      <c r="BC110" t="inlineStr">
        <is>
          <t>32285000115245</t>
        </is>
      </c>
      <c r="BD110" t="inlineStr">
        <is>
          <t>893792839</t>
        </is>
      </c>
    </row>
    <row r="111">
      <c r="A111" t="inlineStr">
        <is>
          <t>No</t>
        </is>
      </c>
      <c r="B111" t="inlineStr">
        <is>
          <t>RJ496.A5 K5813</t>
        </is>
      </c>
      <c r="C111" t="inlineStr">
        <is>
          <t>0                      RJ 0496000A  5                  K  5813</t>
        </is>
      </c>
      <c r="D111" t="inlineStr">
        <is>
          <t>The syndrome of specific dyslexia : with special consideration of its physiological, psychological, testpsychological, and social correlates.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Klasen, Edith.</t>
        </is>
      </c>
      <c r="L111" t="inlineStr">
        <is>
          <t>Baltimore : University Park Press, [1972]</t>
        </is>
      </c>
      <c r="M111" t="inlineStr">
        <is>
          <t>1972</t>
        </is>
      </c>
      <c r="O111" t="inlineStr">
        <is>
          <t>eng</t>
        </is>
      </c>
      <c r="P111" t="inlineStr">
        <is>
          <t>mdu</t>
        </is>
      </c>
      <c r="R111" t="inlineStr">
        <is>
          <t xml:space="preserve">RJ </t>
        </is>
      </c>
      <c r="S111" t="n">
        <v>3</v>
      </c>
      <c r="T111" t="n">
        <v>3</v>
      </c>
      <c r="U111" t="inlineStr">
        <is>
          <t>1996-02-26</t>
        </is>
      </c>
      <c r="V111" t="inlineStr">
        <is>
          <t>1996-02-26</t>
        </is>
      </c>
      <c r="W111" t="inlineStr">
        <is>
          <t>1990-10-15</t>
        </is>
      </c>
      <c r="X111" t="inlineStr">
        <is>
          <t>1990-10-15</t>
        </is>
      </c>
      <c r="Y111" t="n">
        <v>559</v>
      </c>
      <c r="Z111" t="n">
        <v>479</v>
      </c>
      <c r="AA111" t="n">
        <v>486</v>
      </c>
      <c r="AB111" t="n">
        <v>5</v>
      </c>
      <c r="AC111" t="n">
        <v>5</v>
      </c>
      <c r="AD111" t="n">
        <v>23</v>
      </c>
      <c r="AE111" t="n">
        <v>23</v>
      </c>
      <c r="AF111" t="n">
        <v>9</v>
      </c>
      <c r="AG111" t="n">
        <v>9</v>
      </c>
      <c r="AH111" t="n">
        <v>3</v>
      </c>
      <c r="AI111" t="n">
        <v>3</v>
      </c>
      <c r="AJ111" t="n">
        <v>13</v>
      </c>
      <c r="AK111" t="n">
        <v>13</v>
      </c>
      <c r="AL111" t="n">
        <v>4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HYPERLINK("http://catalog.hathitrust.org/Record/000004572","HathiTrust Record")</f>
        <v/>
      </c>
      <c r="AS111">
        <f>HYPERLINK("https://creighton-primo.hosted.exlibrisgroup.com/primo-explore/search?tab=default_tab&amp;search_scope=EVERYTHING&amp;vid=01CRU&amp;lang=en_US&amp;offset=0&amp;query=any,contains,991002315089702656","Catalog Record")</f>
        <v/>
      </c>
      <c r="AT111">
        <f>HYPERLINK("http://www.worldcat.org/oclc/320026","WorldCat Record")</f>
        <v/>
      </c>
      <c r="AU111" t="inlineStr">
        <is>
          <t>1150998104:eng</t>
        </is>
      </c>
      <c r="AV111" t="inlineStr">
        <is>
          <t>320026</t>
        </is>
      </c>
      <c r="AW111" t="inlineStr">
        <is>
          <t>991002315089702656</t>
        </is>
      </c>
      <c r="AX111" t="inlineStr">
        <is>
          <t>991002315089702656</t>
        </is>
      </c>
      <c r="AY111" t="inlineStr">
        <is>
          <t>2258855180002656</t>
        </is>
      </c>
      <c r="AZ111" t="inlineStr">
        <is>
          <t>BOOK</t>
        </is>
      </c>
      <c r="BB111" t="inlineStr">
        <is>
          <t>9780839107040</t>
        </is>
      </c>
      <c r="BC111" t="inlineStr">
        <is>
          <t>32285000347699</t>
        </is>
      </c>
      <c r="BD111" t="inlineStr">
        <is>
          <t>893809420</t>
        </is>
      </c>
    </row>
    <row r="112">
      <c r="A112" t="inlineStr">
        <is>
          <t>No</t>
        </is>
      </c>
      <c r="B112" t="inlineStr">
        <is>
          <t>RJ496.A5 M67</t>
        </is>
      </c>
      <c r="C112" t="inlineStr">
        <is>
          <t>0                      RJ 0496000A  5                  M  67</t>
        </is>
      </c>
      <c r="D112" t="inlineStr">
        <is>
          <t>The complete handbook of children's reading disorders : a critical evaluation of their clinical, educational, and social dimensions / Hilde L. Mosse.</t>
        </is>
      </c>
      <c r="E112" t="inlineStr">
        <is>
          <t>V.2</t>
        </is>
      </c>
      <c r="F112" t="inlineStr">
        <is>
          <t>Yes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Mosse, Hilde L.</t>
        </is>
      </c>
      <c r="L112" t="inlineStr">
        <is>
          <t>New York : Human Sciences Press, c1982.</t>
        </is>
      </c>
      <c r="M112" t="inlineStr">
        <is>
          <t>1982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RJ </t>
        </is>
      </c>
      <c r="S112" t="n">
        <v>2</v>
      </c>
      <c r="T112" t="n">
        <v>4</v>
      </c>
      <c r="U112" t="inlineStr">
        <is>
          <t>1996-02-22</t>
        </is>
      </c>
      <c r="V112" t="inlineStr">
        <is>
          <t>1996-02-22</t>
        </is>
      </c>
      <c r="W112" t="inlineStr">
        <is>
          <t>1993-02-24</t>
        </is>
      </c>
      <c r="X112" t="inlineStr">
        <is>
          <t>1993-02-24</t>
        </is>
      </c>
      <c r="Y112" t="n">
        <v>354</v>
      </c>
      <c r="Z112" t="n">
        <v>312</v>
      </c>
      <c r="AA112" t="n">
        <v>318</v>
      </c>
      <c r="AB112" t="n">
        <v>5</v>
      </c>
      <c r="AC112" t="n">
        <v>5</v>
      </c>
      <c r="AD112" t="n">
        <v>14</v>
      </c>
      <c r="AE112" t="n">
        <v>14</v>
      </c>
      <c r="AF112" t="n">
        <v>6</v>
      </c>
      <c r="AG112" t="n">
        <v>6</v>
      </c>
      <c r="AH112" t="n">
        <v>1</v>
      </c>
      <c r="AI112" t="n">
        <v>1</v>
      </c>
      <c r="AJ112" t="n">
        <v>6</v>
      </c>
      <c r="AK112" t="n">
        <v>6</v>
      </c>
      <c r="AL112" t="n">
        <v>4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HYPERLINK("http://catalog.hathitrust.org/Record/007470039","HathiTrust Record")</f>
        <v/>
      </c>
      <c r="AS112">
        <f>HYPERLINK("https://creighton-primo.hosted.exlibrisgroup.com/primo-explore/search?tab=default_tab&amp;search_scope=EVERYTHING&amp;vid=01CRU&amp;lang=en_US&amp;offset=0&amp;query=any,contains,991005092879702656","Catalog Record")</f>
        <v/>
      </c>
      <c r="AT112">
        <f>HYPERLINK("http://www.worldcat.org/oclc/7248492","WorldCat Record")</f>
        <v/>
      </c>
      <c r="AU112" t="inlineStr">
        <is>
          <t>2288698257:eng</t>
        </is>
      </c>
      <c r="AV112" t="inlineStr">
        <is>
          <t>7248492</t>
        </is>
      </c>
      <c r="AW112" t="inlineStr">
        <is>
          <t>991005092879702656</t>
        </is>
      </c>
      <c r="AX112" t="inlineStr">
        <is>
          <t>991005092879702656</t>
        </is>
      </c>
      <c r="AY112" t="inlineStr">
        <is>
          <t>2267753290002656</t>
        </is>
      </c>
      <c r="AZ112" t="inlineStr">
        <is>
          <t>BOOK</t>
        </is>
      </c>
      <c r="BB112" t="inlineStr">
        <is>
          <t>9780898850215</t>
        </is>
      </c>
      <c r="BC112" t="inlineStr">
        <is>
          <t>32285001528743</t>
        </is>
      </c>
      <c r="BD112" t="inlineStr">
        <is>
          <t>893688583</t>
        </is>
      </c>
    </row>
    <row r="113">
      <c r="A113" t="inlineStr">
        <is>
          <t>No</t>
        </is>
      </c>
      <c r="B113" t="inlineStr">
        <is>
          <t>RJ496.A5 M67</t>
        </is>
      </c>
      <c r="C113" t="inlineStr">
        <is>
          <t>0                      RJ 0496000A  5                  M  67</t>
        </is>
      </c>
      <c r="D113" t="inlineStr">
        <is>
          <t>The complete handbook of children's reading disorders : a critical evaluation of their clinical, educational, and social dimensions / Hilde L. Mosse.</t>
        </is>
      </c>
      <c r="E113" t="inlineStr">
        <is>
          <t>V.1</t>
        </is>
      </c>
      <c r="F113" t="inlineStr">
        <is>
          <t>Yes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Mosse, Hilde L.</t>
        </is>
      </c>
      <c r="L113" t="inlineStr">
        <is>
          <t>New York : Human Sciences Press, c1982.</t>
        </is>
      </c>
      <c r="M113" t="inlineStr">
        <is>
          <t>1982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RJ </t>
        </is>
      </c>
      <c r="S113" t="n">
        <v>2</v>
      </c>
      <c r="T113" t="n">
        <v>4</v>
      </c>
      <c r="U113" t="inlineStr">
        <is>
          <t>1995-04-30</t>
        </is>
      </c>
      <c r="V113" t="inlineStr">
        <is>
          <t>1996-02-22</t>
        </is>
      </c>
      <c r="W113" t="inlineStr">
        <is>
          <t>1993-02-24</t>
        </is>
      </c>
      <c r="X113" t="inlineStr">
        <is>
          <t>1993-02-24</t>
        </is>
      </c>
      <c r="Y113" t="n">
        <v>354</v>
      </c>
      <c r="Z113" t="n">
        <v>312</v>
      </c>
      <c r="AA113" t="n">
        <v>318</v>
      </c>
      <c r="AB113" t="n">
        <v>5</v>
      </c>
      <c r="AC113" t="n">
        <v>5</v>
      </c>
      <c r="AD113" t="n">
        <v>14</v>
      </c>
      <c r="AE113" t="n">
        <v>14</v>
      </c>
      <c r="AF113" t="n">
        <v>6</v>
      </c>
      <c r="AG113" t="n">
        <v>6</v>
      </c>
      <c r="AH113" t="n">
        <v>1</v>
      </c>
      <c r="AI113" t="n">
        <v>1</v>
      </c>
      <c r="AJ113" t="n">
        <v>6</v>
      </c>
      <c r="AK113" t="n">
        <v>6</v>
      </c>
      <c r="AL113" t="n">
        <v>4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HYPERLINK("http://catalog.hathitrust.org/Record/007470039","HathiTrust Record")</f>
        <v/>
      </c>
      <c r="AS113">
        <f>HYPERLINK("https://creighton-primo.hosted.exlibrisgroup.com/primo-explore/search?tab=default_tab&amp;search_scope=EVERYTHING&amp;vid=01CRU&amp;lang=en_US&amp;offset=0&amp;query=any,contains,991005092879702656","Catalog Record")</f>
        <v/>
      </c>
      <c r="AT113">
        <f>HYPERLINK("http://www.worldcat.org/oclc/7248492","WorldCat Record")</f>
        <v/>
      </c>
      <c r="AU113" t="inlineStr">
        <is>
          <t>2288698257:eng</t>
        </is>
      </c>
      <c r="AV113" t="inlineStr">
        <is>
          <t>7248492</t>
        </is>
      </c>
      <c r="AW113" t="inlineStr">
        <is>
          <t>991005092879702656</t>
        </is>
      </c>
      <c r="AX113" t="inlineStr">
        <is>
          <t>991005092879702656</t>
        </is>
      </c>
      <c r="AY113" t="inlineStr">
        <is>
          <t>2267753290002656</t>
        </is>
      </c>
      <c r="AZ113" t="inlineStr">
        <is>
          <t>BOOK</t>
        </is>
      </c>
      <c r="BB113" t="inlineStr">
        <is>
          <t>9780898850215</t>
        </is>
      </c>
      <c r="BC113" t="inlineStr">
        <is>
          <t>32285001528735</t>
        </is>
      </c>
      <c r="BD113" t="inlineStr">
        <is>
          <t>893713433</t>
        </is>
      </c>
    </row>
    <row r="114">
      <c r="A114" t="inlineStr">
        <is>
          <t>No</t>
        </is>
      </c>
      <c r="B114" t="inlineStr">
        <is>
          <t>RJ496.A5 N37 1977</t>
        </is>
      </c>
      <c r="C114" t="inlineStr">
        <is>
          <t>0                      RJ 0496000A  5                  N  37          1977</t>
        </is>
      </c>
      <c r="D114" t="inlineStr">
        <is>
          <t>Dyslexia : an appraisal of current knowledge / edited by Arthur L. Benton, David Pearl.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National Institute of Mental Health Conference on Dyslexia (1977)</t>
        </is>
      </c>
      <c r="L114" t="inlineStr">
        <is>
          <t>New York : Oxford University Press, 1978.</t>
        </is>
      </c>
      <c r="M114" t="inlineStr">
        <is>
          <t>1978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RJ </t>
        </is>
      </c>
      <c r="S114" t="n">
        <v>7</v>
      </c>
      <c r="T114" t="n">
        <v>7</v>
      </c>
      <c r="U114" t="inlineStr">
        <is>
          <t>1998-11-13</t>
        </is>
      </c>
      <c r="V114" t="inlineStr">
        <is>
          <t>1998-11-13</t>
        </is>
      </c>
      <c r="W114" t="inlineStr">
        <is>
          <t>1990-06-13</t>
        </is>
      </c>
      <c r="X114" t="inlineStr">
        <is>
          <t>1990-06-13</t>
        </is>
      </c>
      <c r="Y114" t="n">
        <v>640</v>
      </c>
      <c r="Z114" t="n">
        <v>511</v>
      </c>
      <c r="AA114" t="n">
        <v>551</v>
      </c>
      <c r="AB114" t="n">
        <v>3</v>
      </c>
      <c r="AC114" t="n">
        <v>3</v>
      </c>
      <c r="AD114" t="n">
        <v>16</v>
      </c>
      <c r="AE114" t="n">
        <v>17</v>
      </c>
      <c r="AF114" t="n">
        <v>7</v>
      </c>
      <c r="AG114" t="n">
        <v>7</v>
      </c>
      <c r="AH114" t="n">
        <v>4</v>
      </c>
      <c r="AI114" t="n">
        <v>4</v>
      </c>
      <c r="AJ114" t="n">
        <v>9</v>
      </c>
      <c r="AK114" t="n">
        <v>10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HYPERLINK("http://catalog.hathitrust.org/Record/000132226","HathiTrust Record")</f>
        <v/>
      </c>
      <c r="AS114">
        <f>HYPERLINK("https://creighton-primo.hosted.exlibrisgroup.com/primo-explore/search?tab=default_tab&amp;search_scope=EVERYTHING&amp;vid=01CRU&amp;lang=en_US&amp;offset=0&amp;query=any,contains,991004504149702656","Catalog Record")</f>
        <v/>
      </c>
      <c r="AT114">
        <f>HYPERLINK("http://www.worldcat.org/oclc/3730375","WorldCat Record")</f>
        <v/>
      </c>
      <c r="AU114" t="inlineStr">
        <is>
          <t>11115141:eng</t>
        </is>
      </c>
      <c r="AV114" t="inlineStr">
        <is>
          <t>3730375</t>
        </is>
      </c>
      <c r="AW114" t="inlineStr">
        <is>
          <t>991004504149702656</t>
        </is>
      </c>
      <c r="AX114" t="inlineStr">
        <is>
          <t>991004504149702656</t>
        </is>
      </c>
      <c r="AY114" t="inlineStr">
        <is>
          <t>2268839330002656</t>
        </is>
      </c>
      <c r="AZ114" t="inlineStr">
        <is>
          <t>BOOK</t>
        </is>
      </c>
      <c r="BB114" t="inlineStr">
        <is>
          <t>9780195023848</t>
        </is>
      </c>
      <c r="BC114" t="inlineStr">
        <is>
          <t>32285000191691</t>
        </is>
      </c>
      <c r="BD114" t="inlineStr">
        <is>
          <t>893895070</t>
        </is>
      </c>
    </row>
    <row r="115">
      <c r="A115" t="inlineStr">
        <is>
          <t>No</t>
        </is>
      </c>
      <c r="B115" t="inlineStr">
        <is>
          <t>RJ496.A5 P35</t>
        </is>
      </c>
      <c r="C115" t="inlineStr">
        <is>
          <t>0                      RJ 0496000A  5                  P  35</t>
        </is>
      </c>
      <c r="D115" t="inlineStr">
        <is>
          <t>Dyslexia and reading disabilities : papers / by Richmond Paine, Helmer Myklebust, Deso Weiss ... [et al.].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Paine, Richmond S. (Richmond Shepard), 1920-1969.</t>
        </is>
      </c>
      <c r="L115" t="inlineStr">
        <is>
          <t>New York : MSS Information Corp., [1972]</t>
        </is>
      </c>
      <c r="M115" t="inlineStr">
        <is>
          <t>1972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RJ </t>
        </is>
      </c>
      <c r="S115" t="n">
        <v>4</v>
      </c>
      <c r="T115" t="n">
        <v>4</v>
      </c>
      <c r="U115" t="inlineStr">
        <is>
          <t>1996-02-22</t>
        </is>
      </c>
      <c r="V115" t="inlineStr">
        <is>
          <t>1996-02-22</t>
        </is>
      </c>
      <c r="W115" t="inlineStr">
        <is>
          <t>1990-10-15</t>
        </is>
      </c>
      <c r="X115" t="inlineStr">
        <is>
          <t>1990-10-15</t>
        </is>
      </c>
      <c r="Y115" t="n">
        <v>222</v>
      </c>
      <c r="Z115" t="n">
        <v>186</v>
      </c>
      <c r="AA115" t="n">
        <v>188</v>
      </c>
      <c r="AB115" t="n">
        <v>1</v>
      </c>
      <c r="AC115" t="n">
        <v>1</v>
      </c>
      <c r="AD115" t="n">
        <v>6</v>
      </c>
      <c r="AE115" t="n">
        <v>6</v>
      </c>
      <c r="AF115" t="n">
        <v>2</v>
      </c>
      <c r="AG115" t="n">
        <v>2</v>
      </c>
      <c r="AH115" t="n">
        <v>2</v>
      </c>
      <c r="AI115" t="n">
        <v>2</v>
      </c>
      <c r="AJ115" t="n">
        <v>3</v>
      </c>
      <c r="AK115" t="n">
        <v>3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HYPERLINK("http://catalog.hathitrust.org/Record/001570673","HathiTrust Record")</f>
        <v/>
      </c>
      <c r="AS115">
        <f>HYPERLINK("https://creighton-primo.hosted.exlibrisgroup.com/primo-explore/search?tab=default_tab&amp;search_scope=EVERYTHING&amp;vid=01CRU&amp;lang=en_US&amp;offset=0&amp;query=any,contains,991002495549702656","Catalog Record")</f>
        <v/>
      </c>
      <c r="AT115">
        <f>HYPERLINK("http://www.worldcat.org/oclc/363755","WorldCat Record")</f>
        <v/>
      </c>
      <c r="AU115" t="inlineStr">
        <is>
          <t>4021176223:eng</t>
        </is>
      </c>
      <c r="AV115" t="inlineStr">
        <is>
          <t>363755</t>
        </is>
      </c>
      <c r="AW115" t="inlineStr">
        <is>
          <t>991002495549702656</t>
        </is>
      </c>
      <c r="AX115" t="inlineStr">
        <is>
          <t>991002495549702656</t>
        </is>
      </c>
      <c r="AY115" t="inlineStr">
        <is>
          <t>2264253910002656</t>
        </is>
      </c>
      <c r="AZ115" t="inlineStr">
        <is>
          <t>BOOK</t>
        </is>
      </c>
      <c r="BB115" t="inlineStr">
        <is>
          <t>9780842270052</t>
        </is>
      </c>
      <c r="BC115" t="inlineStr">
        <is>
          <t>32285000347715</t>
        </is>
      </c>
      <c r="BD115" t="inlineStr">
        <is>
          <t>893786222</t>
        </is>
      </c>
    </row>
    <row r="116">
      <c r="A116" t="inlineStr">
        <is>
          <t>No</t>
        </is>
      </c>
      <c r="B116" t="inlineStr">
        <is>
          <t>RJ496.A5 S49 1986</t>
        </is>
      </c>
      <c r="C116" t="inlineStr">
        <is>
          <t>0                      RJ 0496000A  5                  S  49          1986</t>
        </is>
      </c>
      <c r="D116" t="inlineStr">
        <is>
          <t>Cognitive analysis of dyslexia / Philip H.K. Seymour.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Seymour, Philip H. K. (Philip Herschel Kean), 1938-</t>
        </is>
      </c>
      <c r="L116" t="inlineStr">
        <is>
          <t>London ; New York : Routledge &amp; Kegan Paul, 1986.</t>
        </is>
      </c>
      <c r="M116" t="inlineStr">
        <is>
          <t>1986</t>
        </is>
      </c>
      <c r="O116" t="inlineStr">
        <is>
          <t>eng</t>
        </is>
      </c>
      <c r="P116" t="inlineStr">
        <is>
          <t>enk</t>
        </is>
      </c>
      <c r="Q116" t="inlineStr">
        <is>
          <t>International library of psychology</t>
        </is>
      </c>
      <c r="R116" t="inlineStr">
        <is>
          <t xml:space="preserve">RJ </t>
        </is>
      </c>
      <c r="S116" t="n">
        <v>8</v>
      </c>
      <c r="T116" t="n">
        <v>8</v>
      </c>
      <c r="U116" t="inlineStr">
        <is>
          <t>1998-11-13</t>
        </is>
      </c>
      <c r="V116" t="inlineStr">
        <is>
          <t>1998-11-13</t>
        </is>
      </c>
      <c r="W116" t="inlineStr">
        <is>
          <t>1990-06-13</t>
        </is>
      </c>
      <c r="X116" t="inlineStr">
        <is>
          <t>1990-06-13</t>
        </is>
      </c>
      <c r="Y116" t="n">
        <v>360</v>
      </c>
      <c r="Z116" t="n">
        <v>230</v>
      </c>
      <c r="AA116" t="n">
        <v>235</v>
      </c>
      <c r="AB116" t="n">
        <v>3</v>
      </c>
      <c r="AC116" t="n">
        <v>3</v>
      </c>
      <c r="AD116" t="n">
        <v>12</v>
      </c>
      <c r="AE116" t="n">
        <v>12</v>
      </c>
      <c r="AF116" t="n">
        <v>4</v>
      </c>
      <c r="AG116" t="n">
        <v>4</v>
      </c>
      <c r="AH116" t="n">
        <v>1</v>
      </c>
      <c r="AI116" t="n">
        <v>1</v>
      </c>
      <c r="AJ116" t="n">
        <v>7</v>
      </c>
      <c r="AK116" t="n">
        <v>7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HYPERLINK("https://creighton-primo.hosted.exlibrisgroup.com/primo-explore/search?tab=default_tab&amp;search_scope=EVERYTHING&amp;vid=01CRU&amp;lang=en_US&amp;offset=0&amp;query=any,contains,991000779869702656","Catalog Record")</f>
        <v/>
      </c>
      <c r="AT116">
        <f>HYPERLINK("http://www.worldcat.org/oclc/13094415","WorldCat Record")</f>
        <v/>
      </c>
      <c r="AU116" t="inlineStr">
        <is>
          <t>5844754:eng</t>
        </is>
      </c>
      <c r="AV116" t="inlineStr">
        <is>
          <t>13094415</t>
        </is>
      </c>
      <c r="AW116" t="inlineStr">
        <is>
          <t>991000779869702656</t>
        </is>
      </c>
      <c r="AX116" t="inlineStr">
        <is>
          <t>991000779869702656</t>
        </is>
      </c>
      <c r="AY116" t="inlineStr">
        <is>
          <t>2271974770002656</t>
        </is>
      </c>
      <c r="AZ116" t="inlineStr">
        <is>
          <t>BOOK</t>
        </is>
      </c>
      <c r="BB116" t="inlineStr">
        <is>
          <t>9780710098412</t>
        </is>
      </c>
      <c r="BC116" t="inlineStr">
        <is>
          <t>32285000191709</t>
        </is>
      </c>
      <c r="BD116" t="inlineStr">
        <is>
          <t>893522008</t>
        </is>
      </c>
    </row>
    <row r="117">
      <c r="A117" t="inlineStr">
        <is>
          <t>No</t>
        </is>
      </c>
      <c r="B117" t="inlineStr">
        <is>
          <t>RJ496.A5 W67 1974</t>
        </is>
      </c>
      <c r="C117" t="inlineStr">
        <is>
          <t>0                      RJ 0496000A  5                  W  67          1974</t>
        </is>
      </c>
      <c r="D117" t="inlineStr">
        <is>
          <t>Reading, perception, and language : papers from the World Congress on Dyslexia / edited by Drake D. Duane and Margaret B. Rawson ; sponsored by the Orton Society in cooperation with the Mayo Clinic.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World Congress on Dyslexia (1st : 1974 : Mayo Clinic)</t>
        </is>
      </c>
      <c r="L117" t="inlineStr">
        <is>
          <t>Baltimore : York Press, [1975]</t>
        </is>
      </c>
      <c r="M117" t="inlineStr">
        <is>
          <t>1975</t>
        </is>
      </c>
      <c r="O117" t="inlineStr">
        <is>
          <t>eng</t>
        </is>
      </c>
      <c r="P117" t="inlineStr">
        <is>
          <t>mdu</t>
        </is>
      </c>
      <c r="R117" t="inlineStr">
        <is>
          <t xml:space="preserve">RJ </t>
        </is>
      </c>
      <c r="S117" t="n">
        <v>3</v>
      </c>
      <c r="T117" t="n">
        <v>3</v>
      </c>
      <c r="U117" t="inlineStr">
        <is>
          <t>2009-07-28</t>
        </is>
      </c>
      <c r="V117" t="inlineStr">
        <is>
          <t>2009-07-28</t>
        </is>
      </c>
      <c r="W117" t="inlineStr">
        <is>
          <t>1992-04-24</t>
        </is>
      </c>
      <c r="X117" t="inlineStr">
        <is>
          <t>1992-04-24</t>
        </is>
      </c>
      <c r="Y117" t="n">
        <v>443</v>
      </c>
      <c r="Z117" t="n">
        <v>367</v>
      </c>
      <c r="AA117" t="n">
        <v>392</v>
      </c>
      <c r="AB117" t="n">
        <v>2</v>
      </c>
      <c r="AC117" t="n">
        <v>3</v>
      </c>
      <c r="AD117" t="n">
        <v>11</v>
      </c>
      <c r="AE117" t="n">
        <v>13</v>
      </c>
      <c r="AF117" t="n">
        <v>6</v>
      </c>
      <c r="AG117" t="n">
        <v>6</v>
      </c>
      <c r="AH117" t="n">
        <v>3</v>
      </c>
      <c r="AI117" t="n">
        <v>3</v>
      </c>
      <c r="AJ117" t="n">
        <v>6</v>
      </c>
      <c r="AK117" t="n">
        <v>7</v>
      </c>
      <c r="AL117" t="n">
        <v>1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HYPERLINK("http://catalog.hathitrust.org/Record/000020747","HathiTrust Record")</f>
        <v/>
      </c>
      <c r="AS117">
        <f>HYPERLINK("https://creighton-primo.hosted.exlibrisgroup.com/primo-explore/search?tab=default_tab&amp;search_scope=EVERYTHING&amp;vid=01CRU&amp;lang=en_US&amp;offset=0&amp;query=any,contains,991003808599702656","Catalog Record")</f>
        <v/>
      </c>
      <c r="AT117">
        <f>HYPERLINK("http://www.worldcat.org/oclc/1532016","WorldCat Record")</f>
        <v/>
      </c>
      <c r="AU117" t="inlineStr">
        <is>
          <t>2406699:eng</t>
        </is>
      </c>
      <c r="AV117" t="inlineStr">
        <is>
          <t>1532016</t>
        </is>
      </c>
      <c r="AW117" t="inlineStr">
        <is>
          <t>991003808599702656</t>
        </is>
      </c>
      <c r="AX117" t="inlineStr">
        <is>
          <t>991003808599702656</t>
        </is>
      </c>
      <c r="AY117" t="inlineStr">
        <is>
          <t>2272166960002656</t>
        </is>
      </c>
      <c r="AZ117" t="inlineStr">
        <is>
          <t>BOOK</t>
        </is>
      </c>
      <c r="BB117" t="inlineStr">
        <is>
          <t>9780912752075</t>
        </is>
      </c>
      <c r="BC117" t="inlineStr">
        <is>
          <t>32285001086312</t>
        </is>
      </c>
      <c r="BD117" t="inlineStr">
        <is>
          <t>893429247</t>
        </is>
      </c>
    </row>
    <row r="118">
      <c r="A118" t="inlineStr">
        <is>
          <t>No</t>
        </is>
      </c>
      <c r="B118" t="inlineStr">
        <is>
          <t>RJ496.A6 E57</t>
        </is>
      </c>
      <c r="C118" t="inlineStr">
        <is>
          <t>0                      RJ 0496000A  6                  E  57</t>
        </is>
      </c>
      <c r="D118" t="inlineStr">
        <is>
          <t>Aphasia in children.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Eisenson, Jon, 1907-2001.</t>
        </is>
      </c>
      <c r="L118" t="inlineStr">
        <is>
          <t>New York : Harper &amp; Row, [1972]</t>
        </is>
      </c>
      <c r="M118" t="inlineStr">
        <is>
          <t>1972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RJ </t>
        </is>
      </c>
      <c r="S118" t="n">
        <v>4</v>
      </c>
      <c r="T118" t="n">
        <v>4</v>
      </c>
      <c r="U118" t="inlineStr">
        <is>
          <t>1994-04-26</t>
        </is>
      </c>
      <c r="V118" t="inlineStr">
        <is>
          <t>1994-04-26</t>
        </is>
      </c>
      <c r="W118" t="inlineStr">
        <is>
          <t>1990-10-15</t>
        </is>
      </c>
      <c r="X118" t="inlineStr">
        <is>
          <t>1990-10-15</t>
        </is>
      </c>
      <c r="Y118" t="n">
        <v>561</v>
      </c>
      <c r="Z118" t="n">
        <v>466</v>
      </c>
      <c r="AA118" t="n">
        <v>468</v>
      </c>
      <c r="AB118" t="n">
        <v>9</v>
      </c>
      <c r="AC118" t="n">
        <v>9</v>
      </c>
      <c r="AD118" t="n">
        <v>17</v>
      </c>
      <c r="AE118" t="n">
        <v>17</v>
      </c>
      <c r="AF118" t="n">
        <v>4</v>
      </c>
      <c r="AG118" t="n">
        <v>4</v>
      </c>
      <c r="AH118" t="n">
        <v>3</v>
      </c>
      <c r="AI118" t="n">
        <v>3</v>
      </c>
      <c r="AJ118" t="n">
        <v>5</v>
      </c>
      <c r="AK118" t="n">
        <v>5</v>
      </c>
      <c r="AL118" t="n">
        <v>7</v>
      </c>
      <c r="AM118" t="n">
        <v>7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HYPERLINK("http://catalog.hathitrust.org/Record/001570676","HathiTrust Record")</f>
        <v/>
      </c>
      <c r="AS118">
        <f>HYPERLINK("https://creighton-primo.hosted.exlibrisgroup.com/primo-explore/search?tab=default_tab&amp;search_scope=EVERYTHING&amp;vid=01CRU&amp;lang=en_US&amp;offset=0&amp;query=any,contains,991005266199702656","Catalog Record")</f>
        <v/>
      </c>
      <c r="AT118">
        <f>HYPERLINK("http://www.worldcat.org/oclc/267802","WorldCat Record")</f>
        <v/>
      </c>
      <c r="AU118" t="inlineStr">
        <is>
          <t>3145310291:eng</t>
        </is>
      </c>
      <c r="AV118" t="inlineStr">
        <is>
          <t>267802</t>
        </is>
      </c>
      <c r="AW118" t="inlineStr">
        <is>
          <t>991005266199702656</t>
        </is>
      </c>
      <c r="AX118" t="inlineStr">
        <is>
          <t>991005266199702656</t>
        </is>
      </c>
      <c r="AY118" t="inlineStr">
        <is>
          <t>2270668830002656</t>
        </is>
      </c>
      <c r="AZ118" t="inlineStr">
        <is>
          <t>BOOK</t>
        </is>
      </c>
      <c r="BB118" t="inlineStr">
        <is>
          <t>9780060418816</t>
        </is>
      </c>
      <c r="BC118" t="inlineStr">
        <is>
          <t>32285000347731</t>
        </is>
      </c>
      <c r="BD118" t="inlineStr">
        <is>
          <t>893254743</t>
        </is>
      </c>
    </row>
    <row r="119">
      <c r="A119" t="inlineStr">
        <is>
          <t>No</t>
        </is>
      </c>
      <c r="B119" t="inlineStr">
        <is>
          <t>RJ496.A86 A88 1985</t>
        </is>
      </c>
      <c r="C119" t="inlineStr">
        <is>
          <t>0                      RJ 0496000A  86                 A  88          1985</t>
        </is>
      </c>
      <c r="D119" t="inlineStr">
        <is>
          <t>Attention deficit disorder : identification, course, and rationale / edited by Lewis M. Bloomingdale.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New York : SP Medical &amp; Scientific Books, c1985.</t>
        </is>
      </c>
      <c r="M119" t="inlineStr">
        <is>
          <t>1985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RJ </t>
        </is>
      </c>
      <c r="S119" t="n">
        <v>65</v>
      </c>
      <c r="T119" t="n">
        <v>65</v>
      </c>
      <c r="U119" t="inlineStr">
        <is>
          <t>2001-11-25</t>
        </is>
      </c>
      <c r="V119" t="inlineStr">
        <is>
          <t>2001-11-25</t>
        </is>
      </c>
      <c r="W119" t="inlineStr">
        <is>
          <t>1990-06-13</t>
        </is>
      </c>
      <c r="X119" t="inlineStr">
        <is>
          <t>1990-06-13</t>
        </is>
      </c>
      <c r="Y119" t="n">
        <v>136</v>
      </c>
      <c r="Z119" t="n">
        <v>113</v>
      </c>
      <c r="AA119" t="n">
        <v>115</v>
      </c>
      <c r="AB119" t="n">
        <v>1</v>
      </c>
      <c r="AC119" t="n">
        <v>1</v>
      </c>
      <c r="AD119" t="n">
        <v>1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1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HYPERLINK("https://creighton-primo.hosted.exlibrisgroup.com/primo-explore/search?tab=default_tab&amp;search_scope=EVERYTHING&amp;vid=01CRU&amp;lang=en_US&amp;offset=0&amp;query=any,contains,991000525009702656","Catalog Record")</f>
        <v/>
      </c>
      <c r="AT119">
        <f>HYPERLINK("http://www.worldcat.org/oclc/11370001","WorldCat Record")</f>
        <v/>
      </c>
      <c r="AU119" t="inlineStr">
        <is>
          <t>509878378:eng</t>
        </is>
      </c>
      <c r="AV119" t="inlineStr">
        <is>
          <t>11370001</t>
        </is>
      </c>
      <c r="AW119" t="inlineStr">
        <is>
          <t>991000525009702656</t>
        </is>
      </c>
      <c r="AX119" t="inlineStr">
        <is>
          <t>991000525009702656</t>
        </is>
      </c>
      <c r="AY119" t="inlineStr">
        <is>
          <t>2260012070002656</t>
        </is>
      </c>
      <c r="AZ119" t="inlineStr">
        <is>
          <t>BOOK</t>
        </is>
      </c>
      <c r="BB119" t="inlineStr">
        <is>
          <t>9780893352196</t>
        </is>
      </c>
      <c r="BC119" t="inlineStr">
        <is>
          <t>32285000191717</t>
        </is>
      </c>
      <c r="BD119" t="inlineStr">
        <is>
          <t>893225064</t>
        </is>
      </c>
    </row>
    <row r="120">
      <c r="A120" t="inlineStr">
        <is>
          <t>No</t>
        </is>
      </c>
      <c r="B120" t="inlineStr">
        <is>
          <t>RJ496.A86 K57 1986</t>
        </is>
      </c>
      <c r="C120" t="inlineStr">
        <is>
          <t>0                      RJ 0496000A  86                 K  57          1986</t>
        </is>
      </c>
      <c r="D120" t="inlineStr">
        <is>
          <t>Understanding and treating attention deficit disorder / Edward A. Kirby, Liam K. Grimley.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Kirby, Edward A.</t>
        </is>
      </c>
      <c r="L120" t="inlineStr">
        <is>
          <t>New York : Pergamon Press, 1986.</t>
        </is>
      </c>
      <c r="M120" t="inlineStr">
        <is>
          <t>1986</t>
        </is>
      </c>
      <c r="O120" t="inlineStr">
        <is>
          <t>eng</t>
        </is>
      </c>
      <c r="P120" t="inlineStr">
        <is>
          <t>nyu</t>
        </is>
      </c>
      <c r="Q120" t="inlineStr">
        <is>
          <t>Psychology practitioner guidebooks</t>
        </is>
      </c>
      <c r="R120" t="inlineStr">
        <is>
          <t xml:space="preserve">RJ </t>
        </is>
      </c>
      <c r="S120" t="n">
        <v>57</v>
      </c>
      <c r="T120" t="n">
        <v>57</v>
      </c>
      <c r="U120" t="inlineStr">
        <is>
          <t>2001-12-02</t>
        </is>
      </c>
      <c r="V120" t="inlineStr">
        <is>
          <t>2001-12-02</t>
        </is>
      </c>
      <c r="W120" t="inlineStr">
        <is>
          <t>1991-12-06</t>
        </is>
      </c>
      <c r="X120" t="inlineStr">
        <is>
          <t>1991-12-06</t>
        </is>
      </c>
      <c r="Y120" t="n">
        <v>361</v>
      </c>
      <c r="Z120" t="n">
        <v>296</v>
      </c>
      <c r="AA120" t="n">
        <v>307</v>
      </c>
      <c r="AB120" t="n">
        <v>3</v>
      </c>
      <c r="AC120" t="n">
        <v>3</v>
      </c>
      <c r="AD120" t="n">
        <v>11</v>
      </c>
      <c r="AE120" t="n">
        <v>11</v>
      </c>
      <c r="AF120" t="n">
        <v>4</v>
      </c>
      <c r="AG120" t="n">
        <v>4</v>
      </c>
      <c r="AH120" t="n">
        <v>1</v>
      </c>
      <c r="AI120" t="n">
        <v>1</v>
      </c>
      <c r="AJ120" t="n">
        <v>8</v>
      </c>
      <c r="AK120" t="n">
        <v>8</v>
      </c>
      <c r="AL120" t="n">
        <v>2</v>
      </c>
      <c r="AM120" t="n">
        <v>2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HYPERLINK("http://catalog.hathitrust.org/Record/000440995","HathiTrust Record")</f>
        <v/>
      </c>
      <c r="AS120">
        <f>HYPERLINK("https://creighton-primo.hosted.exlibrisgroup.com/primo-explore/search?tab=default_tab&amp;search_scope=EVERYTHING&amp;vid=01CRU&amp;lang=en_US&amp;offset=0&amp;query=any,contains,991000808709702656","Catalog Record")</f>
        <v/>
      </c>
      <c r="AT120">
        <f>HYPERLINK("http://www.worldcat.org/oclc/13328427","WorldCat Record")</f>
        <v/>
      </c>
      <c r="AU120" t="inlineStr">
        <is>
          <t>4417308418:eng</t>
        </is>
      </c>
      <c r="AV120" t="inlineStr">
        <is>
          <t>13328427</t>
        </is>
      </c>
      <c r="AW120" t="inlineStr">
        <is>
          <t>991000808709702656</t>
        </is>
      </c>
      <c r="AX120" t="inlineStr">
        <is>
          <t>991000808709702656</t>
        </is>
      </c>
      <c r="AY120" t="inlineStr">
        <is>
          <t>2258495240002656</t>
        </is>
      </c>
      <c r="AZ120" t="inlineStr">
        <is>
          <t>BOOK</t>
        </is>
      </c>
      <c r="BB120" t="inlineStr">
        <is>
          <t>9780080331331</t>
        </is>
      </c>
      <c r="BC120" t="inlineStr">
        <is>
          <t>32285000885219</t>
        </is>
      </c>
      <c r="BD120" t="inlineStr">
        <is>
          <t>893626455</t>
        </is>
      </c>
    </row>
    <row r="121">
      <c r="A121" t="inlineStr">
        <is>
          <t>No</t>
        </is>
      </c>
      <c r="B121" t="inlineStr">
        <is>
          <t>RJ496.A86 N53 1984</t>
        </is>
      </c>
      <c r="C121" t="inlineStr">
        <is>
          <t>0                      RJ 0496000A  86                 N  53          1984</t>
        </is>
      </c>
      <c r="D121" t="inlineStr">
        <is>
          <t>A new look at attention deficit disorder : a problem not outgrown - but treatable / Samuel J. Nichamin and James Windell.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Nichamin, Samuel J.</t>
        </is>
      </c>
      <c r="L121" t="inlineStr">
        <is>
          <t>Waterford, Mich. : Minerva Press, c1984.</t>
        </is>
      </c>
      <c r="M121" t="inlineStr">
        <is>
          <t>1984</t>
        </is>
      </c>
      <c r="O121" t="inlineStr">
        <is>
          <t>eng</t>
        </is>
      </c>
      <c r="P121" t="inlineStr">
        <is>
          <t>miu</t>
        </is>
      </c>
      <c r="R121" t="inlineStr">
        <is>
          <t xml:space="preserve">RJ </t>
        </is>
      </c>
      <c r="S121" t="n">
        <v>46</v>
      </c>
      <c r="T121" t="n">
        <v>46</v>
      </c>
      <c r="U121" t="inlineStr">
        <is>
          <t>2001-12-02</t>
        </is>
      </c>
      <c r="V121" t="inlineStr">
        <is>
          <t>2001-12-02</t>
        </is>
      </c>
      <c r="W121" t="inlineStr">
        <is>
          <t>1992-07-22</t>
        </is>
      </c>
      <c r="X121" t="inlineStr">
        <is>
          <t>1992-07-22</t>
        </is>
      </c>
      <c r="Y121" t="n">
        <v>6</v>
      </c>
      <c r="Z121" t="n">
        <v>6</v>
      </c>
      <c r="AA121" t="n">
        <v>6</v>
      </c>
      <c r="AB121" t="n">
        <v>1</v>
      </c>
      <c r="AC121" t="n">
        <v>1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HYPERLINK("https://creighton-primo.hosted.exlibrisgroup.com/primo-explore/search?tab=default_tab&amp;search_scope=EVERYTHING&amp;vid=01CRU&amp;lang=en_US&amp;offset=0&amp;query=any,contains,991001025279702656","Catalog Record")</f>
        <v/>
      </c>
      <c r="AT121">
        <f>HYPERLINK("http://www.worldcat.org/oclc/15465830","WorldCat Record")</f>
        <v/>
      </c>
      <c r="AU121" t="inlineStr">
        <is>
          <t>10035585:eng</t>
        </is>
      </c>
      <c r="AV121" t="inlineStr">
        <is>
          <t>15465830</t>
        </is>
      </c>
      <c r="AW121" t="inlineStr">
        <is>
          <t>991001025279702656</t>
        </is>
      </c>
      <c r="AX121" t="inlineStr">
        <is>
          <t>991001025279702656</t>
        </is>
      </c>
      <c r="AY121" t="inlineStr">
        <is>
          <t>2271151190002656</t>
        </is>
      </c>
      <c r="AZ121" t="inlineStr">
        <is>
          <t>BOOK</t>
        </is>
      </c>
      <c r="BC121" t="inlineStr">
        <is>
          <t>32285001159903</t>
        </is>
      </c>
      <c r="BD121" t="inlineStr">
        <is>
          <t>893249906</t>
        </is>
      </c>
    </row>
    <row r="122">
      <c r="A122" t="inlineStr">
        <is>
          <t>No</t>
        </is>
      </c>
      <c r="B122" t="inlineStr">
        <is>
          <t>RJ496.B7 D48 1983</t>
        </is>
      </c>
      <c r="C122" t="inlineStr">
        <is>
          <t>0                      RJ 0496000B  7                  D  48          1983</t>
        </is>
      </c>
      <c r="D122" t="inlineStr">
        <is>
          <t>Developmental neuropsychiatry / edited by Michael Rutter.</t>
        </is>
      </c>
      <c r="F122" t="inlineStr">
        <is>
          <t>No</t>
        </is>
      </c>
      <c r="G122" t="inlineStr">
        <is>
          <t>1</t>
        </is>
      </c>
      <c r="H122" t="inlineStr">
        <is>
          <t>Yes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Guilford Press, c1983.</t>
        </is>
      </c>
      <c r="M122" t="inlineStr">
        <is>
          <t>1983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RJ </t>
        </is>
      </c>
      <c r="S122" t="n">
        <v>8</v>
      </c>
      <c r="T122" t="n">
        <v>8</v>
      </c>
      <c r="U122" t="inlineStr">
        <is>
          <t>1998-03-30</t>
        </is>
      </c>
      <c r="V122" t="inlineStr">
        <is>
          <t>1998-03-30</t>
        </is>
      </c>
      <c r="W122" t="inlineStr">
        <is>
          <t>1995-08-03</t>
        </is>
      </c>
      <c r="X122" t="inlineStr">
        <is>
          <t>1995-08-03</t>
        </is>
      </c>
      <c r="Y122" t="n">
        <v>380</v>
      </c>
      <c r="Z122" t="n">
        <v>327</v>
      </c>
      <c r="AA122" t="n">
        <v>332</v>
      </c>
      <c r="AB122" t="n">
        <v>4</v>
      </c>
      <c r="AC122" t="n">
        <v>4</v>
      </c>
      <c r="AD122" t="n">
        <v>13</v>
      </c>
      <c r="AE122" t="n">
        <v>13</v>
      </c>
      <c r="AF122" t="n">
        <v>3</v>
      </c>
      <c r="AG122" t="n">
        <v>3</v>
      </c>
      <c r="AH122" t="n">
        <v>2</v>
      </c>
      <c r="AI122" t="n">
        <v>2</v>
      </c>
      <c r="AJ122" t="n">
        <v>8</v>
      </c>
      <c r="AK122" t="n">
        <v>8</v>
      </c>
      <c r="AL122" t="n">
        <v>2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HYPERLINK("https://creighton-primo.hosted.exlibrisgroup.com/primo-explore/search?tab=default_tab&amp;search_scope=EVERYTHING&amp;vid=01CRU&amp;lang=en_US&amp;offset=0&amp;query=any,contains,991000163119702656","Catalog Record")</f>
        <v/>
      </c>
      <c r="AT122">
        <f>HYPERLINK("http://www.worldcat.org/oclc/9281598","WorldCat Record")</f>
        <v/>
      </c>
      <c r="AU122" t="inlineStr">
        <is>
          <t>54558384:eng</t>
        </is>
      </c>
      <c r="AV122" t="inlineStr">
        <is>
          <t>9281598</t>
        </is>
      </c>
      <c r="AW122" t="inlineStr">
        <is>
          <t>991000163119702656</t>
        </is>
      </c>
      <c r="AX122" t="inlineStr">
        <is>
          <t>991000163119702656</t>
        </is>
      </c>
      <c r="AY122" t="inlineStr">
        <is>
          <t>2260340570002656</t>
        </is>
      </c>
      <c r="AZ122" t="inlineStr">
        <is>
          <t>BOOK</t>
        </is>
      </c>
      <c r="BB122" t="inlineStr">
        <is>
          <t>9780898626216</t>
        </is>
      </c>
      <c r="BC122" t="inlineStr">
        <is>
          <t>32285000218965</t>
        </is>
      </c>
      <c r="BD122" t="inlineStr">
        <is>
          <t>893320873</t>
        </is>
      </c>
    </row>
    <row r="123">
      <c r="A123" t="inlineStr">
        <is>
          <t>No</t>
        </is>
      </c>
      <c r="B123" t="inlineStr">
        <is>
          <t>RJ496.B7 S45 1993</t>
        </is>
      </c>
      <c r="C123" t="inlineStr">
        <is>
          <t>0                      RJ 0496000B  7                  S  45          1993</t>
        </is>
      </c>
      <c r="D123" t="inlineStr">
        <is>
          <t>Pediatric brain injury : a practical resource / Carole Wedel Sellars and Candace Hill Vegter ; illustrations drawn under contract by Annette Flaig.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Sellars, Carole Wedel.</t>
        </is>
      </c>
      <c r="L123" t="inlineStr">
        <is>
          <t>Tucson, Ariz. : Communication Skill Builders, c1993.</t>
        </is>
      </c>
      <c r="M123" t="inlineStr">
        <is>
          <t>1993</t>
        </is>
      </c>
      <c r="O123" t="inlineStr">
        <is>
          <t>eng</t>
        </is>
      </c>
      <c r="P123" t="inlineStr">
        <is>
          <t>azu</t>
        </is>
      </c>
      <c r="R123" t="inlineStr">
        <is>
          <t xml:space="preserve">RJ </t>
        </is>
      </c>
      <c r="S123" t="n">
        <v>1</v>
      </c>
      <c r="T123" t="n">
        <v>1</v>
      </c>
      <c r="U123" t="inlineStr">
        <is>
          <t>2001-02-26</t>
        </is>
      </c>
      <c r="V123" t="inlineStr">
        <is>
          <t>2001-02-26</t>
        </is>
      </c>
      <c r="W123" t="inlineStr">
        <is>
          <t>2000-03-28</t>
        </is>
      </c>
      <c r="X123" t="inlineStr">
        <is>
          <t>2000-03-28</t>
        </is>
      </c>
      <c r="Y123" t="n">
        <v>64</v>
      </c>
      <c r="Z123" t="n">
        <v>58</v>
      </c>
      <c r="AA123" t="n">
        <v>89</v>
      </c>
      <c r="AB123" t="n">
        <v>1</v>
      </c>
      <c r="AC123" t="n">
        <v>1</v>
      </c>
      <c r="AD123" t="n">
        <v>2</v>
      </c>
      <c r="AE123" t="n">
        <v>4</v>
      </c>
      <c r="AF123" t="n">
        <v>2</v>
      </c>
      <c r="AG123" t="n">
        <v>3</v>
      </c>
      <c r="AH123" t="n">
        <v>0</v>
      </c>
      <c r="AI123" t="n">
        <v>1</v>
      </c>
      <c r="AJ123" t="n">
        <v>1</v>
      </c>
      <c r="AK123" t="n">
        <v>2</v>
      </c>
      <c r="AL123" t="n">
        <v>0</v>
      </c>
      <c r="AM123" t="n">
        <v>0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HYPERLINK("https://creighton-primo.hosted.exlibrisgroup.com/primo-explore/search?tab=default_tab&amp;search_scope=EVERYTHING&amp;vid=01CRU&amp;lang=en_US&amp;offset=0&amp;query=any,contains,991002259179702656","Catalog Record")</f>
        <v/>
      </c>
      <c r="AT123">
        <f>HYPERLINK("http://www.worldcat.org/oclc/29263947","WorldCat Record")</f>
        <v/>
      </c>
      <c r="AU123" t="inlineStr">
        <is>
          <t>292466281:eng</t>
        </is>
      </c>
      <c r="AV123" t="inlineStr">
        <is>
          <t>29263947</t>
        </is>
      </c>
      <c r="AW123" t="inlineStr">
        <is>
          <t>991002259179702656</t>
        </is>
      </c>
      <c r="AX123" t="inlineStr">
        <is>
          <t>991002259179702656</t>
        </is>
      </c>
      <c r="AY123" t="inlineStr">
        <is>
          <t>2261499250002656</t>
        </is>
      </c>
      <c r="AZ123" t="inlineStr">
        <is>
          <t>BOOK</t>
        </is>
      </c>
      <c r="BB123" t="inlineStr">
        <is>
          <t>9780884506430</t>
        </is>
      </c>
      <c r="BC123" t="inlineStr">
        <is>
          <t>32285003674230</t>
        </is>
      </c>
      <c r="BD123" t="inlineStr">
        <is>
          <t>893622079</t>
        </is>
      </c>
    </row>
    <row r="124">
      <c r="A124" t="inlineStr">
        <is>
          <t>No</t>
        </is>
      </c>
      <c r="B124" t="inlineStr">
        <is>
          <t>RJ496.C4 C56 1983</t>
        </is>
      </c>
      <c r="C124" t="inlineStr">
        <is>
          <t>0                      RJ 0496000C  4                  C  56          1983</t>
        </is>
      </c>
      <c r="D124" t="inlineStr">
        <is>
          <t>Comprehensive management of cerebral palsy / edited by George H. Thompson, Isadore Leslie Rubin, Robert M. Bilenker.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New York : Grune &amp; Stratton, 1983.</t>
        </is>
      </c>
      <c r="M124" t="inlineStr">
        <is>
          <t>1983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RJ </t>
        </is>
      </c>
      <c r="S124" t="n">
        <v>8</v>
      </c>
      <c r="T124" t="n">
        <v>8</v>
      </c>
      <c r="U124" t="inlineStr">
        <is>
          <t>2002-10-31</t>
        </is>
      </c>
      <c r="V124" t="inlineStr">
        <is>
          <t>2002-10-31</t>
        </is>
      </c>
      <c r="W124" t="inlineStr">
        <is>
          <t>1991-11-25</t>
        </is>
      </c>
      <c r="X124" t="inlineStr">
        <is>
          <t>1991-11-25</t>
        </is>
      </c>
      <c r="Y124" t="n">
        <v>202</v>
      </c>
      <c r="Z124" t="n">
        <v>159</v>
      </c>
      <c r="AA124" t="n">
        <v>160</v>
      </c>
      <c r="AB124" t="n">
        <v>2</v>
      </c>
      <c r="AC124" t="n">
        <v>2</v>
      </c>
      <c r="AD124" t="n">
        <v>5</v>
      </c>
      <c r="AE124" t="n">
        <v>5</v>
      </c>
      <c r="AF124" t="n">
        <v>2</v>
      </c>
      <c r="AG124" t="n">
        <v>2</v>
      </c>
      <c r="AH124" t="n">
        <v>0</v>
      </c>
      <c r="AI124" t="n">
        <v>0</v>
      </c>
      <c r="AJ124" t="n">
        <v>4</v>
      </c>
      <c r="AK124" t="n">
        <v>4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HYPERLINK("https://creighton-primo.hosted.exlibrisgroup.com/primo-explore/search?tab=default_tab&amp;search_scope=EVERYTHING&amp;vid=01CRU&amp;lang=en_US&amp;offset=0&amp;query=any,contains,991000083789702656","Catalog Record")</f>
        <v/>
      </c>
      <c r="AT124">
        <f>HYPERLINK("http://www.worldcat.org/oclc/8846560","WorldCat Record")</f>
        <v/>
      </c>
      <c r="AU124" t="inlineStr">
        <is>
          <t>43257000:eng</t>
        </is>
      </c>
      <c r="AV124" t="inlineStr">
        <is>
          <t>8846560</t>
        </is>
      </c>
      <c r="AW124" t="inlineStr">
        <is>
          <t>991000083789702656</t>
        </is>
      </c>
      <c r="AX124" t="inlineStr">
        <is>
          <t>991000083789702656</t>
        </is>
      </c>
      <c r="AY124" t="inlineStr">
        <is>
          <t>2256064860002656</t>
        </is>
      </c>
      <c r="AZ124" t="inlineStr">
        <is>
          <t>BOOK</t>
        </is>
      </c>
      <c r="BB124" t="inlineStr">
        <is>
          <t>9780808915041</t>
        </is>
      </c>
      <c r="BC124" t="inlineStr">
        <is>
          <t>32285000843390</t>
        </is>
      </c>
      <c r="BD124" t="inlineStr">
        <is>
          <t>893865072</t>
        </is>
      </c>
    </row>
    <row r="125">
      <c r="A125" t="inlineStr">
        <is>
          <t>No</t>
        </is>
      </c>
      <c r="B125" t="inlineStr">
        <is>
          <t>RJ496.C4 E74 1994</t>
        </is>
      </c>
      <c r="C125" t="inlineStr">
        <is>
          <t>0                      RJ 0496000C  4                  E  74          1994</t>
        </is>
      </c>
      <c r="D125" t="inlineStr">
        <is>
          <t>Developmental hand dysfunction : theory, assessment, and treatment / Rhoda P. Erhardt ; illustrations by Gary Baune.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Yes</t>
        </is>
      </c>
      <c r="J125" t="inlineStr">
        <is>
          <t>0</t>
        </is>
      </c>
      <c r="K125" t="inlineStr">
        <is>
          <t>Erhardt, Rhoda Priest.</t>
        </is>
      </c>
      <c r="L125" t="inlineStr">
        <is>
          <t>Tuscon, Ariz. : Therapy Skill Builders, c1994.</t>
        </is>
      </c>
      <c r="M125" t="inlineStr">
        <is>
          <t>1994</t>
        </is>
      </c>
      <c r="N125" t="inlineStr">
        <is>
          <t>2nd ed.</t>
        </is>
      </c>
      <c r="O125" t="inlineStr">
        <is>
          <t>eng</t>
        </is>
      </c>
      <c r="P125" t="inlineStr">
        <is>
          <t>azu</t>
        </is>
      </c>
      <c r="R125" t="inlineStr">
        <is>
          <t xml:space="preserve">RJ </t>
        </is>
      </c>
      <c r="S125" t="n">
        <v>4</v>
      </c>
      <c r="T125" t="n">
        <v>4</v>
      </c>
      <c r="U125" t="inlineStr">
        <is>
          <t>2002-03-05</t>
        </is>
      </c>
      <c r="V125" t="inlineStr">
        <is>
          <t>2002-03-05</t>
        </is>
      </c>
      <c r="W125" t="inlineStr">
        <is>
          <t>2000-03-28</t>
        </is>
      </c>
      <c r="X125" t="inlineStr">
        <is>
          <t>2000-03-28</t>
        </is>
      </c>
      <c r="Y125" t="n">
        <v>59</v>
      </c>
      <c r="Z125" t="n">
        <v>46</v>
      </c>
      <c r="AA125" t="n">
        <v>112</v>
      </c>
      <c r="AB125" t="n">
        <v>2</v>
      </c>
      <c r="AC125" t="n">
        <v>3</v>
      </c>
      <c r="AD125" t="n">
        <v>2</v>
      </c>
      <c r="AE125" t="n">
        <v>4</v>
      </c>
      <c r="AF125" t="n">
        <v>1</v>
      </c>
      <c r="AG125" t="n">
        <v>2</v>
      </c>
      <c r="AH125" t="n">
        <v>0</v>
      </c>
      <c r="AI125" t="n">
        <v>0</v>
      </c>
      <c r="AJ125" t="n">
        <v>1</v>
      </c>
      <c r="AK125" t="n">
        <v>2</v>
      </c>
      <c r="AL125" t="n">
        <v>1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HYPERLINK("http://catalog.hathitrust.org/Record/007064179","HathiTrust Record")</f>
        <v/>
      </c>
      <c r="AS125">
        <f>HYPERLINK("https://creighton-primo.hosted.exlibrisgroup.com/primo-explore/search?tab=default_tab&amp;search_scope=EVERYTHING&amp;vid=01CRU&amp;lang=en_US&amp;offset=0&amp;query=any,contains,991002432759702656","Catalog Record")</f>
        <v/>
      </c>
      <c r="AT125">
        <f>HYPERLINK("http://www.worldcat.org/oclc/31712304","WorldCat Record")</f>
        <v/>
      </c>
      <c r="AU125" t="inlineStr">
        <is>
          <t>22866700:eng</t>
        </is>
      </c>
      <c r="AV125" t="inlineStr">
        <is>
          <t>31712304</t>
        </is>
      </c>
      <c r="AW125" t="inlineStr">
        <is>
          <t>991002432759702656</t>
        </is>
      </c>
      <c r="AX125" t="inlineStr">
        <is>
          <t>991002432759702656</t>
        </is>
      </c>
      <c r="AY125" t="inlineStr">
        <is>
          <t>2256084590002656</t>
        </is>
      </c>
      <c r="AZ125" t="inlineStr">
        <is>
          <t>BOOK</t>
        </is>
      </c>
      <c r="BB125" t="inlineStr">
        <is>
          <t>9780761643135</t>
        </is>
      </c>
      <c r="BC125" t="inlineStr">
        <is>
          <t>32285003674271</t>
        </is>
      </c>
      <c r="BD125" t="inlineStr">
        <is>
          <t>893421356</t>
        </is>
      </c>
    </row>
    <row r="126">
      <c r="A126" t="inlineStr">
        <is>
          <t>No</t>
        </is>
      </c>
      <c r="B126" t="inlineStr">
        <is>
          <t>RJ496.C4 I78</t>
        </is>
      </c>
      <c r="C126" t="inlineStr">
        <is>
          <t>0                      RJ 0496000C  4                  I  78</t>
        </is>
      </c>
      <c r="D126" t="inlineStr">
        <is>
          <t>Communication variables of cerebral palsied and mentally retarded children / by Orvis C. Irwin. With a foreword by Dorothea McCarthy.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Irwin, Orvis C. (Orvis Carl), 1891-</t>
        </is>
      </c>
      <c r="L126" t="inlineStr">
        <is>
          <t>Springfield, Ill., C. C. Thomas [1972]</t>
        </is>
      </c>
      <c r="M126" t="inlineStr">
        <is>
          <t>1972</t>
        </is>
      </c>
      <c r="O126" t="inlineStr">
        <is>
          <t>eng</t>
        </is>
      </c>
      <c r="P126" t="inlineStr">
        <is>
          <t>ilu</t>
        </is>
      </c>
      <c r="R126" t="inlineStr">
        <is>
          <t xml:space="preserve">RJ </t>
        </is>
      </c>
      <c r="S126" t="n">
        <v>9</v>
      </c>
      <c r="T126" t="n">
        <v>9</v>
      </c>
      <c r="U126" t="inlineStr">
        <is>
          <t>2000-02-27</t>
        </is>
      </c>
      <c r="V126" t="inlineStr">
        <is>
          <t>2000-02-27</t>
        </is>
      </c>
      <c r="W126" t="inlineStr">
        <is>
          <t>1991-12-09</t>
        </is>
      </c>
      <c r="X126" t="inlineStr">
        <is>
          <t>1991-12-09</t>
        </is>
      </c>
      <c r="Y126" t="n">
        <v>257</v>
      </c>
      <c r="Z126" t="n">
        <v>221</v>
      </c>
      <c r="AA126" t="n">
        <v>228</v>
      </c>
      <c r="AB126" t="n">
        <v>3</v>
      </c>
      <c r="AC126" t="n">
        <v>3</v>
      </c>
      <c r="AD126" t="n">
        <v>7</v>
      </c>
      <c r="AE126" t="n">
        <v>7</v>
      </c>
      <c r="AF126" t="n">
        <v>1</v>
      </c>
      <c r="AG126" t="n">
        <v>1</v>
      </c>
      <c r="AH126" t="n">
        <v>1</v>
      </c>
      <c r="AI126" t="n">
        <v>1</v>
      </c>
      <c r="AJ126" t="n">
        <v>4</v>
      </c>
      <c r="AK126" t="n">
        <v>4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HYPERLINK("http://catalog.hathitrust.org/Record/001570722","HathiTrust Record")</f>
        <v/>
      </c>
      <c r="AS126">
        <f>HYPERLINK("https://creighton-primo.hosted.exlibrisgroup.com/primo-explore/search?tab=default_tab&amp;search_scope=EVERYTHING&amp;vid=01CRU&amp;lang=en_US&amp;offset=0&amp;query=any,contains,991002324069702656","Catalog Record")</f>
        <v/>
      </c>
      <c r="AT126">
        <f>HYPERLINK("http://www.worldcat.org/oclc/320663","WorldCat Record")</f>
        <v/>
      </c>
      <c r="AU126" t="inlineStr">
        <is>
          <t>1399827:eng</t>
        </is>
      </c>
      <c r="AV126" t="inlineStr">
        <is>
          <t>320663</t>
        </is>
      </c>
      <c r="AW126" t="inlineStr">
        <is>
          <t>991002324069702656</t>
        </is>
      </c>
      <c r="AX126" t="inlineStr">
        <is>
          <t>991002324069702656</t>
        </is>
      </c>
      <c r="AY126" t="inlineStr">
        <is>
          <t>2255774640002656</t>
        </is>
      </c>
      <c r="AZ126" t="inlineStr">
        <is>
          <t>BOOK</t>
        </is>
      </c>
      <c r="BB126" t="inlineStr">
        <is>
          <t>9780398023225</t>
        </is>
      </c>
      <c r="BC126" t="inlineStr">
        <is>
          <t>32285000847060</t>
        </is>
      </c>
      <c r="BD126" t="inlineStr">
        <is>
          <t>893697639</t>
        </is>
      </c>
    </row>
    <row r="127">
      <c r="A127" t="inlineStr">
        <is>
          <t>No</t>
        </is>
      </c>
      <c r="B127" t="inlineStr">
        <is>
          <t>RJ496.C4 M28</t>
        </is>
      </c>
      <c r="C127" t="inlineStr">
        <is>
          <t>0                      RJ 0496000C  4                  M  28</t>
        </is>
      </c>
      <c r="D127" t="inlineStr">
        <is>
          <t>Cerebral palsied and learning disabled children; a handbook/guide to treatment, rehabilitation, and education, by Nancy C. Marks. With a foreword by Homer Paschall.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Marks, Nancy C.</t>
        </is>
      </c>
      <c r="L127" t="inlineStr">
        <is>
          <t>Springfield, Ill., Thomas [1974]</t>
        </is>
      </c>
      <c r="M127" t="inlineStr">
        <is>
          <t>1974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RJ </t>
        </is>
      </c>
      <c r="S127" t="n">
        <v>5</v>
      </c>
      <c r="T127" t="n">
        <v>5</v>
      </c>
      <c r="U127" t="inlineStr">
        <is>
          <t>2000-02-27</t>
        </is>
      </c>
      <c r="V127" t="inlineStr">
        <is>
          <t>2000-02-27</t>
        </is>
      </c>
      <c r="W127" t="inlineStr">
        <is>
          <t>1991-12-09</t>
        </is>
      </c>
      <c r="X127" t="inlineStr">
        <is>
          <t>1991-12-09</t>
        </is>
      </c>
      <c r="Y127" t="n">
        <v>279</v>
      </c>
      <c r="Z127" t="n">
        <v>234</v>
      </c>
      <c r="AA127" t="n">
        <v>243</v>
      </c>
      <c r="AB127" t="n">
        <v>4</v>
      </c>
      <c r="AC127" t="n">
        <v>4</v>
      </c>
      <c r="AD127" t="n">
        <v>7</v>
      </c>
      <c r="AE127" t="n">
        <v>7</v>
      </c>
      <c r="AF127" t="n">
        <v>3</v>
      </c>
      <c r="AG127" t="n">
        <v>3</v>
      </c>
      <c r="AH127" t="n">
        <v>0</v>
      </c>
      <c r="AI127" t="n">
        <v>0</v>
      </c>
      <c r="AJ127" t="n">
        <v>3</v>
      </c>
      <c r="AK127" t="n">
        <v>3</v>
      </c>
      <c r="AL127" t="n">
        <v>3</v>
      </c>
      <c r="AM127" t="n">
        <v>3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HYPERLINK("http://catalog.hathitrust.org/Record/001570730","HathiTrust Record")</f>
        <v/>
      </c>
      <c r="AS127">
        <f>HYPERLINK("https://creighton-primo.hosted.exlibrisgroup.com/primo-explore/search?tab=default_tab&amp;search_scope=EVERYTHING&amp;vid=01CRU&amp;lang=en_US&amp;offset=0&amp;query=any,contains,991003075529702656","Catalog Record")</f>
        <v/>
      </c>
      <c r="AT127">
        <f>HYPERLINK("http://www.worldcat.org/oclc/628374","WorldCat Record")</f>
        <v/>
      </c>
      <c r="AU127" t="inlineStr">
        <is>
          <t>219474:eng</t>
        </is>
      </c>
      <c r="AV127" t="inlineStr">
        <is>
          <t>628374</t>
        </is>
      </c>
      <c r="AW127" t="inlineStr">
        <is>
          <t>991003075529702656</t>
        </is>
      </c>
      <c r="AX127" t="inlineStr">
        <is>
          <t>991003075529702656</t>
        </is>
      </c>
      <c r="AY127" t="inlineStr">
        <is>
          <t>2269490830002656</t>
        </is>
      </c>
      <c r="AZ127" t="inlineStr">
        <is>
          <t>BOOK</t>
        </is>
      </c>
      <c r="BB127" t="inlineStr">
        <is>
          <t>9780398029111</t>
        </is>
      </c>
      <c r="BC127" t="inlineStr">
        <is>
          <t>32285000847078</t>
        </is>
      </c>
      <c r="BD127" t="inlineStr">
        <is>
          <t>893610693</t>
        </is>
      </c>
    </row>
    <row r="128">
      <c r="A128" t="inlineStr">
        <is>
          <t>No</t>
        </is>
      </c>
      <c r="B128" t="inlineStr">
        <is>
          <t>RJ496.C4 M4</t>
        </is>
      </c>
      <c r="C128" t="inlineStr">
        <is>
          <t>0                      RJ 0496000C  4                  M  4</t>
        </is>
      </c>
      <c r="D128" t="inlineStr">
        <is>
          <t>Communication training in childhood brain damage, compiled and edited by Merlin J. Mecham [and others]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Mecham, Merlin J., editor.</t>
        </is>
      </c>
      <c r="L128" t="inlineStr">
        <is>
          <t>Springfield, Ill., C. C. Thomas [1966]</t>
        </is>
      </c>
      <c r="M128" t="inlineStr">
        <is>
          <t>1966</t>
        </is>
      </c>
      <c r="O128" t="inlineStr">
        <is>
          <t>eng</t>
        </is>
      </c>
      <c r="P128" t="inlineStr">
        <is>
          <t>ilu</t>
        </is>
      </c>
      <c r="Q128" t="inlineStr">
        <is>
          <t>American lecture series ; publication no. 660</t>
        </is>
      </c>
      <c r="R128" t="inlineStr">
        <is>
          <t xml:space="preserve">RJ </t>
        </is>
      </c>
      <c r="S128" t="n">
        <v>2</v>
      </c>
      <c r="T128" t="n">
        <v>2</v>
      </c>
      <c r="U128" t="inlineStr">
        <is>
          <t>1994-04-24</t>
        </is>
      </c>
      <c r="V128" t="inlineStr">
        <is>
          <t>1994-04-24</t>
        </is>
      </c>
      <c r="W128" t="inlineStr">
        <is>
          <t>1991-12-12</t>
        </is>
      </c>
      <c r="X128" t="inlineStr">
        <is>
          <t>1991-12-12</t>
        </is>
      </c>
      <c r="Y128" t="n">
        <v>365</v>
      </c>
      <c r="Z128" t="n">
        <v>319</v>
      </c>
      <c r="AA128" t="n">
        <v>325</v>
      </c>
      <c r="AB128" t="n">
        <v>5</v>
      </c>
      <c r="AC128" t="n">
        <v>5</v>
      </c>
      <c r="AD128" t="n">
        <v>13</v>
      </c>
      <c r="AE128" t="n">
        <v>13</v>
      </c>
      <c r="AF128" t="n">
        <v>3</v>
      </c>
      <c r="AG128" t="n">
        <v>3</v>
      </c>
      <c r="AH128" t="n">
        <v>3</v>
      </c>
      <c r="AI128" t="n">
        <v>3</v>
      </c>
      <c r="AJ128" t="n">
        <v>6</v>
      </c>
      <c r="AK128" t="n">
        <v>6</v>
      </c>
      <c r="AL128" t="n">
        <v>3</v>
      </c>
      <c r="AM128" t="n">
        <v>3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HYPERLINK("http://catalog.hathitrust.org/Record/000881296","HathiTrust Record")</f>
        <v/>
      </c>
      <c r="AS128">
        <f>HYPERLINK("https://creighton-primo.hosted.exlibrisgroup.com/primo-explore/search?tab=default_tab&amp;search_scope=EVERYTHING&amp;vid=01CRU&amp;lang=en_US&amp;offset=0&amp;query=any,contains,991005253329702656","Catalog Record")</f>
        <v/>
      </c>
      <c r="AT128">
        <f>HYPERLINK("http://www.worldcat.org/oclc/407130","WorldCat Record")</f>
        <v/>
      </c>
      <c r="AU128" t="inlineStr">
        <is>
          <t>1437874:eng</t>
        </is>
      </c>
      <c r="AV128" t="inlineStr">
        <is>
          <t>407130</t>
        </is>
      </c>
      <c r="AW128" t="inlineStr">
        <is>
          <t>991005253329702656</t>
        </is>
      </c>
      <c r="AX128" t="inlineStr">
        <is>
          <t>991005253329702656</t>
        </is>
      </c>
      <c r="AY128" t="inlineStr">
        <is>
          <t>2261631120002656</t>
        </is>
      </c>
      <c r="AZ128" t="inlineStr">
        <is>
          <t>BOOK</t>
        </is>
      </c>
      <c r="BC128" t="inlineStr">
        <is>
          <t>32285000878081</t>
        </is>
      </c>
      <c r="BD128" t="inlineStr">
        <is>
          <t>893720073</t>
        </is>
      </c>
    </row>
    <row r="129">
      <c r="A129" t="inlineStr">
        <is>
          <t>No</t>
        </is>
      </c>
      <c r="B129" t="inlineStr">
        <is>
          <t>RJ496.C67 H4</t>
        </is>
      </c>
      <c r="C129" t="inlineStr">
        <is>
          <t>0                      RJ 0496000C  67                 H  4</t>
        </is>
      </c>
      <c r="D129" t="inlineStr">
        <is>
          <t>Programmed lessons for young language-disabled children : a handbook for therapists, educators, and parents / by Bernice E. Heasley and Jacqueline R. Grosklos ; with a foreword by Katharine G. Butler ; ill. by Vicky Heasley.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Heasley, Bernice E.</t>
        </is>
      </c>
      <c r="L129" t="inlineStr">
        <is>
          <t>Springfield, Ill. : Thomas, c1976.</t>
        </is>
      </c>
      <c r="M129" t="inlineStr">
        <is>
          <t>1976</t>
        </is>
      </c>
      <c r="O129" t="inlineStr">
        <is>
          <t>eng</t>
        </is>
      </c>
      <c r="P129" t="inlineStr">
        <is>
          <t>ilu</t>
        </is>
      </c>
      <c r="R129" t="inlineStr">
        <is>
          <t xml:space="preserve">RJ </t>
        </is>
      </c>
      <c r="S129" t="n">
        <v>3</v>
      </c>
      <c r="T129" t="n">
        <v>3</v>
      </c>
      <c r="U129" t="inlineStr">
        <is>
          <t>1994-04-26</t>
        </is>
      </c>
      <c r="V129" t="inlineStr">
        <is>
          <t>1994-04-26</t>
        </is>
      </c>
      <c r="W129" t="inlineStr">
        <is>
          <t>1992-03-11</t>
        </is>
      </c>
      <c r="X129" t="inlineStr">
        <is>
          <t>1992-03-11</t>
        </is>
      </c>
      <c r="Y129" t="n">
        <v>151</v>
      </c>
      <c r="Z129" t="n">
        <v>136</v>
      </c>
      <c r="AA129" t="n">
        <v>136</v>
      </c>
      <c r="AB129" t="n">
        <v>2</v>
      </c>
      <c r="AC129" t="n">
        <v>2</v>
      </c>
      <c r="AD129" t="n">
        <v>2</v>
      </c>
      <c r="AE129" t="n">
        <v>2</v>
      </c>
      <c r="AF129" t="n">
        <v>1</v>
      </c>
      <c r="AG129" t="n">
        <v>1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HYPERLINK("https://creighton-primo.hosted.exlibrisgroup.com/primo-explore/search?tab=default_tab&amp;search_scope=EVERYTHING&amp;vid=01CRU&amp;lang=en_US&amp;offset=0&amp;query=any,contains,991003914829702656","Catalog Record")</f>
        <v/>
      </c>
      <c r="AT129">
        <f>HYPERLINK("http://www.worldcat.org/oclc/1858400","WorldCat Record")</f>
        <v/>
      </c>
      <c r="AU129" t="inlineStr">
        <is>
          <t>471722:eng</t>
        </is>
      </c>
      <c r="AV129" t="inlineStr">
        <is>
          <t>1858400</t>
        </is>
      </c>
      <c r="AW129" t="inlineStr">
        <is>
          <t>991003914829702656</t>
        </is>
      </c>
      <c r="AX129" t="inlineStr">
        <is>
          <t>991003914829702656</t>
        </is>
      </c>
      <c r="AY129" t="inlineStr">
        <is>
          <t>2266928750002656</t>
        </is>
      </c>
      <c r="AZ129" t="inlineStr">
        <is>
          <t>BOOK</t>
        </is>
      </c>
      <c r="BB129" t="inlineStr">
        <is>
          <t>9780398035266</t>
        </is>
      </c>
      <c r="BC129" t="inlineStr">
        <is>
          <t>32285000996347</t>
        </is>
      </c>
      <c r="BD129" t="inlineStr">
        <is>
          <t>893531768</t>
        </is>
      </c>
    </row>
    <row r="130">
      <c r="A130" t="inlineStr">
        <is>
          <t>No</t>
        </is>
      </c>
      <c r="B130" t="inlineStr">
        <is>
          <t>RJ496.C67 W4</t>
        </is>
      </c>
      <c r="C130" t="inlineStr">
        <is>
          <t>0                      RJ 0496000C  67                 W  4</t>
        </is>
      </c>
      <c r="D130" t="inlineStr">
        <is>
          <t>Communicative disorders : a handbook for prevention and early intervention / Curtis E. Weiss, Herold S. Lillywhite.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Yes</t>
        </is>
      </c>
      <c r="J130" t="inlineStr">
        <is>
          <t>0</t>
        </is>
      </c>
      <c r="K130" t="inlineStr">
        <is>
          <t>Weiss, Curtis E., 1936-</t>
        </is>
      </c>
      <c r="L130" t="inlineStr">
        <is>
          <t>Saint Louis : Mosby, 1976.</t>
        </is>
      </c>
      <c r="M130" t="inlineStr">
        <is>
          <t>1976</t>
        </is>
      </c>
      <c r="O130" t="inlineStr">
        <is>
          <t>eng</t>
        </is>
      </c>
      <c r="P130" t="inlineStr">
        <is>
          <t>mou</t>
        </is>
      </c>
      <c r="R130" t="inlineStr">
        <is>
          <t xml:space="preserve">RJ </t>
        </is>
      </c>
      <c r="S130" t="n">
        <v>6</v>
      </c>
      <c r="T130" t="n">
        <v>6</v>
      </c>
      <c r="U130" t="inlineStr">
        <is>
          <t>1998-12-05</t>
        </is>
      </c>
      <c r="V130" t="inlineStr">
        <is>
          <t>1998-12-05</t>
        </is>
      </c>
      <c r="W130" t="inlineStr">
        <is>
          <t>1995-05-01</t>
        </is>
      </c>
      <c r="X130" t="inlineStr">
        <is>
          <t>1995-05-01</t>
        </is>
      </c>
      <c r="Y130" t="n">
        <v>278</v>
      </c>
      <c r="Z130" t="n">
        <v>227</v>
      </c>
      <c r="AA130" t="n">
        <v>346</v>
      </c>
      <c r="AB130" t="n">
        <v>3</v>
      </c>
      <c r="AC130" t="n">
        <v>4</v>
      </c>
      <c r="AD130" t="n">
        <v>7</v>
      </c>
      <c r="AE130" t="n">
        <v>9</v>
      </c>
      <c r="AF130" t="n">
        <v>4</v>
      </c>
      <c r="AG130" t="n">
        <v>4</v>
      </c>
      <c r="AH130" t="n">
        <v>0</v>
      </c>
      <c r="AI130" t="n">
        <v>0</v>
      </c>
      <c r="AJ130" t="n">
        <v>2</v>
      </c>
      <c r="AK130" t="n">
        <v>3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HYPERLINK("http://catalog.hathitrust.org/Record/000691321","HathiTrust Record")</f>
        <v/>
      </c>
      <c r="AS130">
        <f>HYPERLINK("https://creighton-primo.hosted.exlibrisgroup.com/primo-explore/search?tab=default_tab&amp;search_scope=EVERYTHING&amp;vid=01CRU&amp;lang=en_US&amp;offset=0&amp;query=any,contains,991003991999702656","Catalog Record")</f>
        <v/>
      </c>
      <c r="AT130">
        <f>HYPERLINK("http://www.worldcat.org/oclc/2048218","WorldCat Record")</f>
        <v/>
      </c>
      <c r="AU130" t="inlineStr">
        <is>
          <t>291673546:eng</t>
        </is>
      </c>
      <c r="AV130" t="inlineStr">
        <is>
          <t>2048218</t>
        </is>
      </c>
      <c r="AW130" t="inlineStr">
        <is>
          <t>991003991999702656</t>
        </is>
      </c>
      <c r="AX130" t="inlineStr">
        <is>
          <t>991003991999702656</t>
        </is>
      </c>
      <c r="AY130" t="inlineStr">
        <is>
          <t>2269350530002656</t>
        </is>
      </c>
      <c r="AZ130" t="inlineStr">
        <is>
          <t>BOOK</t>
        </is>
      </c>
      <c r="BB130" t="inlineStr">
        <is>
          <t>9780801653865</t>
        </is>
      </c>
      <c r="BC130" t="inlineStr">
        <is>
          <t>32285002020930</t>
        </is>
      </c>
      <c r="BD130" t="inlineStr">
        <is>
          <t>893417085</t>
        </is>
      </c>
    </row>
    <row r="131">
      <c r="A131" t="inlineStr">
        <is>
          <t>No</t>
        </is>
      </c>
      <c r="B131" t="inlineStr">
        <is>
          <t>RJ496.C67 W4 1981</t>
        </is>
      </c>
      <c r="C131" t="inlineStr">
        <is>
          <t>0                      RJ 0496000C  67                 W  4           1981</t>
        </is>
      </c>
      <c r="D131" t="inlineStr">
        <is>
          <t>Communicative disorders : prevention and early intervention / Curtis E. Weiss, Herold S. Lillywhite.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Weiss, Curtis E., 1936-</t>
        </is>
      </c>
      <c r="L131" t="inlineStr">
        <is>
          <t>St. Louis : C. V. Mosby Co., 1981.</t>
        </is>
      </c>
      <c r="M131" t="inlineStr">
        <is>
          <t>1981</t>
        </is>
      </c>
      <c r="N131" t="inlineStr">
        <is>
          <t>2d ed.</t>
        </is>
      </c>
      <c r="O131" t="inlineStr">
        <is>
          <t>eng</t>
        </is>
      </c>
      <c r="P131" t="inlineStr">
        <is>
          <t>mou</t>
        </is>
      </c>
      <c r="R131" t="inlineStr">
        <is>
          <t xml:space="preserve">RJ </t>
        </is>
      </c>
      <c r="S131" t="n">
        <v>11</v>
      </c>
      <c r="T131" t="n">
        <v>11</v>
      </c>
      <c r="U131" t="inlineStr">
        <is>
          <t>2003-07-29</t>
        </is>
      </c>
      <c r="V131" t="inlineStr">
        <is>
          <t>2003-07-29</t>
        </is>
      </c>
      <c r="W131" t="inlineStr">
        <is>
          <t>1992-02-25</t>
        </is>
      </c>
      <c r="X131" t="inlineStr">
        <is>
          <t>1992-02-25</t>
        </is>
      </c>
      <c r="Y131" t="n">
        <v>242</v>
      </c>
      <c r="Z131" t="n">
        <v>191</v>
      </c>
      <c r="AA131" t="n">
        <v>346</v>
      </c>
      <c r="AB131" t="n">
        <v>4</v>
      </c>
      <c r="AC131" t="n">
        <v>4</v>
      </c>
      <c r="AD131" t="n">
        <v>4</v>
      </c>
      <c r="AE131" t="n">
        <v>9</v>
      </c>
      <c r="AF131" t="n">
        <v>0</v>
      </c>
      <c r="AG131" t="n">
        <v>4</v>
      </c>
      <c r="AH131" t="n">
        <v>0</v>
      </c>
      <c r="AI131" t="n">
        <v>0</v>
      </c>
      <c r="AJ131" t="n">
        <v>1</v>
      </c>
      <c r="AK131" t="n">
        <v>3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HYPERLINK("https://creighton-primo.hosted.exlibrisgroup.com/primo-explore/search?tab=default_tab&amp;search_scope=EVERYTHING&amp;vid=01CRU&amp;lang=en_US&amp;offset=0&amp;query=any,contains,991005067559702656","Catalog Record")</f>
        <v/>
      </c>
      <c r="AT131">
        <f>HYPERLINK("http://www.worldcat.org/oclc/6981807","WorldCat Record")</f>
        <v/>
      </c>
      <c r="AU131" t="inlineStr">
        <is>
          <t>291673546:eng</t>
        </is>
      </c>
      <c r="AV131" t="inlineStr">
        <is>
          <t>6981807</t>
        </is>
      </c>
      <c r="AW131" t="inlineStr">
        <is>
          <t>991005067559702656</t>
        </is>
      </c>
      <c r="AX131" t="inlineStr">
        <is>
          <t>991005067559702656</t>
        </is>
      </c>
      <c r="AY131" t="inlineStr">
        <is>
          <t>2272728510002656</t>
        </is>
      </c>
      <c r="AZ131" t="inlineStr">
        <is>
          <t>BOOK</t>
        </is>
      </c>
      <c r="BB131" t="inlineStr">
        <is>
          <t>9780801653896</t>
        </is>
      </c>
      <c r="BC131" t="inlineStr">
        <is>
          <t>32285000982859</t>
        </is>
      </c>
      <c r="BD131" t="inlineStr">
        <is>
          <t>893430793</t>
        </is>
      </c>
    </row>
    <row r="132">
      <c r="A132" t="inlineStr">
        <is>
          <t>No</t>
        </is>
      </c>
      <c r="B132" t="inlineStr">
        <is>
          <t>RJ496.E6 C46</t>
        </is>
      </c>
      <c r="C132" t="inlineStr">
        <is>
          <t>0                      RJ 0496000E  6                  C  46</t>
        </is>
      </c>
      <c r="D132" t="inlineStr">
        <is>
          <t>Childhood epilepsy : a pediatric-psychiatric approach / Roland Bouchard ... [et al.] ; commentary by Leon Kreisler ; pref. by Serge Lebovici ; translated by Joyce Diamanti.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New York : International Universities Press, c1977.</t>
        </is>
      </c>
      <c r="M132" t="inlineStr">
        <is>
          <t>1977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RJ </t>
        </is>
      </c>
      <c r="S132" t="n">
        <v>3</v>
      </c>
      <c r="T132" t="n">
        <v>3</v>
      </c>
      <c r="U132" t="inlineStr">
        <is>
          <t>2004-09-29</t>
        </is>
      </c>
      <c r="V132" t="inlineStr">
        <is>
          <t>2004-09-29</t>
        </is>
      </c>
      <c r="W132" t="inlineStr">
        <is>
          <t>1997-08-12</t>
        </is>
      </c>
      <c r="X132" t="inlineStr">
        <is>
          <t>1997-08-12</t>
        </is>
      </c>
      <c r="Y132" t="n">
        <v>177</v>
      </c>
      <c r="Z132" t="n">
        <v>153</v>
      </c>
      <c r="AA132" t="n">
        <v>155</v>
      </c>
      <c r="AB132" t="n">
        <v>2</v>
      </c>
      <c r="AC132" t="n">
        <v>2</v>
      </c>
      <c r="AD132" t="n">
        <v>4</v>
      </c>
      <c r="AE132" t="n">
        <v>4</v>
      </c>
      <c r="AF132" t="n">
        <v>0</v>
      </c>
      <c r="AG132" t="n">
        <v>0</v>
      </c>
      <c r="AH132" t="n">
        <v>0</v>
      </c>
      <c r="AI132" t="n">
        <v>0</v>
      </c>
      <c r="AJ132" t="n">
        <v>3</v>
      </c>
      <c r="AK132" t="n">
        <v>3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HYPERLINK("http://catalog.hathitrust.org/Record/000250534","HathiTrust Record")</f>
        <v/>
      </c>
      <c r="AS132">
        <f>HYPERLINK("https://creighton-primo.hosted.exlibrisgroup.com/primo-explore/search?tab=default_tab&amp;search_scope=EVERYTHING&amp;vid=01CRU&amp;lang=en_US&amp;offset=0&amp;query=any,contains,991004308079702656","Catalog Record")</f>
        <v/>
      </c>
      <c r="AT132">
        <f>HYPERLINK("http://www.worldcat.org/oclc/2985035","WorldCat Record")</f>
        <v/>
      </c>
      <c r="AU132" t="inlineStr">
        <is>
          <t>489197:eng</t>
        </is>
      </c>
      <c r="AV132" t="inlineStr">
        <is>
          <t>2985035</t>
        </is>
      </c>
      <c r="AW132" t="inlineStr">
        <is>
          <t>991004308079702656</t>
        </is>
      </c>
      <c r="AX132" t="inlineStr">
        <is>
          <t>991004308079702656</t>
        </is>
      </c>
      <c r="AY132" t="inlineStr">
        <is>
          <t>2262062540002656</t>
        </is>
      </c>
      <c r="AZ132" t="inlineStr">
        <is>
          <t>BOOK</t>
        </is>
      </c>
      <c r="BB132" t="inlineStr">
        <is>
          <t>9780823607747</t>
        </is>
      </c>
      <c r="BC132" t="inlineStr">
        <is>
          <t>32285003093563</t>
        </is>
      </c>
      <c r="BD132" t="inlineStr">
        <is>
          <t>893325203</t>
        </is>
      </c>
    </row>
    <row r="133">
      <c r="A133" t="inlineStr">
        <is>
          <t>No</t>
        </is>
      </c>
      <c r="B133" t="inlineStr">
        <is>
          <t>RJ496.E6 J27 1983</t>
        </is>
      </c>
      <c r="C133" t="inlineStr">
        <is>
          <t>0                      RJ 0496000E  6                  J  27          1983</t>
        </is>
      </c>
      <c r="D133" t="inlineStr">
        <is>
          <t>Does your child have epilepsy? / by James E. Jan, Robert G. Ziegler, and Giuseppe Erba.</t>
        </is>
      </c>
      <c r="F133" t="inlineStr">
        <is>
          <t>No</t>
        </is>
      </c>
      <c r="G133" t="inlineStr">
        <is>
          <t>1</t>
        </is>
      </c>
      <c r="H133" t="inlineStr">
        <is>
          <t>Yes</t>
        </is>
      </c>
      <c r="I133" t="inlineStr">
        <is>
          <t>No</t>
        </is>
      </c>
      <c r="J133" t="inlineStr">
        <is>
          <t>0</t>
        </is>
      </c>
      <c r="K133" t="inlineStr">
        <is>
          <t>Jan, James E.</t>
        </is>
      </c>
      <c r="L133" t="inlineStr">
        <is>
          <t>Baltimore : University Park Press, c1983.</t>
        </is>
      </c>
      <c r="M133" t="inlineStr">
        <is>
          <t>1982</t>
        </is>
      </c>
      <c r="O133" t="inlineStr">
        <is>
          <t>eng</t>
        </is>
      </c>
      <c r="P133" t="inlineStr">
        <is>
          <t>mdu</t>
        </is>
      </c>
      <c r="R133" t="inlineStr">
        <is>
          <t xml:space="preserve">RJ </t>
        </is>
      </c>
      <c r="S133" t="n">
        <v>1</v>
      </c>
      <c r="T133" t="n">
        <v>10</v>
      </c>
      <c r="V133" t="inlineStr">
        <is>
          <t>1996-03-08</t>
        </is>
      </c>
      <c r="W133" t="inlineStr">
        <is>
          <t>1995-03-17</t>
        </is>
      </c>
      <c r="X133" t="inlineStr">
        <is>
          <t>1995-03-17</t>
        </is>
      </c>
      <c r="Y133" t="n">
        <v>162</v>
      </c>
      <c r="Z133" t="n">
        <v>142</v>
      </c>
      <c r="AA133" t="n">
        <v>238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1</v>
      </c>
      <c r="AI133" t="n">
        <v>1</v>
      </c>
      <c r="AJ133" t="n">
        <v>1</v>
      </c>
      <c r="AK133" t="n">
        <v>1</v>
      </c>
      <c r="AL133" t="n">
        <v>0</v>
      </c>
      <c r="AM133" t="n">
        <v>0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HYPERLINK("https://creighton-primo.hosted.exlibrisgroup.com/primo-explore/search?tab=default_tab&amp;search_scope=EVERYTHING&amp;vid=01CRU&amp;lang=en_US&amp;offset=0&amp;query=any,contains,991001791109702656","Catalog Record")</f>
        <v/>
      </c>
      <c r="AT133">
        <f>HYPERLINK("http://www.worldcat.org/oclc/8763040","WorldCat Record")</f>
        <v/>
      </c>
      <c r="AU133" t="inlineStr">
        <is>
          <t>5835570:eng</t>
        </is>
      </c>
      <c r="AV133" t="inlineStr">
        <is>
          <t>8763040</t>
        </is>
      </c>
      <c r="AW133" t="inlineStr">
        <is>
          <t>991001791109702656</t>
        </is>
      </c>
      <c r="AX133" t="inlineStr">
        <is>
          <t>991001791109702656</t>
        </is>
      </c>
      <c r="AY133" t="inlineStr">
        <is>
          <t>2266677580002656</t>
        </is>
      </c>
      <c r="AZ133" t="inlineStr">
        <is>
          <t>BOOK</t>
        </is>
      </c>
      <c r="BB133" t="inlineStr">
        <is>
          <t>9780839117582</t>
        </is>
      </c>
      <c r="BC133" t="inlineStr">
        <is>
          <t>32285002020450</t>
        </is>
      </c>
      <c r="BD133" t="inlineStr">
        <is>
          <t>893346785</t>
        </is>
      </c>
    </row>
    <row r="134">
      <c r="A134" t="inlineStr">
        <is>
          <t>No</t>
        </is>
      </c>
      <c r="B134" t="inlineStr">
        <is>
          <t>RJ496.I6 R4 1970</t>
        </is>
      </c>
      <c r="C134" t="inlineStr">
        <is>
          <t>0                      RJ 0496000I  6                  R  4           1970</t>
        </is>
      </c>
      <c r="D134" t="inlineStr">
        <is>
          <t>Children's sleep / [by] Samuel Renshaw, Vernon L. Miller, and Dorothy P. Marquis.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Renshaw, Samuel, 1892-1981.</t>
        </is>
      </c>
      <c r="L134" t="inlineStr">
        <is>
          <t>New York : Arno Press, 1970 [c1933]</t>
        </is>
      </c>
      <c r="M134" t="inlineStr">
        <is>
          <t>1970</t>
        </is>
      </c>
      <c r="O134" t="inlineStr">
        <is>
          <t>eng</t>
        </is>
      </c>
      <c r="P134" t="inlineStr">
        <is>
          <t>nyu</t>
        </is>
      </c>
      <c r="Q134" t="inlineStr">
        <is>
          <t>The Literature of cinema</t>
        </is>
      </c>
      <c r="R134" t="inlineStr">
        <is>
          <t xml:space="preserve">RJ </t>
        </is>
      </c>
      <c r="S134" t="n">
        <v>8</v>
      </c>
      <c r="T134" t="n">
        <v>8</v>
      </c>
      <c r="U134" t="inlineStr">
        <is>
          <t>2006-02-19</t>
        </is>
      </c>
      <c r="V134" t="inlineStr">
        <is>
          <t>2006-02-19</t>
        </is>
      </c>
      <c r="W134" t="inlineStr">
        <is>
          <t>1994-11-02</t>
        </is>
      </c>
      <c r="X134" t="inlineStr">
        <is>
          <t>1994-11-02</t>
        </is>
      </c>
      <c r="Y134" t="n">
        <v>139</v>
      </c>
      <c r="Z134" t="n">
        <v>113</v>
      </c>
      <c r="AA134" t="n">
        <v>116</v>
      </c>
      <c r="AB134" t="n">
        <v>1</v>
      </c>
      <c r="AC134" t="n">
        <v>1</v>
      </c>
      <c r="AD134" t="n">
        <v>4</v>
      </c>
      <c r="AE134" t="n">
        <v>4</v>
      </c>
      <c r="AF134" t="n">
        <v>0</v>
      </c>
      <c r="AG134" t="n">
        <v>0</v>
      </c>
      <c r="AH134" t="n">
        <v>1</v>
      </c>
      <c r="AI134" t="n">
        <v>1</v>
      </c>
      <c r="AJ134" t="n">
        <v>3</v>
      </c>
      <c r="AK134" t="n">
        <v>3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HYPERLINK("http://catalog.hathitrust.org/Record/007561464","HathiTrust Record")</f>
        <v/>
      </c>
      <c r="AS134">
        <f>HYPERLINK("https://creighton-primo.hosted.exlibrisgroup.com/primo-explore/search?tab=default_tab&amp;search_scope=EVERYTHING&amp;vid=01CRU&amp;lang=en_US&amp;offset=0&amp;query=any,contains,991000662399702656","Catalog Record")</f>
        <v/>
      </c>
      <c r="AT134">
        <f>HYPERLINK("http://www.worldcat.org/oclc/117446","WorldCat Record")</f>
        <v/>
      </c>
      <c r="AU134" t="inlineStr">
        <is>
          <t>476243:eng</t>
        </is>
      </c>
      <c r="AV134" t="inlineStr">
        <is>
          <t>117446</t>
        </is>
      </c>
      <c r="AW134" t="inlineStr">
        <is>
          <t>991000662399702656</t>
        </is>
      </c>
      <c r="AX134" t="inlineStr">
        <is>
          <t>991000662399702656</t>
        </is>
      </c>
      <c r="AY134" t="inlineStr">
        <is>
          <t>2260940660002656</t>
        </is>
      </c>
      <c r="AZ134" t="inlineStr">
        <is>
          <t>BOOK</t>
        </is>
      </c>
      <c r="BB134" t="inlineStr">
        <is>
          <t>9780405016318</t>
        </is>
      </c>
      <c r="BC134" t="inlineStr">
        <is>
          <t>32285001963791</t>
        </is>
      </c>
      <c r="BD134" t="inlineStr">
        <is>
          <t>893897100</t>
        </is>
      </c>
    </row>
    <row r="135">
      <c r="A135" t="inlineStr">
        <is>
          <t>No</t>
        </is>
      </c>
      <c r="B135" t="inlineStr">
        <is>
          <t>RJ496.L35 A87 1985</t>
        </is>
      </c>
      <c r="C135" t="inlineStr">
        <is>
          <t>0                      RJ 0496000L  35                 A  87          1985</t>
        </is>
      </c>
      <c r="D135" t="inlineStr">
        <is>
          <t>Assessment of language-learning disabled students / edited by Charlann S. Simon.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San Diego, Calif. : College-Hill Press, c1985.</t>
        </is>
      </c>
      <c r="M135" t="inlineStr">
        <is>
          <t>1984</t>
        </is>
      </c>
      <c r="O135" t="inlineStr">
        <is>
          <t>eng</t>
        </is>
      </c>
      <c r="P135" t="inlineStr">
        <is>
          <t>cau</t>
        </is>
      </c>
      <c r="Q135" t="inlineStr">
        <is>
          <t>Communication skills and classroom success</t>
        </is>
      </c>
      <c r="R135" t="inlineStr">
        <is>
          <t xml:space="preserve">RJ </t>
        </is>
      </c>
      <c r="S135" t="n">
        <v>12</v>
      </c>
      <c r="T135" t="n">
        <v>12</v>
      </c>
      <c r="U135" t="inlineStr">
        <is>
          <t>2000-01-22</t>
        </is>
      </c>
      <c r="V135" t="inlineStr">
        <is>
          <t>2000-01-22</t>
        </is>
      </c>
      <c r="W135" t="inlineStr">
        <is>
          <t>1992-03-26</t>
        </is>
      </c>
      <c r="X135" t="inlineStr">
        <is>
          <t>1992-03-26</t>
        </is>
      </c>
      <c r="Y135" t="n">
        <v>300</v>
      </c>
      <c r="Z135" t="n">
        <v>267</v>
      </c>
      <c r="AA135" t="n">
        <v>285</v>
      </c>
      <c r="AB135" t="n">
        <v>5</v>
      </c>
      <c r="AC135" t="n">
        <v>5</v>
      </c>
      <c r="AD135" t="n">
        <v>12</v>
      </c>
      <c r="AE135" t="n">
        <v>12</v>
      </c>
      <c r="AF135" t="n">
        <v>3</v>
      </c>
      <c r="AG135" t="n">
        <v>3</v>
      </c>
      <c r="AH135" t="n">
        <v>2</v>
      </c>
      <c r="AI135" t="n">
        <v>2</v>
      </c>
      <c r="AJ135" t="n">
        <v>4</v>
      </c>
      <c r="AK135" t="n">
        <v>4</v>
      </c>
      <c r="AL135" t="n">
        <v>4</v>
      </c>
      <c r="AM135" t="n">
        <v>4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HYPERLINK("https://creighton-primo.hosted.exlibrisgroup.com/primo-explore/search?tab=default_tab&amp;search_scope=EVERYTHING&amp;vid=01CRU&amp;lang=en_US&amp;offset=0&amp;query=any,contains,991000546719702656","Catalog Record")</f>
        <v/>
      </c>
      <c r="AT135">
        <f>HYPERLINK("http://www.worldcat.org/oclc/11518735","WorldCat Record")</f>
        <v/>
      </c>
      <c r="AU135" t="inlineStr">
        <is>
          <t>497081852:eng</t>
        </is>
      </c>
      <c r="AV135" t="inlineStr">
        <is>
          <t>11518735</t>
        </is>
      </c>
      <c r="AW135" t="inlineStr">
        <is>
          <t>991000546719702656</t>
        </is>
      </c>
      <c r="AX135" t="inlineStr">
        <is>
          <t>991000546719702656</t>
        </is>
      </c>
      <c r="AY135" t="inlineStr">
        <is>
          <t>2269512300002656</t>
        </is>
      </c>
      <c r="AZ135" t="inlineStr">
        <is>
          <t>BOOK</t>
        </is>
      </c>
      <c r="BB135" t="inlineStr">
        <is>
          <t>9780933014312</t>
        </is>
      </c>
      <c r="BC135" t="inlineStr">
        <is>
          <t>32285001045094</t>
        </is>
      </c>
      <c r="BD135" t="inlineStr">
        <is>
          <t>893702219</t>
        </is>
      </c>
    </row>
    <row r="136">
      <c r="A136" t="inlineStr">
        <is>
          <t>No</t>
        </is>
      </c>
      <c r="B136" t="inlineStr">
        <is>
          <t>RJ496.L35 C66 1983</t>
        </is>
      </c>
      <c r="C136" t="inlineStr">
        <is>
          <t>0                      RJ 0496000L  35                 C  66          1983</t>
        </is>
      </c>
      <c r="D136" t="inlineStr">
        <is>
          <t>Teaching language-disabled children : a communication games intervention / Susan Conant, Milton Budoff, and Barbara Hecht.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Conant, Susan, 1946-</t>
        </is>
      </c>
      <c r="L136" t="inlineStr">
        <is>
          <t>Cambridge, MA : Brookline Books, c1983.</t>
        </is>
      </c>
      <c r="M136" t="inlineStr">
        <is>
          <t>1983</t>
        </is>
      </c>
      <c r="O136" t="inlineStr">
        <is>
          <t>eng</t>
        </is>
      </c>
      <c r="P136" t="inlineStr">
        <is>
          <t>mau</t>
        </is>
      </c>
      <c r="R136" t="inlineStr">
        <is>
          <t xml:space="preserve">RJ </t>
        </is>
      </c>
      <c r="S136" t="n">
        <v>4</v>
      </c>
      <c r="T136" t="n">
        <v>4</v>
      </c>
      <c r="U136" t="inlineStr">
        <is>
          <t>1998-03-28</t>
        </is>
      </c>
      <c r="V136" t="inlineStr">
        <is>
          <t>1998-03-28</t>
        </is>
      </c>
      <c r="W136" t="inlineStr">
        <is>
          <t>1992-04-26</t>
        </is>
      </c>
      <c r="X136" t="inlineStr">
        <is>
          <t>1992-04-26</t>
        </is>
      </c>
      <c r="Y136" t="n">
        <v>275</v>
      </c>
      <c r="Z136" t="n">
        <v>250</v>
      </c>
      <c r="AA136" t="n">
        <v>260</v>
      </c>
      <c r="AB136" t="n">
        <v>4</v>
      </c>
      <c r="AC136" t="n">
        <v>4</v>
      </c>
      <c r="AD136" t="n">
        <v>9</v>
      </c>
      <c r="AE136" t="n">
        <v>9</v>
      </c>
      <c r="AF136" t="n">
        <v>3</v>
      </c>
      <c r="AG136" t="n">
        <v>3</v>
      </c>
      <c r="AH136" t="n">
        <v>0</v>
      </c>
      <c r="AI136" t="n">
        <v>0</v>
      </c>
      <c r="AJ136" t="n">
        <v>3</v>
      </c>
      <c r="AK136" t="n">
        <v>3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HYPERLINK("https://creighton-primo.hosted.exlibrisgroup.com/primo-explore/search?tab=default_tab&amp;search_scope=EVERYTHING&amp;vid=01CRU&amp;lang=en_US&amp;offset=0&amp;query=any,contains,991000350229702656","Catalog Record")</f>
        <v/>
      </c>
      <c r="AT136">
        <f>HYPERLINK("http://www.worldcat.org/oclc/10301013","WorldCat Record")</f>
        <v/>
      </c>
      <c r="AU136" t="inlineStr">
        <is>
          <t>252242595:eng</t>
        </is>
      </c>
      <c r="AV136" t="inlineStr">
        <is>
          <t>10301013</t>
        </is>
      </c>
      <c r="AW136" t="inlineStr">
        <is>
          <t>991000350229702656</t>
        </is>
      </c>
      <c r="AX136" t="inlineStr">
        <is>
          <t>991000350229702656</t>
        </is>
      </c>
      <c r="AY136" t="inlineStr">
        <is>
          <t>2269951060002656</t>
        </is>
      </c>
      <c r="AZ136" t="inlineStr">
        <is>
          <t>BOOK</t>
        </is>
      </c>
      <c r="BB136" t="inlineStr">
        <is>
          <t>9780914797043</t>
        </is>
      </c>
      <c r="BC136" t="inlineStr">
        <is>
          <t>32285001087211</t>
        </is>
      </c>
      <c r="BD136" t="inlineStr">
        <is>
          <t>893601674</t>
        </is>
      </c>
    </row>
    <row r="137">
      <c r="A137" t="inlineStr">
        <is>
          <t>No</t>
        </is>
      </c>
      <c r="B137" t="inlineStr">
        <is>
          <t>RJ496.L35 L34 1988</t>
        </is>
      </c>
      <c r="C137" t="inlineStr">
        <is>
          <t>0                      RJ 0496000L  35                 L  34          1988</t>
        </is>
      </c>
      <c r="D137" t="inlineStr">
        <is>
          <t>Language disorders and language development / Margaret Lahey.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Lahey, Margaret.</t>
        </is>
      </c>
      <c r="L137" t="inlineStr">
        <is>
          <t>New York : Macmillan, c1988.</t>
        </is>
      </c>
      <c r="M137" t="inlineStr">
        <is>
          <t>1988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RJ </t>
        </is>
      </c>
      <c r="S137" t="n">
        <v>14</v>
      </c>
      <c r="T137" t="n">
        <v>14</v>
      </c>
      <c r="U137" t="inlineStr">
        <is>
          <t>2008-09-29</t>
        </is>
      </c>
      <c r="V137" t="inlineStr">
        <is>
          <t>2008-09-29</t>
        </is>
      </c>
      <c r="W137" t="inlineStr">
        <is>
          <t>1990-07-18</t>
        </is>
      </c>
      <c r="X137" t="inlineStr">
        <is>
          <t>1990-07-18</t>
        </is>
      </c>
      <c r="Y137" t="n">
        <v>312</v>
      </c>
      <c r="Z137" t="n">
        <v>220</v>
      </c>
      <c r="AA137" t="n">
        <v>618</v>
      </c>
      <c r="AB137" t="n">
        <v>2</v>
      </c>
      <c r="AC137" t="n">
        <v>8</v>
      </c>
      <c r="AD137" t="n">
        <v>7</v>
      </c>
      <c r="AE137" t="n">
        <v>28</v>
      </c>
      <c r="AF137" t="n">
        <v>4</v>
      </c>
      <c r="AG137" t="n">
        <v>10</v>
      </c>
      <c r="AH137" t="n">
        <v>1</v>
      </c>
      <c r="AI137" t="n">
        <v>7</v>
      </c>
      <c r="AJ137" t="n">
        <v>4</v>
      </c>
      <c r="AK137" t="n">
        <v>12</v>
      </c>
      <c r="AL137" t="n">
        <v>1</v>
      </c>
      <c r="AM137" t="n">
        <v>6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HYPERLINK("http://catalog.hathitrust.org/Record/001288764","HathiTrust Record")</f>
        <v/>
      </c>
      <c r="AS137">
        <f>HYPERLINK("https://creighton-primo.hosted.exlibrisgroup.com/primo-explore/search?tab=default_tab&amp;search_scope=EVERYTHING&amp;vid=01CRU&amp;lang=en_US&amp;offset=0&amp;query=any,contains,991001110479702656","Catalog Record")</f>
        <v/>
      </c>
      <c r="AT137">
        <f>HYPERLINK("http://www.worldcat.org/oclc/16466901","WorldCat Record")</f>
        <v/>
      </c>
      <c r="AU137" t="inlineStr">
        <is>
          <t>3888751366:eng</t>
        </is>
      </c>
      <c r="AV137" t="inlineStr">
        <is>
          <t>16466901</t>
        </is>
      </c>
      <c r="AW137" t="inlineStr">
        <is>
          <t>991001110479702656</t>
        </is>
      </c>
      <c r="AX137" t="inlineStr">
        <is>
          <t>991001110479702656</t>
        </is>
      </c>
      <c r="AY137" t="inlineStr">
        <is>
          <t>2270875710002656</t>
        </is>
      </c>
      <c r="AZ137" t="inlineStr">
        <is>
          <t>BOOK</t>
        </is>
      </c>
      <c r="BB137" t="inlineStr">
        <is>
          <t>9780023671302</t>
        </is>
      </c>
      <c r="BC137" t="inlineStr">
        <is>
          <t>32285000239151</t>
        </is>
      </c>
      <c r="BD137" t="inlineStr">
        <is>
          <t>893413962</t>
        </is>
      </c>
    </row>
    <row r="138">
      <c r="A138" t="inlineStr">
        <is>
          <t>No</t>
        </is>
      </c>
      <c r="B138" t="inlineStr">
        <is>
          <t>RJ496.L35 L362 1984</t>
        </is>
      </c>
      <c r="C138" t="inlineStr">
        <is>
          <t>0                      RJ 0496000L  35                 L  362         1984</t>
        </is>
      </c>
      <c r="D138" t="inlineStr">
        <is>
          <t>Language disorders in children : recent advances / edited by Audrey L. Holland.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San Diego, Calif. : College-Hill Press, c1984.</t>
        </is>
      </c>
      <c r="M138" t="inlineStr">
        <is>
          <t>1984</t>
        </is>
      </c>
      <c r="O138" t="inlineStr">
        <is>
          <t>eng</t>
        </is>
      </c>
      <c r="P138" t="inlineStr">
        <is>
          <t>cau</t>
        </is>
      </c>
      <c r="Q138" t="inlineStr">
        <is>
          <t>Speech, language, and hearing disorders series</t>
        </is>
      </c>
      <c r="R138" t="inlineStr">
        <is>
          <t xml:space="preserve">RJ </t>
        </is>
      </c>
      <c r="S138" t="n">
        <v>10</v>
      </c>
      <c r="T138" t="n">
        <v>10</v>
      </c>
      <c r="U138" t="inlineStr">
        <is>
          <t>1995-04-25</t>
        </is>
      </c>
      <c r="V138" t="inlineStr">
        <is>
          <t>1995-04-25</t>
        </is>
      </c>
      <c r="W138" t="inlineStr">
        <is>
          <t>1992-02-25</t>
        </is>
      </c>
      <c r="X138" t="inlineStr">
        <is>
          <t>1992-02-25</t>
        </is>
      </c>
      <c r="Y138" t="n">
        <v>409</v>
      </c>
      <c r="Z138" t="n">
        <v>356</v>
      </c>
      <c r="AA138" t="n">
        <v>370</v>
      </c>
      <c r="AB138" t="n">
        <v>6</v>
      </c>
      <c r="AC138" t="n">
        <v>6</v>
      </c>
      <c r="AD138" t="n">
        <v>16</v>
      </c>
      <c r="AE138" t="n">
        <v>16</v>
      </c>
      <c r="AF138" t="n">
        <v>5</v>
      </c>
      <c r="AG138" t="n">
        <v>5</v>
      </c>
      <c r="AH138" t="n">
        <v>2</v>
      </c>
      <c r="AI138" t="n">
        <v>2</v>
      </c>
      <c r="AJ138" t="n">
        <v>6</v>
      </c>
      <c r="AK138" t="n">
        <v>6</v>
      </c>
      <c r="AL138" t="n">
        <v>5</v>
      </c>
      <c r="AM138" t="n">
        <v>5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HYPERLINK("https://creighton-primo.hosted.exlibrisgroup.com/primo-explore/search?tab=default_tab&amp;search_scope=EVERYTHING&amp;vid=01CRU&amp;lang=en_US&amp;offset=0&amp;query=any,contains,991000226589702656","Catalog Record")</f>
        <v/>
      </c>
      <c r="AT138">
        <f>HYPERLINK("http://www.worldcat.org/oclc/9620401","WorldCat Record")</f>
        <v/>
      </c>
      <c r="AU138" t="inlineStr">
        <is>
          <t>54571780:eng</t>
        </is>
      </c>
      <c r="AV138" t="inlineStr">
        <is>
          <t>9620401</t>
        </is>
      </c>
      <c r="AW138" t="inlineStr">
        <is>
          <t>991000226589702656</t>
        </is>
      </c>
      <c r="AX138" t="inlineStr">
        <is>
          <t>991000226589702656</t>
        </is>
      </c>
      <c r="AY138" t="inlineStr">
        <is>
          <t>2270533240002656</t>
        </is>
      </c>
      <c r="AZ138" t="inlineStr">
        <is>
          <t>BOOK</t>
        </is>
      </c>
      <c r="BB138" t="inlineStr">
        <is>
          <t>9780933014923</t>
        </is>
      </c>
      <c r="BC138" t="inlineStr">
        <is>
          <t>32285000982867</t>
        </is>
      </c>
      <c r="BD138" t="inlineStr">
        <is>
          <t>893224850</t>
        </is>
      </c>
    </row>
    <row r="139">
      <c r="A139" t="inlineStr">
        <is>
          <t>No</t>
        </is>
      </c>
      <c r="B139" t="inlineStr">
        <is>
          <t>RJ496.L35 R46 1984</t>
        </is>
      </c>
      <c r="C139" t="inlineStr">
        <is>
          <t>0                      RJ 0496000L  35                 R  46          1984</t>
        </is>
      </c>
      <c r="D139" t="inlineStr">
        <is>
          <t>Remediating children's language : behavioural and naturalistic approaches / edited by Dave J. Müller.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London : Croom Helm ; San Diego [Calif.] : College-Hill Press, c1984.</t>
        </is>
      </c>
      <c r="M139" t="inlineStr">
        <is>
          <t>1984</t>
        </is>
      </c>
      <c r="O139" t="inlineStr">
        <is>
          <t>eng</t>
        </is>
      </c>
      <c r="P139" t="inlineStr">
        <is>
          <t>enk</t>
        </is>
      </c>
      <c r="R139" t="inlineStr">
        <is>
          <t xml:space="preserve">RJ </t>
        </is>
      </c>
      <c r="S139" t="n">
        <v>4</v>
      </c>
      <c r="T139" t="n">
        <v>4</v>
      </c>
      <c r="U139" t="inlineStr">
        <is>
          <t>1998-03-28</t>
        </is>
      </c>
      <c r="V139" t="inlineStr">
        <is>
          <t>1998-03-28</t>
        </is>
      </c>
      <c r="W139" t="inlineStr">
        <is>
          <t>1992-04-16</t>
        </is>
      </c>
      <c r="X139" t="inlineStr">
        <is>
          <t>1992-04-16</t>
        </is>
      </c>
      <c r="Y139" t="n">
        <v>313</v>
      </c>
      <c r="Z139" t="n">
        <v>222</v>
      </c>
      <c r="AA139" t="n">
        <v>227</v>
      </c>
      <c r="AB139" t="n">
        <v>3</v>
      </c>
      <c r="AC139" t="n">
        <v>3</v>
      </c>
      <c r="AD139" t="n">
        <v>10</v>
      </c>
      <c r="AE139" t="n">
        <v>10</v>
      </c>
      <c r="AF139" t="n">
        <v>4</v>
      </c>
      <c r="AG139" t="n">
        <v>4</v>
      </c>
      <c r="AH139" t="n">
        <v>1</v>
      </c>
      <c r="AI139" t="n">
        <v>1</v>
      </c>
      <c r="AJ139" t="n">
        <v>6</v>
      </c>
      <c r="AK139" t="n">
        <v>6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HYPERLINK("https://creighton-primo.hosted.exlibrisgroup.com/primo-explore/search?tab=default_tab&amp;search_scope=EVERYTHING&amp;vid=01CRU&amp;lang=en_US&amp;offset=0&amp;query=any,contains,991000416679702656","Catalog Record")</f>
        <v/>
      </c>
      <c r="AT139">
        <f>HYPERLINK("http://www.worldcat.org/oclc/10724927","WorldCat Record")</f>
        <v/>
      </c>
      <c r="AU139" t="inlineStr">
        <is>
          <t>836663453:eng</t>
        </is>
      </c>
      <c r="AV139" t="inlineStr">
        <is>
          <t>10724927</t>
        </is>
      </c>
      <c r="AW139" t="inlineStr">
        <is>
          <t>991000416679702656</t>
        </is>
      </c>
      <c r="AX139" t="inlineStr">
        <is>
          <t>991000416679702656</t>
        </is>
      </c>
      <c r="AY139" t="inlineStr">
        <is>
          <t>2263337130002656</t>
        </is>
      </c>
      <c r="AZ139" t="inlineStr">
        <is>
          <t>BOOK</t>
        </is>
      </c>
      <c r="BB139" t="inlineStr">
        <is>
          <t>9780933014473</t>
        </is>
      </c>
      <c r="BC139" t="inlineStr">
        <is>
          <t>32285001070076</t>
        </is>
      </c>
      <c r="BD139" t="inlineStr">
        <is>
          <t>893231091</t>
        </is>
      </c>
    </row>
    <row r="140">
      <c r="A140" t="inlineStr">
        <is>
          <t>No</t>
        </is>
      </c>
      <c r="B140" t="inlineStr">
        <is>
          <t>RJ496.L35 S87 1983</t>
        </is>
      </c>
      <c r="C140" t="inlineStr">
        <is>
          <t>0                      RJ 0496000L  35                 S  87          1983</t>
        </is>
      </c>
      <c r="D140" t="inlineStr">
        <is>
          <t>Language facilitation : a complete cognitive therapy program / by Jacqueline M. Cimorell Strong.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Strong, Jacqueline M. Cimorell.</t>
        </is>
      </c>
      <c r="L140" t="inlineStr">
        <is>
          <t>Baltimore : University Park Press, c1983.</t>
        </is>
      </c>
      <c r="M140" t="inlineStr">
        <is>
          <t>1983</t>
        </is>
      </c>
      <c r="O140" t="inlineStr">
        <is>
          <t>eng</t>
        </is>
      </c>
      <c r="P140" t="inlineStr">
        <is>
          <t>mdu</t>
        </is>
      </c>
      <c r="R140" t="inlineStr">
        <is>
          <t xml:space="preserve">RJ </t>
        </is>
      </c>
      <c r="S140" t="n">
        <v>2</v>
      </c>
      <c r="T140" t="n">
        <v>2</v>
      </c>
      <c r="U140" t="inlineStr">
        <is>
          <t>1993-04-25</t>
        </is>
      </c>
      <c r="V140" t="inlineStr">
        <is>
          <t>1993-04-25</t>
        </is>
      </c>
      <c r="W140" t="inlineStr">
        <is>
          <t>1993-02-25</t>
        </is>
      </c>
      <c r="X140" t="inlineStr">
        <is>
          <t>1993-02-25</t>
        </is>
      </c>
      <c r="Y140" t="n">
        <v>161</v>
      </c>
      <c r="Z140" t="n">
        <v>147</v>
      </c>
      <c r="AA140" t="n">
        <v>165</v>
      </c>
      <c r="AB140" t="n">
        <v>2</v>
      </c>
      <c r="AC140" t="n">
        <v>2</v>
      </c>
      <c r="AD140" t="n">
        <v>3</v>
      </c>
      <c r="AE140" t="n">
        <v>3</v>
      </c>
      <c r="AF140" t="n">
        <v>0</v>
      </c>
      <c r="AG140" t="n">
        <v>0</v>
      </c>
      <c r="AH140" t="n">
        <v>0</v>
      </c>
      <c r="AI140" t="n">
        <v>0</v>
      </c>
      <c r="AJ140" t="n">
        <v>2</v>
      </c>
      <c r="AK140" t="n">
        <v>2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HYPERLINK("https://creighton-primo.hosted.exlibrisgroup.com/primo-explore/search?tab=default_tab&amp;search_scope=EVERYTHING&amp;vid=01CRU&amp;lang=en_US&amp;offset=0&amp;query=any,contains,991000147119702656","Catalog Record")</f>
        <v/>
      </c>
      <c r="AT140">
        <f>HYPERLINK("http://www.worldcat.org/oclc/9196389","WorldCat Record")</f>
        <v/>
      </c>
      <c r="AU140" t="inlineStr">
        <is>
          <t>5697921:eng</t>
        </is>
      </c>
      <c r="AV140" t="inlineStr">
        <is>
          <t>9196389</t>
        </is>
      </c>
      <c r="AW140" t="inlineStr">
        <is>
          <t>991000147119702656</t>
        </is>
      </c>
      <c r="AX140" t="inlineStr">
        <is>
          <t>991000147119702656</t>
        </is>
      </c>
      <c r="AY140" t="inlineStr">
        <is>
          <t>2268340820002656</t>
        </is>
      </c>
      <c r="AZ140" t="inlineStr">
        <is>
          <t>BOOK</t>
        </is>
      </c>
      <c r="BB140" t="inlineStr">
        <is>
          <t>9780839117995</t>
        </is>
      </c>
      <c r="BC140" t="inlineStr">
        <is>
          <t>32285001528776</t>
        </is>
      </c>
      <c r="BD140" t="inlineStr">
        <is>
          <t>893327073</t>
        </is>
      </c>
    </row>
    <row r="141">
      <c r="A141" t="inlineStr">
        <is>
          <t>No</t>
        </is>
      </c>
      <c r="B141" t="inlineStr">
        <is>
          <t>RJ496.L35 T43 1985</t>
        </is>
      </c>
      <c r="C141" t="inlineStr">
        <is>
          <t>0                      RJ 0496000L  35                 T  43          1985</t>
        </is>
      </c>
      <c r="D141" t="inlineStr">
        <is>
          <t>Teaching functional language : generalization and maintenance of language skills / edited by Steven F. Warren, Ann K. Rogers-Warren.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Baltimore : University Park Press, c1985.</t>
        </is>
      </c>
      <c r="M141" t="inlineStr">
        <is>
          <t>1985</t>
        </is>
      </c>
      <c r="O141" t="inlineStr">
        <is>
          <t>eng</t>
        </is>
      </c>
      <c r="P141" t="inlineStr">
        <is>
          <t>mdu</t>
        </is>
      </c>
      <c r="Q141" t="inlineStr">
        <is>
          <t>Language intervention series ; v. 9</t>
        </is>
      </c>
      <c r="R141" t="inlineStr">
        <is>
          <t xml:space="preserve">RJ </t>
        </is>
      </c>
      <c r="S141" t="n">
        <v>4</v>
      </c>
      <c r="T141" t="n">
        <v>4</v>
      </c>
      <c r="U141" t="inlineStr">
        <is>
          <t>1993-04-25</t>
        </is>
      </c>
      <c r="V141" t="inlineStr">
        <is>
          <t>1993-04-25</t>
        </is>
      </c>
      <c r="W141" t="inlineStr">
        <is>
          <t>1993-02-25</t>
        </is>
      </c>
      <c r="X141" t="inlineStr">
        <is>
          <t>1993-02-25</t>
        </is>
      </c>
      <c r="Y141" t="n">
        <v>208</v>
      </c>
      <c r="Z141" t="n">
        <v>180</v>
      </c>
      <c r="AA141" t="n">
        <v>226</v>
      </c>
      <c r="AB141" t="n">
        <v>3</v>
      </c>
      <c r="AC141" t="n">
        <v>3</v>
      </c>
      <c r="AD141" t="n">
        <v>6</v>
      </c>
      <c r="AE141" t="n">
        <v>6</v>
      </c>
      <c r="AF141" t="n">
        <v>1</v>
      </c>
      <c r="AG141" t="n">
        <v>1</v>
      </c>
      <c r="AH141" t="n">
        <v>1</v>
      </c>
      <c r="AI141" t="n">
        <v>1</v>
      </c>
      <c r="AJ141" t="n">
        <v>3</v>
      </c>
      <c r="AK141" t="n">
        <v>3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HYPERLINK("http://catalog.hathitrust.org/Record/102069050","HathiTrust Record")</f>
        <v/>
      </c>
      <c r="AS141">
        <f>HYPERLINK("https://creighton-primo.hosted.exlibrisgroup.com/primo-explore/search?tab=default_tab&amp;search_scope=EVERYTHING&amp;vid=01CRU&amp;lang=en_US&amp;offset=0&amp;query=any,contains,991000509099702656","Catalog Record")</f>
        <v/>
      </c>
      <c r="AT141">
        <f>HYPERLINK("http://www.worldcat.org/oclc/11234247","WorldCat Record")</f>
        <v/>
      </c>
      <c r="AU141" t="inlineStr">
        <is>
          <t>896980233:eng</t>
        </is>
      </c>
      <c r="AV141" t="inlineStr">
        <is>
          <t>11234247</t>
        </is>
      </c>
      <c r="AW141" t="inlineStr">
        <is>
          <t>991000509099702656</t>
        </is>
      </c>
      <c r="AX141" t="inlineStr">
        <is>
          <t>991000509099702656</t>
        </is>
      </c>
      <c r="AY141" t="inlineStr">
        <is>
          <t>2257764610002656</t>
        </is>
      </c>
      <c r="AZ141" t="inlineStr">
        <is>
          <t>BOOK</t>
        </is>
      </c>
      <c r="BB141" t="inlineStr">
        <is>
          <t>9780839117988</t>
        </is>
      </c>
      <c r="BC141" t="inlineStr">
        <is>
          <t>32285001528784</t>
        </is>
      </c>
      <c r="BD141" t="inlineStr">
        <is>
          <t>893225047</t>
        </is>
      </c>
    </row>
    <row r="142">
      <c r="A142" t="inlineStr">
        <is>
          <t>No</t>
        </is>
      </c>
      <c r="B142" t="inlineStr">
        <is>
          <t>RJ496.L35 W66 1982</t>
        </is>
      </c>
      <c r="C142" t="inlineStr">
        <is>
          <t>0                      RJ 0496000L  35                 W  66          1982</t>
        </is>
      </c>
      <c r="D142" t="inlineStr">
        <is>
          <t>Language disorders in school-age children / Mary Lovey Wood.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Wood, Mary Lovey.</t>
        </is>
      </c>
      <c r="L142" t="inlineStr">
        <is>
          <t>Englewood Cliffs, N.J. : Prentice-Hall, c1982.</t>
        </is>
      </c>
      <c r="M142" t="inlineStr">
        <is>
          <t>1982</t>
        </is>
      </c>
      <c r="O142" t="inlineStr">
        <is>
          <t>eng</t>
        </is>
      </c>
      <c r="P142" t="inlineStr">
        <is>
          <t>nju</t>
        </is>
      </c>
      <c r="Q142" t="inlineStr">
        <is>
          <t>Remediation of communication disorders</t>
        </is>
      </c>
      <c r="R142" t="inlineStr">
        <is>
          <t xml:space="preserve">RJ </t>
        </is>
      </c>
      <c r="S142" t="n">
        <v>17</v>
      </c>
      <c r="T142" t="n">
        <v>17</v>
      </c>
      <c r="U142" t="inlineStr">
        <is>
          <t>1998-03-28</t>
        </is>
      </c>
      <c r="V142" t="inlineStr">
        <is>
          <t>1998-03-28</t>
        </is>
      </c>
      <c r="W142" t="inlineStr">
        <is>
          <t>1990-06-13</t>
        </is>
      </c>
      <c r="X142" t="inlineStr">
        <is>
          <t>1990-06-13</t>
        </is>
      </c>
      <c r="Y142" t="n">
        <v>303</v>
      </c>
      <c r="Z142" t="n">
        <v>235</v>
      </c>
      <c r="AA142" t="n">
        <v>240</v>
      </c>
      <c r="AB142" t="n">
        <v>3</v>
      </c>
      <c r="AC142" t="n">
        <v>3</v>
      </c>
      <c r="AD142" t="n">
        <v>6</v>
      </c>
      <c r="AE142" t="n">
        <v>6</v>
      </c>
      <c r="AF142" t="n">
        <v>2</v>
      </c>
      <c r="AG142" t="n">
        <v>2</v>
      </c>
      <c r="AH142" t="n">
        <v>1</v>
      </c>
      <c r="AI142" t="n">
        <v>1</v>
      </c>
      <c r="AJ142" t="n">
        <v>3</v>
      </c>
      <c r="AK142" t="n">
        <v>3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HYPERLINK("https://creighton-primo.hosted.exlibrisgroup.com/primo-explore/search?tab=default_tab&amp;search_scope=EVERYTHING&amp;vid=01CRU&amp;lang=en_US&amp;offset=0&amp;query=any,contains,991005204109702656","Catalog Record")</f>
        <v/>
      </c>
      <c r="AT142">
        <f>HYPERLINK("http://www.worldcat.org/oclc/8110790","WorldCat Record")</f>
        <v/>
      </c>
      <c r="AU142" t="inlineStr">
        <is>
          <t>411378:eng</t>
        </is>
      </c>
      <c r="AV142" t="inlineStr">
        <is>
          <t>8110790</t>
        </is>
      </c>
      <c r="AW142" t="inlineStr">
        <is>
          <t>991005204109702656</t>
        </is>
      </c>
      <c r="AX142" t="inlineStr">
        <is>
          <t>991005204109702656</t>
        </is>
      </c>
      <c r="AY142" t="inlineStr">
        <is>
          <t>2255863220002656</t>
        </is>
      </c>
      <c r="AZ142" t="inlineStr">
        <is>
          <t>BOOK</t>
        </is>
      </c>
      <c r="BB142" t="inlineStr">
        <is>
          <t>9780135229460</t>
        </is>
      </c>
      <c r="BC142" t="inlineStr">
        <is>
          <t>32285000191725</t>
        </is>
      </c>
      <c r="BD142" t="inlineStr">
        <is>
          <t>893694908</t>
        </is>
      </c>
    </row>
    <row r="143">
      <c r="A143" t="inlineStr">
        <is>
          <t>No</t>
        </is>
      </c>
      <c r="B143" t="inlineStr">
        <is>
          <t>RJ496.L4 G33 1980</t>
        </is>
      </c>
      <c r="C143" t="inlineStr">
        <is>
          <t>0                      RJ 0496000L  4                  G  33          1980</t>
        </is>
      </c>
      <c r="D143" t="inlineStr">
        <is>
          <t>Learning disabilities and brain function : a neuropsychological approach / William H. Gaddes : with a foreword by W. M. Cruickshank.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Yes</t>
        </is>
      </c>
      <c r="J143" t="inlineStr">
        <is>
          <t>0</t>
        </is>
      </c>
      <c r="K143" t="inlineStr">
        <is>
          <t>Gaddes, William H.</t>
        </is>
      </c>
      <c r="L143" t="inlineStr">
        <is>
          <t>New York : Springer-Verlag, c1980.</t>
        </is>
      </c>
      <c r="M143" t="inlineStr">
        <is>
          <t>1980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RJ </t>
        </is>
      </c>
      <c r="S143" t="n">
        <v>7</v>
      </c>
      <c r="T143" t="n">
        <v>7</v>
      </c>
      <c r="U143" t="inlineStr">
        <is>
          <t>2005-10-03</t>
        </is>
      </c>
      <c r="V143" t="inlineStr">
        <is>
          <t>2005-10-03</t>
        </is>
      </c>
      <c r="W143" t="inlineStr">
        <is>
          <t>1993-02-25</t>
        </is>
      </c>
      <c r="X143" t="inlineStr">
        <is>
          <t>1993-02-25</t>
        </is>
      </c>
      <c r="Y143" t="n">
        <v>382</v>
      </c>
      <c r="Z143" t="n">
        <v>281</v>
      </c>
      <c r="AA143" t="n">
        <v>588</v>
      </c>
      <c r="AB143" t="n">
        <v>3</v>
      </c>
      <c r="AC143" t="n">
        <v>7</v>
      </c>
      <c r="AD143" t="n">
        <v>11</v>
      </c>
      <c r="AE143" t="n">
        <v>23</v>
      </c>
      <c r="AF143" t="n">
        <v>1</v>
      </c>
      <c r="AG143" t="n">
        <v>6</v>
      </c>
      <c r="AH143" t="n">
        <v>3</v>
      </c>
      <c r="AI143" t="n">
        <v>5</v>
      </c>
      <c r="AJ143" t="n">
        <v>6</v>
      </c>
      <c r="AK143" t="n">
        <v>10</v>
      </c>
      <c r="AL143" t="n">
        <v>2</v>
      </c>
      <c r="AM143" t="n">
        <v>5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HYPERLINK("https://creighton-primo.hosted.exlibrisgroup.com/primo-explore/search?tab=default_tab&amp;search_scope=EVERYTHING&amp;vid=01CRU&amp;lang=en_US&amp;offset=0&amp;query=any,contains,991004935499702656","Catalog Record")</f>
        <v/>
      </c>
      <c r="AT143">
        <f>HYPERLINK("http://www.worldcat.org/oclc/6142751","WorldCat Record")</f>
        <v/>
      </c>
      <c r="AU143" t="inlineStr">
        <is>
          <t>3848151:eng</t>
        </is>
      </c>
      <c r="AV143" t="inlineStr">
        <is>
          <t>6142751</t>
        </is>
      </c>
      <c r="AW143" t="inlineStr">
        <is>
          <t>991004935499702656</t>
        </is>
      </c>
      <c r="AX143" t="inlineStr">
        <is>
          <t>991004935499702656</t>
        </is>
      </c>
      <c r="AY143" t="inlineStr">
        <is>
          <t>2261622350002656</t>
        </is>
      </c>
      <c r="AZ143" t="inlineStr">
        <is>
          <t>BOOK</t>
        </is>
      </c>
      <c r="BC143" t="inlineStr">
        <is>
          <t>32285001528800</t>
        </is>
      </c>
      <c r="BD143" t="inlineStr">
        <is>
          <t>893443212</t>
        </is>
      </c>
    </row>
    <row r="144">
      <c r="A144" t="inlineStr">
        <is>
          <t>No</t>
        </is>
      </c>
      <c r="B144" t="inlineStr">
        <is>
          <t>RJ496.L4 G46 1986</t>
        </is>
      </c>
      <c r="C144" t="inlineStr">
        <is>
          <t>0                      RJ 0496000L  4                  G  46          1986</t>
        </is>
      </c>
      <c r="D144" t="inlineStr">
        <is>
          <t>Genetics and learning disabilities / edited by Shelley D. Smith.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L144" t="inlineStr">
        <is>
          <t>San Diego, Calif. : College-Hill Press, c1986.</t>
        </is>
      </c>
      <c r="M144" t="inlineStr">
        <is>
          <t>1985</t>
        </is>
      </c>
      <c r="O144" t="inlineStr">
        <is>
          <t>eng</t>
        </is>
      </c>
      <c r="P144" t="inlineStr">
        <is>
          <t>cau</t>
        </is>
      </c>
      <c r="R144" t="inlineStr">
        <is>
          <t xml:space="preserve">RJ </t>
        </is>
      </c>
      <c r="S144" t="n">
        <v>4</v>
      </c>
      <c r="T144" t="n">
        <v>4</v>
      </c>
      <c r="U144" t="inlineStr">
        <is>
          <t>1998-04-27</t>
        </is>
      </c>
      <c r="V144" t="inlineStr">
        <is>
          <t>1998-04-27</t>
        </is>
      </c>
      <c r="W144" t="inlineStr">
        <is>
          <t>1990-03-20</t>
        </is>
      </c>
      <c r="X144" t="inlineStr">
        <is>
          <t>1990-03-20</t>
        </is>
      </c>
      <c r="Y144" t="n">
        <v>307</v>
      </c>
      <c r="Z144" t="n">
        <v>279</v>
      </c>
      <c r="AA144" t="n">
        <v>283</v>
      </c>
      <c r="AB144" t="n">
        <v>2</v>
      </c>
      <c r="AC144" t="n">
        <v>2</v>
      </c>
      <c r="AD144" t="n">
        <v>9</v>
      </c>
      <c r="AE144" t="n">
        <v>9</v>
      </c>
      <c r="AF144" t="n">
        <v>2</v>
      </c>
      <c r="AG144" t="n">
        <v>2</v>
      </c>
      <c r="AH144" t="n">
        <v>3</v>
      </c>
      <c r="AI144" t="n">
        <v>3</v>
      </c>
      <c r="AJ144" t="n">
        <v>7</v>
      </c>
      <c r="AK144" t="n">
        <v>7</v>
      </c>
      <c r="AL144" t="n">
        <v>1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HYPERLINK("http://catalog.hathitrust.org/Record/000588664","HathiTrust Record")</f>
        <v/>
      </c>
      <c r="AS144">
        <f>HYPERLINK("https://creighton-primo.hosted.exlibrisgroup.com/primo-explore/search?tab=default_tab&amp;search_scope=EVERYTHING&amp;vid=01CRU&amp;lang=en_US&amp;offset=0&amp;query=any,contains,991000704489702656","Catalog Record")</f>
        <v/>
      </c>
      <c r="AT144">
        <f>HYPERLINK("http://www.worldcat.org/oclc/12555854","WorldCat Record")</f>
        <v/>
      </c>
      <c r="AU144" t="inlineStr">
        <is>
          <t>54749848:eng</t>
        </is>
      </c>
      <c r="AV144" t="inlineStr">
        <is>
          <t>12555854</t>
        </is>
      </c>
      <c r="AW144" t="inlineStr">
        <is>
          <t>991000704489702656</t>
        </is>
      </c>
      <c r="AX144" t="inlineStr">
        <is>
          <t>991000704489702656</t>
        </is>
      </c>
      <c r="AY144" t="inlineStr">
        <is>
          <t>2257821960002656</t>
        </is>
      </c>
      <c r="AZ144" t="inlineStr">
        <is>
          <t>BOOK</t>
        </is>
      </c>
      <c r="BB144" t="inlineStr">
        <is>
          <t>9780887441417</t>
        </is>
      </c>
      <c r="BC144" t="inlineStr">
        <is>
          <t>32285000088624</t>
        </is>
      </c>
      <c r="BD144" t="inlineStr">
        <is>
          <t>893903126</t>
        </is>
      </c>
    </row>
    <row r="145">
      <c r="A145" t="inlineStr">
        <is>
          <t>No</t>
        </is>
      </c>
      <c r="B145" t="inlineStr">
        <is>
          <t>RJ496.L4 J64 1991</t>
        </is>
      </c>
      <c r="C145" t="inlineStr">
        <is>
          <t>0                      RJ 0496000L  4                  J  64          1991</t>
        </is>
      </c>
      <c r="D145" t="inlineStr">
        <is>
          <t>Attention deficits, learning disabilities, and ritalin / a practical guide / Robert B. Johnston.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Johnston, Robert B., 1936-</t>
        </is>
      </c>
      <c r="L145" t="inlineStr">
        <is>
          <t>San Diego, Calif. : Singular Pub. Group, 1991.</t>
        </is>
      </c>
      <c r="M145" t="inlineStr">
        <is>
          <t>1991</t>
        </is>
      </c>
      <c r="N145" t="inlineStr">
        <is>
          <t>2nd ed.</t>
        </is>
      </c>
      <c r="O145" t="inlineStr">
        <is>
          <t>eng</t>
        </is>
      </c>
      <c r="P145" t="inlineStr">
        <is>
          <t>cau</t>
        </is>
      </c>
      <c r="R145" t="inlineStr">
        <is>
          <t xml:space="preserve">RJ </t>
        </is>
      </c>
      <c r="S145" t="n">
        <v>49</v>
      </c>
      <c r="T145" t="n">
        <v>49</v>
      </c>
      <c r="U145" t="inlineStr">
        <is>
          <t>2002-09-22</t>
        </is>
      </c>
      <c r="V145" t="inlineStr">
        <is>
          <t>2002-09-22</t>
        </is>
      </c>
      <c r="W145" t="inlineStr">
        <is>
          <t>1995-02-28</t>
        </is>
      </c>
      <c r="X145" t="inlineStr">
        <is>
          <t>1995-02-28</t>
        </is>
      </c>
      <c r="Y145" t="n">
        <v>277</v>
      </c>
      <c r="Z145" t="n">
        <v>245</v>
      </c>
      <c r="AA145" t="n">
        <v>275</v>
      </c>
      <c r="AB145" t="n">
        <v>8</v>
      </c>
      <c r="AC145" t="n">
        <v>8</v>
      </c>
      <c r="AD145" t="n">
        <v>15</v>
      </c>
      <c r="AE145" t="n">
        <v>17</v>
      </c>
      <c r="AF145" t="n">
        <v>3</v>
      </c>
      <c r="AG145" t="n">
        <v>5</v>
      </c>
      <c r="AH145" t="n">
        <v>1</v>
      </c>
      <c r="AI145" t="n">
        <v>1</v>
      </c>
      <c r="AJ145" t="n">
        <v>5</v>
      </c>
      <c r="AK145" t="n">
        <v>6</v>
      </c>
      <c r="AL145" t="n">
        <v>7</v>
      </c>
      <c r="AM145" t="n">
        <v>7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HYPERLINK("https://creighton-primo.hosted.exlibrisgroup.com/primo-explore/search?tab=default_tab&amp;search_scope=EVERYTHING&amp;vid=01CRU&amp;lang=en_US&amp;offset=0&amp;query=any,contains,991001865309702656","Catalog Record")</f>
        <v/>
      </c>
      <c r="AT145">
        <f>HYPERLINK("http://www.worldcat.org/oclc/23462730","WorldCat Record")</f>
        <v/>
      </c>
      <c r="AU145" t="inlineStr">
        <is>
          <t>836725251:eng</t>
        </is>
      </c>
      <c r="AV145" t="inlineStr">
        <is>
          <t>23462730</t>
        </is>
      </c>
      <c r="AW145" t="inlineStr">
        <is>
          <t>991001865309702656</t>
        </is>
      </c>
      <c r="AX145" t="inlineStr">
        <is>
          <t>991001865309702656</t>
        </is>
      </c>
      <c r="AY145" t="inlineStr">
        <is>
          <t>2255514820002656</t>
        </is>
      </c>
      <c r="AZ145" t="inlineStr">
        <is>
          <t>BOOK</t>
        </is>
      </c>
      <c r="BB145" t="inlineStr">
        <is>
          <t>9781879105126</t>
        </is>
      </c>
      <c r="BC145" t="inlineStr">
        <is>
          <t>32285001779593</t>
        </is>
      </c>
      <c r="BD145" t="inlineStr">
        <is>
          <t>893414560</t>
        </is>
      </c>
    </row>
    <row r="146">
      <c r="A146" t="inlineStr">
        <is>
          <t>No</t>
        </is>
      </c>
      <c r="B146" t="inlineStr">
        <is>
          <t>RJ496.L4 S6 1982</t>
        </is>
      </c>
      <c r="C146" t="inlineStr">
        <is>
          <t>0                      RJ 0496000L  4                  S  6           1982</t>
        </is>
      </c>
      <c r="D146" t="inlineStr">
        <is>
          <t>Cortical dysfunctioning in children with specific reading disability / by William S. Sobotowicz and James R. Evans.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Sobotowicz, William S.</t>
        </is>
      </c>
      <c r="L146" t="inlineStr">
        <is>
          <t>Springfield, Ill. : Thomas, [1982] c1981.</t>
        </is>
      </c>
      <c r="M146" t="inlineStr">
        <is>
          <t>1982</t>
        </is>
      </c>
      <c r="O146" t="inlineStr">
        <is>
          <t>eng</t>
        </is>
      </c>
      <c r="P146" t="inlineStr">
        <is>
          <t>ilu</t>
        </is>
      </c>
      <c r="R146" t="inlineStr">
        <is>
          <t xml:space="preserve">RJ </t>
        </is>
      </c>
      <c r="S146" t="n">
        <v>4</v>
      </c>
      <c r="T146" t="n">
        <v>4</v>
      </c>
      <c r="U146" t="inlineStr">
        <is>
          <t>1995-02-05</t>
        </is>
      </c>
      <c r="V146" t="inlineStr">
        <is>
          <t>1995-02-05</t>
        </is>
      </c>
      <c r="W146" t="inlineStr">
        <is>
          <t>1990-07-02</t>
        </is>
      </c>
      <c r="X146" t="inlineStr">
        <is>
          <t>1990-07-02</t>
        </is>
      </c>
      <c r="Y146" t="n">
        <v>184</v>
      </c>
      <c r="Z146" t="n">
        <v>158</v>
      </c>
      <c r="AA146" t="n">
        <v>158</v>
      </c>
      <c r="AB146" t="n">
        <v>2</v>
      </c>
      <c r="AC146" t="n">
        <v>2</v>
      </c>
      <c r="AD146" t="n">
        <v>3</v>
      </c>
      <c r="AE146" t="n">
        <v>3</v>
      </c>
      <c r="AF146" t="n">
        <v>1</v>
      </c>
      <c r="AG146" t="n">
        <v>1</v>
      </c>
      <c r="AH146" t="n">
        <v>0</v>
      </c>
      <c r="AI146" t="n">
        <v>0</v>
      </c>
      <c r="AJ146" t="n">
        <v>2</v>
      </c>
      <c r="AK146" t="n">
        <v>2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HYPERLINK("https://creighton-primo.hosted.exlibrisgroup.com/primo-explore/search?tab=default_tab&amp;search_scope=EVERYTHING&amp;vid=01CRU&amp;lang=en_US&amp;offset=0&amp;query=any,contains,991005144699702656","Catalog Record")</f>
        <v/>
      </c>
      <c r="AT146">
        <f>HYPERLINK("http://www.worldcat.org/oclc/7653485","WorldCat Record")</f>
        <v/>
      </c>
      <c r="AU146" t="inlineStr">
        <is>
          <t>472463:eng</t>
        </is>
      </c>
      <c r="AV146" t="inlineStr">
        <is>
          <t>7653485</t>
        </is>
      </c>
      <c r="AW146" t="inlineStr">
        <is>
          <t>991005144699702656</t>
        </is>
      </c>
      <c r="AX146" t="inlineStr">
        <is>
          <t>991005144699702656</t>
        </is>
      </c>
      <c r="AY146" t="inlineStr">
        <is>
          <t>2258656310002656</t>
        </is>
      </c>
      <c r="AZ146" t="inlineStr">
        <is>
          <t>BOOK</t>
        </is>
      </c>
      <c r="BB146" t="inlineStr">
        <is>
          <t>9780398045937</t>
        </is>
      </c>
      <c r="BC146" t="inlineStr">
        <is>
          <t>32285000218973</t>
        </is>
      </c>
      <c r="BD146" t="inlineStr">
        <is>
          <t>893776910</t>
        </is>
      </c>
    </row>
    <row r="147">
      <c r="A147" t="inlineStr">
        <is>
          <t>No</t>
        </is>
      </c>
      <c r="B147" t="inlineStr">
        <is>
          <t>RJ496.S7 A48</t>
        </is>
      </c>
      <c r="C147" t="inlineStr">
        <is>
          <t>0                      RJ 0496000S  7                  A  48</t>
        </is>
      </c>
      <c r="D147" t="inlineStr">
        <is>
          <t>Speech and hearing disorders in children [by] Jerome G. Alpiner.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Alpiner, Jerome G., 1932-</t>
        </is>
      </c>
      <c r="L147" t="inlineStr">
        <is>
          <t>Boston, Houghton Mifflin [1970]</t>
        </is>
      </c>
      <c r="M147" t="inlineStr">
        <is>
          <t>1970</t>
        </is>
      </c>
      <c r="O147" t="inlineStr">
        <is>
          <t>eng</t>
        </is>
      </c>
      <c r="P147" t="inlineStr">
        <is>
          <t>nyu</t>
        </is>
      </c>
      <c r="Q147" t="inlineStr">
        <is>
          <t>Guidance monograph series. Series 5: Guidance and the exceptional student</t>
        </is>
      </c>
      <c r="R147" t="inlineStr">
        <is>
          <t xml:space="preserve">RJ </t>
        </is>
      </c>
      <c r="S147" t="n">
        <v>2</v>
      </c>
      <c r="T147" t="n">
        <v>2</v>
      </c>
      <c r="U147" t="inlineStr">
        <is>
          <t>1999-04-10</t>
        </is>
      </c>
      <c r="V147" t="inlineStr">
        <is>
          <t>1999-04-10</t>
        </is>
      </c>
      <c r="W147" t="inlineStr">
        <is>
          <t>1997-08-12</t>
        </is>
      </c>
      <c r="X147" t="inlineStr">
        <is>
          <t>1997-08-12</t>
        </is>
      </c>
      <c r="Y147" t="n">
        <v>267</v>
      </c>
      <c r="Z147" t="n">
        <v>232</v>
      </c>
      <c r="AA147" t="n">
        <v>235</v>
      </c>
      <c r="AB147" t="n">
        <v>3</v>
      </c>
      <c r="AC147" t="n">
        <v>3</v>
      </c>
      <c r="AD147" t="n">
        <v>10</v>
      </c>
      <c r="AE147" t="n">
        <v>10</v>
      </c>
      <c r="AF147" t="n">
        <v>3</v>
      </c>
      <c r="AG147" t="n">
        <v>3</v>
      </c>
      <c r="AH147" t="n">
        <v>2</v>
      </c>
      <c r="AI147" t="n">
        <v>2</v>
      </c>
      <c r="AJ147" t="n">
        <v>6</v>
      </c>
      <c r="AK147" t="n">
        <v>6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HYPERLINK("http://catalog.hathitrust.org/Record/004414744","HathiTrust Record")</f>
        <v/>
      </c>
      <c r="AS147">
        <f>HYPERLINK("https://creighton-primo.hosted.exlibrisgroup.com/primo-explore/search?tab=default_tab&amp;search_scope=EVERYTHING&amp;vid=01CRU&amp;lang=en_US&amp;offset=0&amp;query=any,contains,991000624389702656","Catalog Record")</f>
        <v/>
      </c>
      <c r="AT147">
        <f>HYPERLINK("http://www.worldcat.org/oclc/103595","WorldCat Record")</f>
        <v/>
      </c>
      <c r="AU147" t="inlineStr">
        <is>
          <t>1179340:eng</t>
        </is>
      </c>
      <c r="AV147" t="inlineStr">
        <is>
          <t>103595</t>
        </is>
      </c>
      <c r="AW147" t="inlineStr">
        <is>
          <t>991000624389702656</t>
        </is>
      </c>
      <c r="AX147" t="inlineStr">
        <is>
          <t>991000624389702656</t>
        </is>
      </c>
      <c r="AY147" t="inlineStr">
        <is>
          <t>2260291300002656</t>
        </is>
      </c>
      <c r="AZ147" t="inlineStr">
        <is>
          <t>BOOK</t>
        </is>
      </c>
      <c r="BC147" t="inlineStr">
        <is>
          <t>32285003093589</t>
        </is>
      </c>
      <c r="BD147" t="inlineStr">
        <is>
          <t>893790704</t>
        </is>
      </c>
    </row>
    <row r="148">
      <c r="A148" t="inlineStr">
        <is>
          <t>No</t>
        </is>
      </c>
      <c r="B148" t="inlineStr">
        <is>
          <t>RJ496.S7 B55</t>
        </is>
      </c>
      <c r="C148" t="inlineStr">
        <is>
          <t>0                      RJ 0496000S  7                  B  55</t>
        </is>
      </c>
      <c r="D148" t="inlineStr">
        <is>
          <t>The practice of speech pathology : a clinical diary / by Robert W. Blakeley.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Blakeley, Robert W. (Robert William), 1924-</t>
        </is>
      </c>
      <c r="L148" t="inlineStr">
        <is>
          <t>Springfield, Ill. : Thomas, [c1972]</t>
        </is>
      </c>
      <c r="M148" t="inlineStr">
        <is>
          <t>1972</t>
        </is>
      </c>
      <c r="O148" t="inlineStr">
        <is>
          <t>eng</t>
        </is>
      </c>
      <c r="P148" t="inlineStr">
        <is>
          <t>ilu</t>
        </is>
      </c>
      <c r="R148" t="inlineStr">
        <is>
          <t xml:space="preserve">RJ </t>
        </is>
      </c>
      <c r="S148" t="n">
        <v>1</v>
      </c>
      <c r="T148" t="n">
        <v>1</v>
      </c>
      <c r="U148" t="inlineStr">
        <is>
          <t>1997-05-08</t>
        </is>
      </c>
      <c r="V148" t="inlineStr">
        <is>
          <t>1997-05-08</t>
        </is>
      </c>
      <c r="W148" t="inlineStr">
        <is>
          <t>1990-12-28</t>
        </is>
      </c>
      <c r="X148" t="inlineStr">
        <is>
          <t>1990-12-28</t>
        </is>
      </c>
      <c r="Y148" t="n">
        <v>196</v>
      </c>
      <c r="Z148" t="n">
        <v>177</v>
      </c>
      <c r="AA148" t="n">
        <v>180</v>
      </c>
      <c r="AB148" t="n">
        <v>3</v>
      </c>
      <c r="AC148" t="n">
        <v>3</v>
      </c>
      <c r="AD148" t="n">
        <v>4</v>
      </c>
      <c r="AE148" t="n">
        <v>4</v>
      </c>
      <c r="AF148" t="n">
        <v>1</v>
      </c>
      <c r="AG148" t="n">
        <v>1</v>
      </c>
      <c r="AH148" t="n">
        <v>0</v>
      </c>
      <c r="AI148" t="n">
        <v>0</v>
      </c>
      <c r="AJ148" t="n">
        <v>2</v>
      </c>
      <c r="AK148" t="n">
        <v>2</v>
      </c>
      <c r="AL148" t="n">
        <v>2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HYPERLINK("http://catalog.hathitrust.org/Record/001588322","HathiTrust Record")</f>
        <v/>
      </c>
      <c r="AS148">
        <f>HYPERLINK("https://creighton-primo.hosted.exlibrisgroup.com/primo-explore/search?tab=default_tab&amp;search_scope=EVERYTHING&amp;vid=01CRU&amp;lang=en_US&amp;offset=0&amp;query=any,contains,991003068099702656","Catalog Record")</f>
        <v/>
      </c>
      <c r="AT148">
        <f>HYPERLINK("http://www.worldcat.org/oclc/623343","WorldCat Record")</f>
        <v/>
      </c>
      <c r="AU148" t="inlineStr">
        <is>
          <t>1704719:eng</t>
        </is>
      </c>
      <c r="AV148" t="inlineStr">
        <is>
          <t>623343</t>
        </is>
      </c>
      <c r="AW148" t="inlineStr">
        <is>
          <t>991003068099702656</t>
        </is>
      </c>
      <c r="AX148" t="inlineStr">
        <is>
          <t>991003068099702656</t>
        </is>
      </c>
      <c r="AY148" t="inlineStr">
        <is>
          <t>2255963600002656</t>
        </is>
      </c>
      <c r="AZ148" t="inlineStr">
        <is>
          <t>BOOK</t>
        </is>
      </c>
      <c r="BB148" t="inlineStr">
        <is>
          <t>9780398025755</t>
        </is>
      </c>
      <c r="BC148" t="inlineStr">
        <is>
          <t>32285000426675</t>
        </is>
      </c>
      <c r="BD148" t="inlineStr">
        <is>
          <t>893899590</t>
        </is>
      </c>
    </row>
    <row r="149">
      <c r="A149" t="inlineStr">
        <is>
          <t>No</t>
        </is>
      </c>
      <c r="B149" t="inlineStr">
        <is>
          <t>RJ496.S7 C66 1984</t>
        </is>
      </c>
      <c r="C149" t="inlineStr">
        <is>
          <t>0                      RJ 0496000S  7                  C  66          1984</t>
        </is>
      </c>
      <c r="D149" t="inlineStr">
        <is>
          <t>Speech disorders in children : recent advances / edited by Janis M. Costello.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L149" t="inlineStr">
        <is>
          <t>San Diego, Calif. : College-Hill Press, c1984.</t>
        </is>
      </c>
      <c r="M149" t="inlineStr">
        <is>
          <t>1984</t>
        </is>
      </c>
      <c r="O149" t="inlineStr">
        <is>
          <t>eng</t>
        </is>
      </c>
      <c r="P149" t="inlineStr">
        <is>
          <t>cau</t>
        </is>
      </c>
      <c r="R149" t="inlineStr">
        <is>
          <t xml:space="preserve">RJ </t>
        </is>
      </c>
      <c r="S149" t="n">
        <v>12</v>
      </c>
      <c r="T149" t="n">
        <v>12</v>
      </c>
      <c r="U149" t="inlineStr">
        <is>
          <t>1999-11-12</t>
        </is>
      </c>
      <c r="V149" t="inlineStr">
        <is>
          <t>1999-11-12</t>
        </is>
      </c>
      <c r="W149" t="inlineStr">
        <is>
          <t>1990-07-02</t>
        </is>
      </c>
      <c r="X149" t="inlineStr">
        <is>
          <t>1990-07-02</t>
        </is>
      </c>
      <c r="Y149" t="n">
        <v>393</v>
      </c>
      <c r="Z149" t="n">
        <v>330</v>
      </c>
      <c r="AA149" t="n">
        <v>337</v>
      </c>
      <c r="AB149" t="n">
        <v>4</v>
      </c>
      <c r="AC149" t="n">
        <v>4</v>
      </c>
      <c r="AD149" t="n">
        <v>14</v>
      </c>
      <c r="AE149" t="n">
        <v>14</v>
      </c>
      <c r="AF149" t="n">
        <v>4</v>
      </c>
      <c r="AG149" t="n">
        <v>4</v>
      </c>
      <c r="AH149" t="n">
        <v>2</v>
      </c>
      <c r="AI149" t="n">
        <v>2</v>
      </c>
      <c r="AJ149" t="n">
        <v>7</v>
      </c>
      <c r="AK149" t="n">
        <v>7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HYPERLINK("http://catalog.hathitrust.org/Record/006257867","HathiTrust Record")</f>
        <v/>
      </c>
      <c r="AS149">
        <f>HYPERLINK("https://creighton-primo.hosted.exlibrisgroup.com/primo-explore/search?tab=default_tab&amp;search_scope=EVERYTHING&amp;vid=01CRU&amp;lang=en_US&amp;offset=0&amp;query=any,contains,991000311659702656","Catalog Record")</f>
        <v/>
      </c>
      <c r="AT149">
        <f>HYPERLINK("http://www.worldcat.org/oclc/10099317","WorldCat Record")</f>
        <v/>
      </c>
      <c r="AU149" t="inlineStr">
        <is>
          <t>3579238:eng</t>
        </is>
      </c>
      <c r="AV149" t="inlineStr">
        <is>
          <t>10099317</t>
        </is>
      </c>
      <c r="AW149" t="inlineStr">
        <is>
          <t>991000311659702656</t>
        </is>
      </c>
      <c r="AX149" t="inlineStr">
        <is>
          <t>991000311659702656</t>
        </is>
      </c>
      <c r="AY149" t="inlineStr">
        <is>
          <t>2265685300002656</t>
        </is>
      </c>
      <c r="AZ149" t="inlineStr">
        <is>
          <t>BOOK</t>
        </is>
      </c>
      <c r="BB149" t="inlineStr">
        <is>
          <t>9780933014909</t>
        </is>
      </c>
      <c r="BC149" t="inlineStr">
        <is>
          <t>32285000218981</t>
        </is>
      </c>
      <c r="BD149" t="inlineStr">
        <is>
          <t>893708276</t>
        </is>
      </c>
    </row>
    <row r="150">
      <c r="A150" t="inlineStr">
        <is>
          <t>No</t>
        </is>
      </c>
      <c r="B150" t="inlineStr">
        <is>
          <t>RJ496.S7 C85 1984</t>
        </is>
      </c>
      <c r="C150" t="inlineStr">
        <is>
          <t>0                      RJ 0496000S  7                  C  85          1984</t>
        </is>
      </c>
      <c r="D150" t="inlineStr">
        <is>
          <t>Articulation disorders : a basic guide to intervention in the schools / Ted Culler.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Culler, Ted, 1948-</t>
        </is>
      </c>
      <c r="L150" t="inlineStr">
        <is>
          <t>Austin, Tex. : Pro-ed, 1984.</t>
        </is>
      </c>
      <c r="M150" t="inlineStr">
        <is>
          <t>1984</t>
        </is>
      </c>
      <c r="O150" t="inlineStr">
        <is>
          <t>eng</t>
        </is>
      </c>
      <c r="P150" t="inlineStr">
        <is>
          <t>txu</t>
        </is>
      </c>
      <c r="R150" t="inlineStr">
        <is>
          <t xml:space="preserve">RJ </t>
        </is>
      </c>
      <c r="S150" t="n">
        <v>4</v>
      </c>
      <c r="T150" t="n">
        <v>4</v>
      </c>
      <c r="U150" t="inlineStr">
        <is>
          <t>1994-04-26</t>
        </is>
      </c>
      <c r="V150" t="inlineStr">
        <is>
          <t>1994-04-26</t>
        </is>
      </c>
      <c r="W150" t="inlineStr">
        <is>
          <t>1992-04-06</t>
        </is>
      </c>
      <c r="X150" t="inlineStr">
        <is>
          <t>1992-04-06</t>
        </is>
      </c>
      <c r="Y150" t="n">
        <v>86</v>
      </c>
      <c r="Z150" t="n">
        <v>81</v>
      </c>
      <c r="AA150" t="n">
        <v>82</v>
      </c>
      <c r="AB150" t="n">
        <v>1</v>
      </c>
      <c r="AC150" t="n">
        <v>1</v>
      </c>
      <c r="AD150" t="n">
        <v>1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1</v>
      </c>
      <c r="AL150" t="n">
        <v>0</v>
      </c>
      <c r="AM150" t="n">
        <v>0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HYPERLINK("http://catalog.hathitrust.org/Record/102092342","HathiTrust Record")</f>
        <v/>
      </c>
      <c r="AS150">
        <f>HYPERLINK("https://creighton-primo.hosted.exlibrisgroup.com/primo-explore/search?tab=default_tab&amp;search_scope=EVERYTHING&amp;vid=01CRU&amp;lang=en_US&amp;offset=0&amp;query=any,contains,991000528469702656","Catalog Record")</f>
        <v/>
      </c>
      <c r="AT150">
        <f>HYPERLINK("http://www.worldcat.org/oclc/11376558","WorldCat Record")</f>
        <v/>
      </c>
      <c r="AU150" t="inlineStr">
        <is>
          <t>3990061:eng</t>
        </is>
      </c>
      <c r="AV150" t="inlineStr">
        <is>
          <t>11376558</t>
        </is>
      </c>
      <c r="AW150" t="inlineStr">
        <is>
          <t>991000528469702656</t>
        </is>
      </c>
      <c r="AX150" t="inlineStr">
        <is>
          <t>991000528469702656</t>
        </is>
      </c>
      <c r="AY150" t="inlineStr">
        <is>
          <t>2255233520002656</t>
        </is>
      </c>
      <c r="AZ150" t="inlineStr">
        <is>
          <t>BOOK</t>
        </is>
      </c>
      <c r="BB150" t="inlineStr">
        <is>
          <t>9780890790786</t>
        </is>
      </c>
      <c r="BC150" t="inlineStr">
        <is>
          <t>32285001051134</t>
        </is>
      </c>
      <c r="BD150" t="inlineStr">
        <is>
          <t>893351563</t>
        </is>
      </c>
    </row>
    <row r="151">
      <c r="A151" t="inlineStr">
        <is>
          <t>No</t>
        </is>
      </c>
      <c r="B151" t="inlineStr">
        <is>
          <t>RJ496.S7 D53</t>
        </is>
      </c>
      <c r="C151" t="inlineStr">
        <is>
          <t>0                      RJ 0496000S  7                  D  53</t>
        </is>
      </c>
      <c r="D151" t="inlineStr">
        <is>
          <t>Articulation learning / by William M. Diedrich and Jeff Bangert.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Diedrich, William M.</t>
        </is>
      </c>
      <c r="L151" t="inlineStr">
        <is>
          <t>Houston, Texas : College Hill Press, 1980.</t>
        </is>
      </c>
      <c r="M151" t="inlineStr">
        <is>
          <t>1980</t>
        </is>
      </c>
      <c r="O151" t="inlineStr">
        <is>
          <t>eng</t>
        </is>
      </c>
      <c r="P151" t="inlineStr">
        <is>
          <t>txu</t>
        </is>
      </c>
      <c r="R151" t="inlineStr">
        <is>
          <t xml:space="preserve">RJ </t>
        </is>
      </c>
      <c r="S151" t="n">
        <v>1</v>
      </c>
      <c r="T151" t="n">
        <v>1</v>
      </c>
      <c r="U151" t="inlineStr">
        <is>
          <t>1995-10-17</t>
        </is>
      </c>
      <c r="V151" t="inlineStr">
        <is>
          <t>1995-10-17</t>
        </is>
      </c>
      <c r="W151" t="inlineStr">
        <is>
          <t>1993-02-25</t>
        </is>
      </c>
      <c r="X151" t="inlineStr">
        <is>
          <t>1993-02-25</t>
        </is>
      </c>
      <c r="Y151" t="n">
        <v>253</v>
      </c>
      <c r="Z151" t="n">
        <v>219</v>
      </c>
      <c r="AA151" t="n">
        <v>224</v>
      </c>
      <c r="AB151" t="n">
        <v>2</v>
      </c>
      <c r="AC151" t="n">
        <v>2</v>
      </c>
      <c r="AD151" t="n">
        <v>6</v>
      </c>
      <c r="AE151" t="n">
        <v>6</v>
      </c>
      <c r="AF151" t="n">
        <v>3</v>
      </c>
      <c r="AG151" t="n">
        <v>3</v>
      </c>
      <c r="AH151" t="n">
        <v>0</v>
      </c>
      <c r="AI151" t="n">
        <v>0</v>
      </c>
      <c r="AJ151" t="n">
        <v>3</v>
      </c>
      <c r="AK151" t="n">
        <v>3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HYPERLINK("https://creighton-primo.hosted.exlibrisgroup.com/primo-explore/search?tab=default_tab&amp;search_scope=EVERYTHING&amp;vid=01CRU&amp;lang=en_US&amp;offset=0&amp;query=any,contains,991004990759702656","Catalog Record")</f>
        <v/>
      </c>
      <c r="AT151">
        <f>HYPERLINK("http://www.worldcat.org/oclc/6487190","WorldCat Record")</f>
        <v/>
      </c>
      <c r="AU151" t="inlineStr">
        <is>
          <t>22532057:eng</t>
        </is>
      </c>
      <c r="AV151" t="inlineStr">
        <is>
          <t>6487190</t>
        </is>
      </c>
      <c r="AW151" t="inlineStr">
        <is>
          <t>991004990759702656</t>
        </is>
      </c>
      <c r="AX151" t="inlineStr">
        <is>
          <t>991004990759702656</t>
        </is>
      </c>
      <c r="AY151" t="inlineStr">
        <is>
          <t>2271786480002656</t>
        </is>
      </c>
      <c r="AZ151" t="inlineStr">
        <is>
          <t>BOOK</t>
        </is>
      </c>
      <c r="BB151" t="inlineStr">
        <is>
          <t>9780933014596</t>
        </is>
      </c>
      <c r="BC151" t="inlineStr">
        <is>
          <t>32285001528818</t>
        </is>
      </c>
      <c r="BD151" t="inlineStr">
        <is>
          <t>893606674</t>
        </is>
      </c>
    </row>
    <row r="152">
      <c r="A152" t="inlineStr">
        <is>
          <t>No</t>
        </is>
      </c>
      <c r="B152" t="inlineStr">
        <is>
          <t>RJ496.S7 D63 1995b</t>
        </is>
      </c>
      <c r="C152" t="inlineStr">
        <is>
          <t>0                      RJ 0496000S  7                  D  63          1995b</t>
        </is>
      </c>
      <c r="D152" t="inlineStr">
        <is>
          <t>The differential diagnosis and treatment of children with speech disorder / Barbara Dodd.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Dodd, Barbara.</t>
        </is>
      </c>
      <c r="L152" t="inlineStr">
        <is>
          <t>San Diego, Calif. : Singular Pub. Group, c1995.</t>
        </is>
      </c>
      <c r="M152" t="inlineStr">
        <is>
          <t>1995</t>
        </is>
      </c>
      <c r="O152" t="inlineStr">
        <is>
          <t>eng</t>
        </is>
      </c>
      <c r="P152" t="inlineStr">
        <is>
          <t>cau</t>
        </is>
      </c>
      <c r="Q152" t="inlineStr">
        <is>
          <t>Studies in disorders of communication</t>
        </is>
      </c>
      <c r="R152" t="inlineStr">
        <is>
          <t xml:space="preserve">RJ </t>
        </is>
      </c>
      <c r="S152" t="n">
        <v>3</v>
      </c>
      <c r="T152" t="n">
        <v>3</v>
      </c>
      <c r="U152" t="inlineStr">
        <is>
          <t>1998-12-05</t>
        </is>
      </c>
      <c r="V152" t="inlineStr">
        <is>
          <t>1998-12-05</t>
        </is>
      </c>
      <c r="W152" t="inlineStr">
        <is>
          <t>1995-03-31</t>
        </is>
      </c>
      <c r="X152" t="inlineStr">
        <is>
          <t>1995-03-31</t>
        </is>
      </c>
      <c r="Y152" t="n">
        <v>110</v>
      </c>
      <c r="Z152" t="n">
        <v>106</v>
      </c>
      <c r="AA152" t="n">
        <v>220</v>
      </c>
      <c r="AB152" t="n">
        <v>2</v>
      </c>
      <c r="AC152" t="n">
        <v>2</v>
      </c>
      <c r="AD152" t="n">
        <v>3</v>
      </c>
      <c r="AE152" t="n">
        <v>5</v>
      </c>
      <c r="AF152" t="n">
        <v>1</v>
      </c>
      <c r="AG152" t="n">
        <v>1</v>
      </c>
      <c r="AH152" t="n">
        <v>0</v>
      </c>
      <c r="AI152" t="n">
        <v>2</v>
      </c>
      <c r="AJ152" t="n">
        <v>1</v>
      </c>
      <c r="AK152" t="n">
        <v>2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HYPERLINK("https://creighton-primo.hosted.exlibrisgroup.com/primo-explore/search?tab=default_tab&amp;search_scope=EVERYTHING&amp;vid=01CRU&amp;lang=en_US&amp;offset=0&amp;query=any,contains,991002452949702656","Catalog Record")</f>
        <v/>
      </c>
      <c r="AT152">
        <f>HYPERLINK("http://www.worldcat.org/oclc/31974432","WorldCat Record")</f>
        <v/>
      </c>
      <c r="AU152" t="inlineStr">
        <is>
          <t>876444:eng</t>
        </is>
      </c>
      <c r="AV152" t="inlineStr">
        <is>
          <t>31974432</t>
        </is>
      </c>
      <c r="AW152" t="inlineStr">
        <is>
          <t>991002452949702656</t>
        </is>
      </c>
      <c r="AX152" t="inlineStr">
        <is>
          <t>991002452949702656</t>
        </is>
      </c>
      <c r="AY152" t="inlineStr">
        <is>
          <t>2268051940002656</t>
        </is>
      </c>
      <c r="AZ152" t="inlineStr">
        <is>
          <t>BOOK</t>
        </is>
      </c>
      <c r="BB152" t="inlineStr">
        <is>
          <t>9781565933668</t>
        </is>
      </c>
      <c r="BC152" t="inlineStr">
        <is>
          <t>32285002015500</t>
        </is>
      </c>
      <c r="BD152" t="inlineStr">
        <is>
          <t>893251254</t>
        </is>
      </c>
    </row>
    <row r="153">
      <c r="A153" t="inlineStr">
        <is>
          <t>No</t>
        </is>
      </c>
      <c r="B153" t="inlineStr">
        <is>
          <t>RJ496.S7 G78</t>
        </is>
      </c>
      <c r="C153" t="inlineStr">
        <is>
          <t>0                      RJ 0496000S  7                  G  78</t>
        </is>
      </c>
      <c r="D153" t="inlineStr">
        <is>
          <t>The nature of phonological disability in children / Pamela Grunwell.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Grunwell, Pamela.</t>
        </is>
      </c>
      <c r="L153" t="inlineStr">
        <is>
          <t>London ; New York : Academic Press, 1981.</t>
        </is>
      </c>
      <c r="M153" t="inlineStr">
        <is>
          <t>1981</t>
        </is>
      </c>
      <c r="O153" t="inlineStr">
        <is>
          <t>eng</t>
        </is>
      </c>
      <c r="P153" t="inlineStr">
        <is>
          <t>enk</t>
        </is>
      </c>
      <c r="Q153" t="inlineStr">
        <is>
          <t>Applied language studies</t>
        </is>
      </c>
      <c r="R153" t="inlineStr">
        <is>
          <t xml:space="preserve">RJ </t>
        </is>
      </c>
      <c r="S153" t="n">
        <v>2</v>
      </c>
      <c r="T153" t="n">
        <v>2</v>
      </c>
      <c r="U153" t="inlineStr">
        <is>
          <t>1993-05-03</t>
        </is>
      </c>
      <c r="V153" t="inlineStr">
        <is>
          <t>1993-05-03</t>
        </is>
      </c>
      <c r="W153" t="inlineStr">
        <is>
          <t>1993-02-25</t>
        </is>
      </c>
      <c r="X153" t="inlineStr">
        <is>
          <t>1993-02-25</t>
        </is>
      </c>
      <c r="Y153" t="n">
        <v>314</v>
      </c>
      <c r="Z153" t="n">
        <v>197</v>
      </c>
      <c r="AA153" t="n">
        <v>198</v>
      </c>
      <c r="AB153" t="n">
        <v>2</v>
      </c>
      <c r="AC153" t="n">
        <v>2</v>
      </c>
      <c r="AD153" t="n">
        <v>6</v>
      </c>
      <c r="AE153" t="n">
        <v>6</v>
      </c>
      <c r="AF153" t="n">
        <v>2</v>
      </c>
      <c r="AG153" t="n">
        <v>2</v>
      </c>
      <c r="AH153" t="n">
        <v>2</v>
      </c>
      <c r="AI153" t="n">
        <v>2</v>
      </c>
      <c r="AJ153" t="n">
        <v>3</v>
      </c>
      <c r="AK153" t="n">
        <v>3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HYPERLINK("http://catalog.hathitrust.org/Record/002194716","HathiTrust Record")</f>
        <v/>
      </c>
      <c r="AS153">
        <f>HYPERLINK("https://creighton-primo.hosted.exlibrisgroup.com/primo-explore/search?tab=default_tab&amp;search_scope=EVERYTHING&amp;vid=01CRU&amp;lang=en_US&amp;offset=0&amp;query=any,contains,991005173609702656","Catalog Record")</f>
        <v/>
      </c>
      <c r="AT153">
        <f>HYPERLINK("http://www.worldcat.org/oclc/7879806","WorldCat Record")</f>
        <v/>
      </c>
      <c r="AU153" t="inlineStr">
        <is>
          <t>409083:eng</t>
        </is>
      </c>
      <c r="AV153" t="inlineStr">
        <is>
          <t>7879806</t>
        </is>
      </c>
      <c r="AW153" t="inlineStr">
        <is>
          <t>991005173609702656</t>
        </is>
      </c>
      <c r="AX153" t="inlineStr">
        <is>
          <t>991005173609702656</t>
        </is>
      </c>
      <c r="AY153" t="inlineStr">
        <is>
          <t>2267530350002656</t>
        </is>
      </c>
      <c r="AZ153" t="inlineStr">
        <is>
          <t>BOOK</t>
        </is>
      </c>
      <c r="BB153" t="inlineStr">
        <is>
          <t>9780123052506</t>
        </is>
      </c>
      <c r="BC153" t="inlineStr">
        <is>
          <t>32285001528826</t>
        </is>
      </c>
      <c r="BD153" t="inlineStr">
        <is>
          <t>893613247</t>
        </is>
      </c>
    </row>
    <row r="154">
      <c r="A154" t="inlineStr">
        <is>
          <t>No</t>
        </is>
      </c>
      <c r="B154" t="inlineStr">
        <is>
          <t>RJ496.S7 I69</t>
        </is>
      </c>
      <c r="C154" t="inlineStr">
        <is>
          <t>0                      RJ 0496000S  7                  I  69</t>
        </is>
      </c>
      <c r="D154" t="inlineStr">
        <is>
          <t>Principles of childhood language disabilities / edited by John V. Irwin [and] Michael Marge.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Irwin, John V.</t>
        </is>
      </c>
      <c r="L154" t="inlineStr">
        <is>
          <t>New York : Appleton-Century-Crofts, [1972]</t>
        </is>
      </c>
      <c r="M154" t="inlineStr">
        <is>
          <t>1972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RJ </t>
        </is>
      </c>
      <c r="S154" t="n">
        <v>2</v>
      </c>
      <c r="T154" t="n">
        <v>2</v>
      </c>
      <c r="U154" t="inlineStr">
        <is>
          <t>1993-04-01</t>
        </is>
      </c>
      <c r="V154" t="inlineStr">
        <is>
          <t>1993-04-01</t>
        </is>
      </c>
      <c r="W154" t="inlineStr">
        <is>
          <t>1992-02-26</t>
        </is>
      </c>
      <c r="X154" t="inlineStr">
        <is>
          <t>1992-02-26</t>
        </is>
      </c>
      <c r="Y154" t="n">
        <v>401</v>
      </c>
      <c r="Z154" t="n">
        <v>320</v>
      </c>
      <c r="AA154" t="n">
        <v>402</v>
      </c>
      <c r="AB154" t="n">
        <v>4</v>
      </c>
      <c r="AC154" t="n">
        <v>4</v>
      </c>
      <c r="AD154" t="n">
        <v>14</v>
      </c>
      <c r="AE154" t="n">
        <v>18</v>
      </c>
      <c r="AF154" t="n">
        <v>3</v>
      </c>
      <c r="AG154" t="n">
        <v>5</v>
      </c>
      <c r="AH154" t="n">
        <v>3</v>
      </c>
      <c r="AI154" t="n">
        <v>4</v>
      </c>
      <c r="AJ154" t="n">
        <v>6</v>
      </c>
      <c r="AK154" t="n">
        <v>8</v>
      </c>
      <c r="AL154" t="n">
        <v>3</v>
      </c>
      <c r="AM154" t="n">
        <v>3</v>
      </c>
      <c r="AN154" t="n">
        <v>1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HYPERLINK("http://catalog.hathitrust.org/Record/010093118","HathiTrust Record")</f>
        <v/>
      </c>
      <c r="AS154">
        <f>HYPERLINK("https://creighton-primo.hosted.exlibrisgroup.com/primo-explore/search?tab=default_tab&amp;search_scope=EVERYTHING&amp;vid=01CRU&amp;lang=en_US&amp;offset=0&amp;query=any,contains,991002695029702656","Catalog Record")</f>
        <v/>
      </c>
      <c r="AT154">
        <f>HYPERLINK("http://www.worldcat.org/oclc/403129","WorldCat Record")</f>
        <v/>
      </c>
      <c r="AU154" t="inlineStr">
        <is>
          <t>1422964:eng</t>
        </is>
      </c>
      <c r="AV154" t="inlineStr">
        <is>
          <t>403129</t>
        </is>
      </c>
      <c r="AW154" t="inlineStr">
        <is>
          <t>991002695029702656</t>
        </is>
      </c>
      <c r="AX154" t="inlineStr">
        <is>
          <t>991002695029702656</t>
        </is>
      </c>
      <c r="AY154" t="inlineStr">
        <is>
          <t>2265346040002656</t>
        </is>
      </c>
      <c r="AZ154" t="inlineStr">
        <is>
          <t>BOOK</t>
        </is>
      </c>
      <c r="BB154" t="inlineStr">
        <is>
          <t>9780390477682</t>
        </is>
      </c>
      <c r="BC154" t="inlineStr">
        <is>
          <t>32285000975465</t>
        </is>
      </c>
      <c r="BD154" t="inlineStr">
        <is>
          <t>893239377</t>
        </is>
      </c>
    </row>
    <row r="155">
      <c r="A155" t="inlineStr">
        <is>
          <t>No</t>
        </is>
      </c>
      <c r="B155" t="inlineStr">
        <is>
          <t>RJ496.S7 J6 1967</t>
        </is>
      </c>
      <c r="C155" t="inlineStr">
        <is>
          <t>0                      RJ 0496000S  7                  J  6           1967</t>
        </is>
      </c>
      <c r="D155" t="inlineStr">
        <is>
          <t>Speech handicapped school children / [by] Wendell Johnson [and others]. Wendell Johnson and Dorothy Moeller, editors.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Johnson, Wendell, 1906-1965.</t>
        </is>
      </c>
      <c r="L155" t="inlineStr">
        <is>
          <t>New York : Harper &amp; Row, [1967]</t>
        </is>
      </c>
      <c r="M155" t="inlineStr">
        <is>
          <t>1967</t>
        </is>
      </c>
      <c r="N155" t="inlineStr">
        <is>
          <t>3d ed.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RJ </t>
        </is>
      </c>
      <c r="S155" t="n">
        <v>2</v>
      </c>
      <c r="T155" t="n">
        <v>2</v>
      </c>
      <c r="U155" t="inlineStr">
        <is>
          <t>1994-10-20</t>
        </is>
      </c>
      <c r="V155" t="inlineStr">
        <is>
          <t>1994-10-20</t>
        </is>
      </c>
      <c r="W155" t="inlineStr">
        <is>
          <t>1993-05-24</t>
        </is>
      </c>
      <c r="X155" t="inlineStr">
        <is>
          <t>1993-05-24</t>
        </is>
      </c>
      <c r="Y155" t="n">
        <v>464</v>
      </c>
      <c r="Z155" t="n">
        <v>386</v>
      </c>
      <c r="AA155" t="n">
        <v>608</v>
      </c>
      <c r="AB155" t="n">
        <v>4</v>
      </c>
      <c r="AC155" t="n">
        <v>8</v>
      </c>
      <c r="AD155" t="n">
        <v>13</v>
      </c>
      <c r="AE155" t="n">
        <v>25</v>
      </c>
      <c r="AF155" t="n">
        <v>2</v>
      </c>
      <c r="AG155" t="n">
        <v>8</v>
      </c>
      <c r="AH155" t="n">
        <v>2</v>
      </c>
      <c r="AI155" t="n">
        <v>4</v>
      </c>
      <c r="AJ155" t="n">
        <v>8</v>
      </c>
      <c r="AK155" t="n">
        <v>15</v>
      </c>
      <c r="AL155" t="n">
        <v>2</v>
      </c>
      <c r="AM155" t="n">
        <v>4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HYPERLINK("http://catalog.hathitrust.org/Record/001563388","HathiTrust Record")</f>
        <v/>
      </c>
      <c r="AS155">
        <f>HYPERLINK("https://creighton-primo.hosted.exlibrisgroup.com/primo-explore/search?tab=default_tab&amp;search_scope=EVERYTHING&amp;vid=01CRU&amp;lang=en_US&amp;offset=0&amp;query=any,contains,991002888539702656","Catalog Record")</f>
        <v/>
      </c>
      <c r="AT155">
        <f>HYPERLINK("http://www.worldcat.org/oclc/510246","WorldCat Record")</f>
        <v/>
      </c>
      <c r="AU155" t="inlineStr">
        <is>
          <t>1471782:eng</t>
        </is>
      </c>
      <c r="AV155" t="inlineStr">
        <is>
          <t>510246</t>
        </is>
      </c>
      <c r="AW155" t="inlineStr">
        <is>
          <t>991002888539702656</t>
        </is>
      </c>
      <c r="AX155" t="inlineStr">
        <is>
          <t>991002888539702656</t>
        </is>
      </c>
      <c r="AY155" t="inlineStr">
        <is>
          <t>2260085320002656</t>
        </is>
      </c>
      <c r="AZ155" t="inlineStr">
        <is>
          <t>BOOK</t>
        </is>
      </c>
      <c r="BC155" t="inlineStr">
        <is>
          <t>32285001692077</t>
        </is>
      </c>
      <c r="BD155" t="inlineStr">
        <is>
          <t>893245776</t>
        </is>
      </c>
    </row>
    <row r="156">
      <c r="A156" t="inlineStr">
        <is>
          <t>No</t>
        </is>
      </c>
      <c r="B156" t="inlineStr">
        <is>
          <t>RJ496.S7 K35</t>
        </is>
      </c>
      <c r="C156" t="inlineStr">
        <is>
          <t>0                      RJ 0496000S  7                  K  35</t>
        </is>
      </c>
      <c r="D156" t="inlineStr">
        <is>
          <t>Development and disorders of speech in childhood / by Isaac W. Karlin, David B. Karlin [and] Louise Gurren.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Karlin, Isaac W., 1897-1962.</t>
        </is>
      </c>
      <c r="L156" t="inlineStr">
        <is>
          <t>Springfield, Ill. : C. C. Thomas, [1965]</t>
        </is>
      </c>
      <c r="M156" t="inlineStr">
        <is>
          <t>1965</t>
        </is>
      </c>
      <c r="O156" t="inlineStr">
        <is>
          <t>eng</t>
        </is>
      </c>
      <c r="P156" t="inlineStr">
        <is>
          <t>ilu</t>
        </is>
      </c>
      <c r="Q156" t="inlineStr">
        <is>
          <t>American lecture series, publication no. 614. A monograph in American lectures in speech and hearing</t>
        </is>
      </c>
      <c r="R156" t="inlineStr">
        <is>
          <t xml:space="preserve">RJ </t>
        </is>
      </c>
      <c r="S156" t="n">
        <v>6</v>
      </c>
      <c r="T156" t="n">
        <v>6</v>
      </c>
      <c r="U156" t="inlineStr">
        <is>
          <t>1997-04-02</t>
        </is>
      </c>
      <c r="V156" t="inlineStr">
        <is>
          <t>1997-04-02</t>
        </is>
      </c>
      <c r="W156" t="inlineStr">
        <is>
          <t>1993-04-29</t>
        </is>
      </c>
      <c r="X156" t="inlineStr">
        <is>
          <t>1993-04-29</t>
        </is>
      </c>
      <c r="Y156" t="n">
        <v>394</v>
      </c>
      <c r="Z156" t="n">
        <v>356</v>
      </c>
      <c r="AA156" t="n">
        <v>380</v>
      </c>
      <c r="AB156" t="n">
        <v>4</v>
      </c>
      <c r="AC156" t="n">
        <v>4</v>
      </c>
      <c r="AD156" t="n">
        <v>13</v>
      </c>
      <c r="AE156" t="n">
        <v>14</v>
      </c>
      <c r="AF156" t="n">
        <v>5</v>
      </c>
      <c r="AG156" t="n">
        <v>5</v>
      </c>
      <c r="AH156" t="n">
        <v>2</v>
      </c>
      <c r="AI156" t="n">
        <v>3</v>
      </c>
      <c r="AJ156" t="n">
        <v>6</v>
      </c>
      <c r="AK156" t="n">
        <v>7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HYPERLINK("http://catalog.hathitrust.org/Record/000880840","HathiTrust Record")</f>
        <v/>
      </c>
      <c r="AS156">
        <f>HYPERLINK("https://creighton-primo.hosted.exlibrisgroup.com/primo-explore/search?tab=default_tab&amp;search_scope=EVERYTHING&amp;vid=01CRU&amp;lang=en_US&amp;offset=0&amp;query=any,contains,991002023689702656","Catalog Record")</f>
        <v/>
      </c>
      <c r="AT156">
        <f>HYPERLINK("http://www.worldcat.org/oclc/259595","WorldCat Record")</f>
        <v/>
      </c>
      <c r="AU156" t="inlineStr">
        <is>
          <t>1365941:eng</t>
        </is>
      </c>
      <c r="AV156" t="inlineStr">
        <is>
          <t>259595</t>
        </is>
      </c>
      <c r="AW156" t="inlineStr">
        <is>
          <t>991002023689702656</t>
        </is>
      </c>
      <c r="AX156" t="inlineStr">
        <is>
          <t>991002023689702656</t>
        </is>
      </c>
      <c r="AY156" t="inlineStr">
        <is>
          <t>2272756180002656</t>
        </is>
      </c>
      <c r="AZ156" t="inlineStr">
        <is>
          <t>BOOK</t>
        </is>
      </c>
      <c r="BC156" t="inlineStr">
        <is>
          <t>32285001630515</t>
        </is>
      </c>
      <c r="BD156" t="inlineStr">
        <is>
          <t>893621823</t>
        </is>
      </c>
    </row>
    <row r="157">
      <c r="A157" t="inlineStr">
        <is>
          <t>No</t>
        </is>
      </c>
      <c r="B157" t="inlineStr">
        <is>
          <t>RJ496.S7 L348</t>
        </is>
      </c>
      <c r="C157" t="inlineStr">
        <is>
          <t>0                      RJ 0496000S  7                  L  348</t>
        </is>
      </c>
      <c r="D157" t="inlineStr">
        <is>
          <t>Language intervention strategies / edited by Richard L. Schiefelbusch ; technical editors, Marilyn Barket, Robert Hoyt.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L157" t="inlineStr">
        <is>
          <t>Baltimore : University Park Press, c1978.</t>
        </is>
      </c>
      <c r="M157" t="inlineStr">
        <is>
          <t>1978</t>
        </is>
      </c>
      <c r="O157" t="inlineStr">
        <is>
          <t>eng</t>
        </is>
      </c>
      <c r="P157" t="inlineStr">
        <is>
          <t>mdu</t>
        </is>
      </c>
      <c r="Q157" t="inlineStr">
        <is>
          <t>Language intervention series ; v. 2</t>
        </is>
      </c>
      <c r="R157" t="inlineStr">
        <is>
          <t xml:space="preserve">RJ </t>
        </is>
      </c>
      <c r="S157" t="n">
        <v>2</v>
      </c>
      <c r="T157" t="n">
        <v>2</v>
      </c>
      <c r="U157" t="inlineStr">
        <is>
          <t>1993-04-01</t>
        </is>
      </c>
      <c r="V157" t="inlineStr">
        <is>
          <t>1993-04-01</t>
        </is>
      </c>
      <c r="W157" t="inlineStr">
        <is>
          <t>1993-02-25</t>
        </is>
      </c>
      <c r="X157" t="inlineStr">
        <is>
          <t>1993-02-25</t>
        </is>
      </c>
      <c r="Y157" t="n">
        <v>358</v>
      </c>
      <c r="Z157" t="n">
        <v>277</v>
      </c>
      <c r="AA157" t="n">
        <v>284</v>
      </c>
      <c r="AB157" t="n">
        <v>3</v>
      </c>
      <c r="AC157" t="n">
        <v>3</v>
      </c>
      <c r="AD157" t="n">
        <v>8</v>
      </c>
      <c r="AE157" t="n">
        <v>8</v>
      </c>
      <c r="AF157" t="n">
        <v>0</v>
      </c>
      <c r="AG157" t="n">
        <v>0</v>
      </c>
      <c r="AH157" t="n">
        <v>3</v>
      </c>
      <c r="AI157" t="n">
        <v>3</v>
      </c>
      <c r="AJ157" t="n">
        <v>4</v>
      </c>
      <c r="AK157" t="n">
        <v>4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HYPERLINK("http://catalog.hathitrust.org/Record/000135441","HathiTrust Record")</f>
        <v/>
      </c>
      <c r="AS157">
        <f>HYPERLINK("https://creighton-primo.hosted.exlibrisgroup.com/primo-explore/search?tab=default_tab&amp;search_scope=EVERYTHING&amp;vid=01CRU&amp;lang=en_US&amp;offset=0&amp;query=any,contains,991004528199702656","Catalog Record")</f>
        <v/>
      </c>
      <c r="AT157">
        <f>HYPERLINK("http://www.worldcat.org/oclc/3844306","WorldCat Record")</f>
        <v/>
      </c>
      <c r="AU157" t="inlineStr">
        <is>
          <t>2864420638:eng</t>
        </is>
      </c>
      <c r="AV157" t="inlineStr">
        <is>
          <t>3844306</t>
        </is>
      </c>
      <c r="AW157" t="inlineStr">
        <is>
          <t>991004528199702656</t>
        </is>
      </c>
      <c r="AX157" t="inlineStr">
        <is>
          <t>991004528199702656</t>
        </is>
      </c>
      <c r="AY157" t="inlineStr">
        <is>
          <t>2264665830002656</t>
        </is>
      </c>
      <c r="AZ157" t="inlineStr">
        <is>
          <t>BOOK</t>
        </is>
      </c>
      <c r="BB157" t="inlineStr">
        <is>
          <t>9780839112389</t>
        </is>
      </c>
      <c r="BC157" t="inlineStr">
        <is>
          <t>32285001528834</t>
        </is>
      </c>
      <c r="BD157" t="inlineStr">
        <is>
          <t>893337850</t>
        </is>
      </c>
    </row>
    <row r="158">
      <c r="A158" t="inlineStr">
        <is>
          <t>No</t>
        </is>
      </c>
      <c r="B158" t="inlineStr">
        <is>
          <t>RJ496.S7 L356</t>
        </is>
      </c>
      <c r="C158" t="inlineStr">
        <is>
          <t>0                      RJ 0496000S  7                  L  356</t>
        </is>
      </c>
      <c r="D158" t="inlineStr">
        <is>
          <t>Communication for the non-verbal child / by Thalia Larson.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Larson, Thalia.</t>
        </is>
      </c>
      <c r="L158" t="inlineStr">
        <is>
          <t>Johnstown, Pa. : Mafex Associates, c1975.</t>
        </is>
      </c>
      <c r="M158" t="inlineStr">
        <is>
          <t>1975</t>
        </is>
      </c>
      <c r="O158" t="inlineStr">
        <is>
          <t>eng</t>
        </is>
      </c>
      <c r="P158" t="inlineStr">
        <is>
          <t>pau</t>
        </is>
      </c>
      <c r="R158" t="inlineStr">
        <is>
          <t xml:space="preserve">RJ </t>
        </is>
      </c>
      <c r="S158" t="n">
        <v>2</v>
      </c>
      <c r="T158" t="n">
        <v>2</v>
      </c>
      <c r="U158" t="inlineStr">
        <is>
          <t>2000-05-18</t>
        </is>
      </c>
      <c r="V158" t="inlineStr">
        <is>
          <t>2000-05-18</t>
        </is>
      </c>
      <c r="W158" t="inlineStr">
        <is>
          <t>1997-08-12</t>
        </is>
      </c>
      <c r="X158" t="inlineStr">
        <is>
          <t>1997-08-12</t>
        </is>
      </c>
      <c r="Y158" t="n">
        <v>63</v>
      </c>
      <c r="Z158" t="n">
        <v>57</v>
      </c>
      <c r="AA158" t="n">
        <v>59</v>
      </c>
      <c r="AB158" t="n">
        <v>2</v>
      </c>
      <c r="AC158" t="n">
        <v>2</v>
      </c>
      <c r="AD158" t="n">
        <v>1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1</v>
      </c>
      <c r="AM158" t="n">
        <v>1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HYPERLINK("http://catalog.hathitrust.org/Record/000038039","HathiTrust Record")</f>
        <v/>
      </c>
      <c r="AS158">
        <f>HYPERLINK("https://creighton-primo.hosted.exlibrisgroup.com/primo-explore/search?tab=default_tab&amp;search_scope=EVERYTHING&amp;vid=01CRU&amp;lang=en_US&amp;offset=0&amp;query=any,contains,991005365129702656","Catalog Record")</f>
        <v/>
      </c>
      <c r="AT158">
        <f>HYPERLINK("http://www.worldcat.org/oclc/1733137","WorldCat Record")</f>
        <v/>
      </c>
      <c r="AU158" t="inlineStr">
        <is>
          <t>2703500:eng</t>
        </is>
      </c>
      <c r="AV158" t="inlineStr">
        <is>
          <t>1733137</t>
        </is>
      </c>
      <c r="AW158" t="inlineStr">
        <is>
          <t>991005365129702656</t>
        </is>
      </c>
      <c r="AX158" t="inlineStr">
        <is>
          <t>991005365129702656</t>
        </is>
      </c>
      <c r="AY158" t="inlineStr">
        <is>
          <t>2256867390002656</t>
        </is>
      </c>
      <c r="AZ158" t="inlineStr">
        <is>
          <t>BOOK</t>
        </is>
      </c>
      <c r="BB158" t="inlineStr">
        <is>
          <t>9780878042548</t>
        </is>
      </c>
      <c r="BC158" t="inlineStr">
        <is>
          <t>32285003093597</t>
        </is>
      </c>
      <c r="BD158" t="inlineStr">
        <is>
          <t>893242634</t>
        </is>
      </c>
    </row>
    <row r="159">
      <c r="A159" t="inlineStr">
        <is>
          <t>No</t>
        </is>
      </c>
      <c r="B159" t="inlineStr">
        <is>
          <t>RJ496.S7 M38 1984</t>
        </is>
      </c>
      <c r="C159" t="inlineStr">
        <is>
          <t>0                      RJ 0496000S  7                  M  38          1984</t>
        </is>
      </c>
      <c r="D159" t="inlineStr">
        <is>
          <t>Speech and language assessment for the bilingual handicapped / Larry J. Mattes and Donald R. Omark.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Mattes, Larry J.</t>
        </is>
      </c>
      <c r="L159" t="inlineStr">
        <is>
          <t>San Diego, Calif. : College-Hill Press, c1984.</t>
        </is>
      </c>
      <c r="M159" t="inlineStr">
        <is>
          <t>1984</t>
        </is>
      </c>
      <c r="O159" t="inlineStr">
        <is>
          <t>eng</t>
        </is>
      </c>
      <c r="P159" t="inlineStr">
        <is>
          <t>cau</t>
        </is>
      </c>
      <c r="R159" t="inlineStr">
        <is>
          <t xml:space="preserve">RJ </t>
        </is>
      </c>
      <c r="S159" t="n">
        <v>3</v>
      </c>
      <c r="T159" t="n">
        <v>3</v>
      </c>
      <c r="U159" t="inlineStr">
        <is>
          <t>1993-04-01</t>
        </is>
      </c>
      <c r="V159" t="inlineStr">
        <is>
          <t>1993-04-01</t>
        </is>
      </c>
      <c r="W159" t="inlineStr">
        <is>
          <t>1993-02-25</t>
        </is>
      </c>
      <c r="X159" t="inlineStr">
        <is>
          <t>1993-02-25</t>
        </is>
      </c>
      <c r="Y159" t="n">
        <v>286</v>
      </c>
      <c r="Z159" t="n">
        <v>244</v>
      </c>
      <c r="AA159" t="n">
        <v>281</v>
      </c>
      <c r="AB159" t="n">
        <v>3</v>
      </c>
      <c r="AC159" t="n">
        <v>3</v>
      </c>
      <c r="AD159" t="n">
        <v>9</v>
      </c>
      <c r="AE159" t="n">
        <v>10</v>
      </c>
      <c r="AF159" t="n">
        <v>2</v>
      </c>
      <c r="AG159" t="n">
        <v>2</v>
      </c>
      <c r="AH159" t="n">
        <v>3</v>
      </c>
      <c r="AI159" t="n">
        <v>4</v>
      </c>
      <c r="AJ159" t="n">
        <v>4</v>
      </c>
      <c r="AK159" t="n">
        <v>4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HYPERLINK("https://creighton-primo.hosted.exlibrisgroup.com/primo-explore/search?tab=default_tab&amp;search_scope=EVERYTHING&amp;vid=01CRU&amp;lang=en_US&amp;offset=0&amp;query=any,contains,991000434429702656","Catalog Record")</f>
        <v/>
      </c>
      <c r="AT159">
        <f>HYPERLINK("http://www.worldcat.org/oclc/10780833","WorldCat Record")</f>
        <v/>
      </c>
      <c r="AU159" t="inlineStr">
        <is>
          <t>3586677:eng</t>
        </is>
      </c>
      <c r="AV159" t="inlineStr">
        <is>
          <t>10780833</t>
        </is>
      </c>
      <c r="AW159" t="inlineStr">
        <is>
          <t>991000434429702656</t>
        </is>
      </c>
      <c r="AX159" t="inlineStr">
        <is>
          <t>991000434429702656</t>
        </is>
      </c>
      <c r="AY159" t="inlineStr">
        <is>
          <t>2255195900002656</t>
        </is>
      </c>
      <c r="AZ159" t="inlineStr">
        <is>
          <t>BOOK</t>
        </is>
      </c>
      <c r="BB159" t="inlineStr">
        <is>
          <t>9780933014015</t>
        </is>
      </c>
      <c r="BC159" t="inlineStr">
        <is>
          <t>32285001528842</t>
        </is>
      </c>
      <c r="BD159" t="inlineStr">
        <is>
          <t>893425698</t>
        </is>
      </c>
    </row>
    <row r="160">
      <c r="A160" t="inlineStr">
        <is>
          <t>No</t>
        </is>
      </c>
      <c r="B160" t="inlineStr">
        <is>
          <t>RJ496.S7 M42</t>
        </is>
      </c>
      <c r="C160" t="inlineStr">
        <is>
          <t>0                      RJ 0496000S  7                  M  42</t>
        </is>
      </c>
      <c r="D160" t="inlineStr">
        <is>
          <t>Language disorders in children : a resource book for speech-language pathologists / by Merlin J. Mecham and Mary Louise Willbrand.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Mecham, Merlin J.</t>
        </is>
      </c>
      <c r="L160" t="inlineStr">
        <is>
          <t>Springfield, Ill. : Thomas, c1979.</t>
        </is>
      </c>
      <c r="M160" t="inlineStr">
        <is>
          <t>1979</t>
        </is>
      </c>
      <c r="O160" t="inlineStr">
        <is>
          <t>eng</t>
        </is>
      </c>
      <c r="P160" t="inlineStr">
        <is>
          <t>ilu</t>
        </is>
      </c>
      <c r="R160" t="inlineStr">
        <is>
          <t xml:space="preserve">RJ </t>
        </is>
      </c>
      <c r="S160" t="n">
        <v>4</v>
      </c>
      <c r="T160" t="n">
        <v>4</v>
      </c>
      <c r="U160" t="inlineStr">
        <is>
          <t>1993-05-03</t>
        </is>
      </c>
      <c r="V160" t="inlineStr">
        <is>
          <t>1993-05-03</t>
        </is>
      </c>
      <c r="W160" t="inlineStr">
        <is>
          <t>1992-02-25</t>
        </is>
      </c>
      <c r="X160" t="inlineStr">
        <is>
          <t>1992-02-25</t>
        </is>
      </c>
      <c r="Y160" t="n">
        <v>206</v>
      </c>
      <c r="Z160" t="n">
        <v>184</v>
      </c>
      <c r="AA160" t="n">
        <v>191</v>
      </c>
      <c r="AB160" t="n">
        <v>3</v>
      </c>
      <c r="AC160" t="n">
        <v>3</v>
      </c>
      <c r="AD160" t="n">
        <v>6</v>
      </c>
      <c r="AE160" t="n">
        <v>6</v>
      </c>
      <c r="AF160" t="n">
        <v>0</v>
      </c>
      <c r="AG160" t="n">
        <v>0</v>
      </c>
      <c r="AH160" t="n">
        <v>2</v>
      </c>
      <c r="AI160" t="n">
        <v>2</v>
      </c>
      <c r="AJ160" t="n">
        <v>3</v>
      </c>
      <c r="AK160" t="n">
        <v>3</v>
      </c>
      <c r="AL160" t="n">
        <v>2</v>
      </c>
      <c r="AM160" t="n">
        <v>2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HYPERLINK("http://catalog.hathitrust.org/Record/000684576","HathiTrust Record")</f>
        <v/>
      </c>
      <c r="AS160">
        <f>HYPERLINK("https://creighton-primo.hosted.exlibrisgroup.com/primo-explore/search?tab=default_tab&amp;search_scope=EVERYTHING&amp;vid=01CRU&amp;lang=en_US&amp;offset=0&amp;query=any,contains,991004658249702656","Catalog Record")</f>
        <v/>
      </c>
      <c r="AT160">
        <f>HYPERLINK("http://www.worldcat.org/oclc/4495908","WorldCat Record")</f>
        <v/>
      </c>
      <c r="AU160" t="inlineStr">
        <is>
          <t>367268547:eng</t>
        </is>
      </c>
      <c r="AV160" t="inlineStr">
        <is>
          <t>4495908</t>
        </is>
      </c>
      <c r="AW160" t="inlineStr">
        <is>
          <t>991004658249702656</t>
        </is>
      </c>
      <c r="AX160" t="inlineStr">
        <is>
          <t>991004658249702656</t>
        </is>
      </c>
      <c r="AY160" t="inlineStr">
        <is>
          <t>2267904170002656</t>
        </is>
      </c>
      <c r="AZ160" t="inlineStr">
        <is>
          <t>BOOK</t>
        </is>
      </c>
      <c r="BB160" t="inlineStr">
        <is>
          <t>9780398038656</t>
        </is>
      </c>
      <c r="BC160" t="inlineStr">
        <is>
          <t>32285000982883</t>
        </is>
      </c>
      <c r="BD160" t="inlineStr">
        <is>
          <t>893350249</t>
        </is>
      </c>
    </row>
    <row r="161">
      <c r="A161" t="inlineStr">
        <is>
          <t>No</t>
        </is>
      </c>
      <c r="B161" t="inlineStr">
        <is>
          <t>RJ496.S7 R66 1996</t>
        </is>
      </c>
      <c r="C161" t="inlineStr">
        <is>
          <t>0                      RJ 0496000S  7                  R  66          1996</t>
        </is>
      </c>
      <c r="D161" t="inlineStr">
        <is>
          <t>Communication intervention : birth to three / Louis M. Rossetti.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Rossetti, Louis Michael.</t>
        </is>
      </c>
      <c r="L161" t="inlineStr">
        <is>
          <t>San Diego : Singular Pub. Co., 1996.</t>
        </is>
      </c>
      <c r="M161" t="inlineStr">
        <is>
          <t>1995</t>
        </is>
      </c>
      <c r="O161" t="inlineStr">
        <is>
          <t>eng</t>
        </is>
      </c>
      <c r="P161" t="inlineStr">
        <is>
          <t>cau</t>
        </is>
      </c>
      <c r="R161" t="inlineStr">
        <is>
          <t xml:space="preserve">RJ </t>
        </is>
      </c>
      <c r="S161" t="n">
        <v>1</v>
      </c>
      <c r="T161" t="n">
        <v>1</v>
      </c>
      <c r="U161" t="inlineStr">
        <is>
          <t>1998-12-05</t>
        </is>
      </c>
      <c r="V161" t="inlineStr">
        <is>
          <t>1998-12-05</t>
        </is>
      </c>
      <c r="W161" t="inlineStr">
        <is>
          <t>1996-02-13</t>
        </is>
      </c>
      <c r="X161" t="inlineStr">
        <is>
          <t>1996-02-13</t>
        </is>
      </c>
      <c r="Y161" t="n">
        <v>177</v>
      </c>
      <c r="Z161" t="n">
        <v>143</v>
      </c>
      <c r="AA161" t="n">
        <v>270</v>
      </c>
      <c r="AB161" t="n">
        <v>3</v>
      </c>
      <c r="AC161" t="n">
        <v>4</v>
      </c>
      <c r="AD161" t="n">
        <v>4</v>
      </c>
      <c r="AE161" t="n">
        <v>9</v>
      </c>
      <c r="AF161" t="n">
        <v>0</v>
      </c>
      <c r="AG161" t="n">
        <v>1</v>
      </c>
      <c r="AH161" t="n">
        <v>1</v>
      </c>
      <c r="AI161" t="n">
        <v>3</v>
      </c>
      <c r="AJ161" t="n">
        <v>1</v>
      </c>
      <c r="AK161" t="n">
        <v>3</v>
      </c>
      <c r="AL161" t="n">
        <v>2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HYPERLINK("http://catalog.hathitrust.org/Record/003049320","HathiTrust Record")</f>
        <v/>
      </c>
      <c r="AS161">
        <f>HYPERLINK("https://creighton-primo.hosted.exlibrisgroup.com/primo-explore/search?tab=default_tab&amp;search_scope=EVERYTHING&amp;vid=01CRU&amp;lang=en_US&amp;offset=0&amp;query=any,contains,991002558909702656","Catalog Record")</f>
        <v/>
      </c>
      <c r="AT161">
        <f>HYPERLINK("http://www.worldcat.org/oclc/33246877","WorldCat Record")</f>
        <v/>
      </c>
      <c r="AU161" t="inlineStr">
        <is>
          <t>20386209:eng</t>
        </is>
      </c>
      <c r="AV161" t="inlineStr">
        <is>
          <t>33246877</t>
        </is>
      </c>
      <c r="AW161" t="inlineStr">
        <is>
          <t>991002558909702656</t>
        </is>
      </c>
      <c r="AX161" t="inlineStr">
        <is>
          <t>991002558909702656</t>
        </is>
      </c>
      <c r="AY161" t="inlineStr">
        <is>
          <t>2259427420002656</t>
        </is>
      </c>
      <c r="AZ161" t="inlineStr">
        <is>
          <t>BOOK</t>
        </is>
      </c>
      <c r="BB161" t="inlineStr">
        <is>
          <t>9781565931015</t>
        </is>
      </c>
      <c r="BC161" t="inlineStr">
        <is>
          <t>32285002129715</t>
        </is>
      </c>
      <c r="BD161" t="inlineStr">
        <is>
          <t>893616276</t>
        </is>
      </c>
    </row>
    <row r="162">
      <c r="A162" t="inlineStr">
        <is>
          <t>No</t>
        </is>
      </c>
      <c r="B162" t="inlineStr">
        <is>
          <t>RJ496.S7 W9</t>
        </is>
      </c>
      <c r="C162" t="inlineStr">
        <is>
          <t>0                      RJ 0496000S  7                  W  9</t>
        </is>
      </c>
      <c r="D162" t="inlineStr">
        <is>
          <t>Language learning and communication disorders in children / [by] Gertrud L. Wyatt.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Wyatt, Gertrud L., 1903-</t>
        </is>
      </c>
      <c r="L162" t="inlineStr">
        <is>
          <t>New York : Free Press, [1969]</t>
        </is>
      </c>
      <c r="M162" t="inlineStr">
        <is>
          <t>1969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RJ </t>
        </is>
      </c>
      <c r="S162" t="n">
        <v>1</v>
      </c>
      <c r="T162" t="n">
        <v>1</v>
      </c>
      <c r="U162" t="inlineStr">
        <is>
          <t>1993-03-25</t>
        </is>
      </c>
      <c r="V162" t="inlineStr">
        <is>
          <t>1993-03-25</t>
        </is>
      </c>
      <c r="W162" t="inlineStr">
        <is>
          <t>1990-12-28</t>
        </is>
      </c>
      <c r="X162" t="inlineStr">
        <is>
          <t>1990-12-28</t>
        </is>
      </c>
      <c r="Y162" t="n">
        <v>631</v>
      </c>
      <c r="Z162" t="n">
        <v>508</v>
      </c>
      <c r="AA162" t="n">
        <v>516</v>
      </c>
      <c r="AB162" t="n">
        <v>7</v>
      </c>
      <c r="AC162" t="n">
        <v>7</v>
      </c>
      <c r="AD162" t="n">
        <v>23</v>
      </c>
      <c r="AE162" t="n">
        <v>23</v>
      </c>
      <c r="AF162" t="n">
        <v>8</v>
      </c>
      <c r="AG162" t="n">
        <v>8</v>
      </c>
      <c r="AH162" t="n">
        <v>4</v>
      </c>
      <c r="AI162" t="n">
        <v>4</v>
      </c>
      <c r="AJ162" t="n">
        <v>9</v>
      </c>
      <c r="AK162" t="n">
        <v>9</v>
      </c>
      <c r="AL162" t="n">
        <v>6</v>
      </c>
      <c r="AM162" t="n">
        <v>6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HYPERLINK("http://catalog.hathitrust.org/Record/001570758","HathiTrust Record")</f>
        <v/>
      </c>
      <c r="AS162">
        <f>HYPERLINK("https://creighton-primo.hosted.exlibrisgroup.com/primo-explore/search?tab=default_tab&amp;search_scope=EVERYTHING&amp;vid=01CRU&amp;lang=en_US&amp;offset=0&amp;query=any,contains,991005433429702656","Catalog Record")</f>
        <v/>
      </c>
      <c r="AT162">
        <f>HYPERLINK("http://www.worldcat.org/oclc/1814","WorldCat Record")</f>
        <v/>
      </c>
      <c r="AU162" t="inlineStr">
        <is>
          <t>2945937046:eng</t>
        </is>
      </c>
      <c r="AV162" t="inlineStr">
        <is>
          <t>1814</t>
        </is>
      </c>
      <c r="AW162" t="inlineStr">
        <is>
          <t>991005433429702656</t>
        </is>
      </c>
      <c r="AX162" t="inlineStr">
        <is>
          <t>991005433429702656</t>
        </is>
      </c>
      <c r="AY162" t="inlineStr">
        <is>
          <t>2271206120002656</t>
        </is>
      </c>
      <c r="AZ162" t="inlineStr">
        <is>
          <t>BOOK</t>
        </is>
      </c>
      <c r="BC162" t="inlineStr">
        <is>
          <t>32285000426683</t>
        </is>
      </c>
      <c r="BD162" t="inlineStr">
        <is>
          <t>893514747</t>
        </is>
      </c>
    </row>
    <row r="163">
      <c r="A163" t="inlineStr">
        <is>
          <t>No</t>
        </is>
      </c>
      <c r="B163" t="inlineStr">
        <is>
          <t>RJ496.S7 Z84</t>
        </is>
      </c>
      <c r="C163" t="inlineStr">
        <is>
          <t>0                      RJ 0496000S  7                  Z  84</t>
        </is>
      </c>
      <c r="D163" t="inlineStr">
        <is>
          <t>The disfluent child : a management program / by Daniel H. Zwitman.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Zwitman, Daniel H., 1943-</t>
        </is>
      </c>
      <c r="L163" t="inlineStr">
        <is>
          <t>Baltimore : University Park Press, c1978.</t>
        </is>
      </c>
      <c r="M163" t="inlineStr">
        <is>
          <t>1978</t>
        </is>
      </c>
      <c r="O163" t="inlineStr">
        <is>
          <t>eng</t>
        </is>
      </c>
      <c r="P163" t="inlineStr">
        <is>
          <t>mdu</t>
        </is>
      </c>
      <c r="R163" t="inlineStr">
        <is>
          <t xml:space="preserve">RJ </t>
        </is>
      </c>
      <c r="S163" t="n">
        <v>2</v>
      </c>
      <c r="T163" t="n">
        <v>2</v>
      </c>
      <c r="U163" t="inlineStr">
        <is>
          <t>1993-04-01</t>
        </is>
      </c>
      <c r="V163" t="inlineStr">
        <is>
          <t>1993-04-01</t>
        </is>
      </c>
      <c r="W163" t="inlineStr">
        <is>
          <t>1993-02-25</t>
        </is>
      </c>
      <c r="X163" t="inlineStr">
        <is>
          <t>1993-02-25</t>
        </is>
      </c>
      <c r="Y163" t="n">
        <v>242</v>
      </c>
      <c r="Z163" t="n">
        <v>196</v>
      </c>
      <c r="AA163" t="n">
        <v>202</v>
      </c>
      <c r="AB163" t="n">
        <v>3</v>
      </c>
      <c r="AC163" t="n">
        <v>3</v>
      </c>
      <c r="AD163" t="n">
        <v>5</v>
      </c>
      <c r="AE163" t="n">
        <v>5</v>
      </c>
      <c r="AF163" t="n">
        <v>1</v>
      </c>
      <c r="AG163" t="n">
        <v>1</v>
      </c>
      <c r="AH163" t="n">
        <v>1</v>
      </c>
      <c r="AI163" t="n">
        <v>1</v>
      </c>
      <c r="AJ163" t="n">
        <v>2</v>
      </c>
      <c r="AK163" t="n">
        <v>2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HYPERLINK("http://catalog.hathitrust.org/Record/102011444","HathiTrust Record")</f>
        <v/>
      </c>
      <c r="AS163">
        <f>HYPERLINK("https://creighton-primo.hosted.exlibrisgroup.com/primo-explore/search?tab=default_tab&amp;search_scope=EVERYTHING&amp;vid=01CRU&amp;lang=en_US&amp;offset=0&amp;query=any,contains,991004525159702656","Catalog Record")</f>
        <v/>
      </c>
      <c r="AT163">
        <f>HYPERLINK("http://www.worldcat.org/oclc/3843159","WorldCat Record")</f>
        <v/>
      </c>
      <c r="AU163" t="inlineStr">
        <is>
          <t>13288314:eng</t>
        </is>
      </c>
      <c r="AV163" t="inlineStr">
        <is>
          <t>3843159</t>
        </is>
      </c>
      <c r="AW163" t="inlineStr">
        <is>
          <t>991004525159702656</t>
        </is>
      </c>
      <c r="AX163" t="inlineStr">
        <is>
          <t>991004525159702656</t>
        </is>
      </c>
      <c r="AY163" t="inlineStr">
        <is>
          <t>2266338900002656</t>
        </is>
      </c>
      <c r="AZ163" t="inlineStr">
        <is>
          <t>BOOK</t>
        </is>
      </c>
      <c r="BB163" t="inlineStr">
        <is>
          <t>9780839112778</t>
        </is>
      </c>
      <c r="BC163" t="inlineStr">
        <is>
          <t>32285001528859</t>
        </is>
      </c>
      <c r="BD163" t="inlineStr">
        <is>
          <t>893519758</t>
        </is>
      </c>
    </row>
    <row r="164">
      <c r="A164" t="inlineStr">
        <is>
          <t>No</t>
        </is>
      </c>
      <c r="B164" t="inlineStr">
        <is>
          <t>RJ496.S74 A53</t>
        </is>
      </c>
      <c r="C164" t="inlineStr">
        <is>
          <t>0                      RJ 0496000S  74                 A  53</t>
        </is>
      </c>
      <c r="D164" t="inlineStr">
        <is>
          <t>The child with spina bifida / Elizabeth M. Anderson and Bernie Spain.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Anderson, Elizabeth M. (Elizabeth Marian)</t>
        </is>
      </c>
      <c r="L164" t="inlineStr">
        <is>
          <t>London : Methuen, 1977.</t>
        </is>
      </c>
      <c r="M164" t="inlineStr">
        <is>
          <t>1977</t>
        </is>
      </c>
      <c r="O164" t="inlineStr">
        <is>
          <t>eng</t>
        </is>
      </c>
      <c r="P164" t="inlineStr">
        <is>
          <t>enk</t>
        </is>
      </c>
      <c r="R164" t="inlineStr">
        <is>
          <t xml:space="preserve">RJ </t>
        </is>
      </c>
      <c r="S164" t="n">
        <v>7</v>
      </c>
      <c r="T164" t="n">
        <v>7</v>
      </c>
      <c r="U164" t="inlineStr">
        <is>
          <t>2003-03-29</t>
        </is>
      </c>
      <c r="V164" t="inlineStr">
        <is>
          <t>2003-03-29</t>
        </is>
      </c>
      <c r="W164" t="inlineStr">
        <is>
          <t>1994-06-01</t>
        </is>
      </c>
      <c r="X164" t="inlineStr">
        <is>
          <t>1994-06-01</t>
        </is>
      </c>
      <c r="Y164" t="n">
        <v>285</v>
      </c>
      <c r="Z164" t="n">
        <v>130</v>
      </c>
      <c r="AA164" t="n">
        <v>178</v>
      </c>
      <c r="AB164" t="n">
        <v>2</v>
      </c>
      <c r="AC164" t="n">
        <v>2</v>
      </c>
      <c r="AD164" t="n">
        <v>2</v>
      </c>
      <c r="AE164" t="n">
        <v>2</v>
      </c>
      <c r="AF164" t="n">
        <v>1</v>
      </c>
      <c r="AG164" t="n">
        <v>1</v>
      </c>
      <c r="AH164" t="n">
        <v>1</v>
      </c>
      <c r="AI164" t="n">
        <v>1</v>
      </c>
      <c r="AJ164" t="n">
        <v>0</v>
      </c>
      <c r="AK164" t="n">
        <v>0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HYPERLINK("https://creighton-primo.hosted.exlibrisgroup.com/primo-explore/search?tab=default_tab&amp;search_scope=EVERYTHING&amp;vid=01CRU&amp;lang=en_US&amp;offset=0&amp;query=any,contains,991004410429702656","Catalog Record")</f>
        <v/>
      </c>
      <c r="AT164">
        <f>HYPERLINK("http://www.worldcat.org/oclc/3337161","WorldCat Record")</f>
        <v/>
      </c>
      <c r="AU164" t="inlineStr">
        <is>
          <t>9957235:eng</t>
        </is>
      </c>
      <c r="AV164" t="inlineStr">
        <is>
          <t>3337161</t>
        </is>
      </c>
      <c r="AW164" t="inlineStr">
        <is>
          <t>991004410429702656</t>
        </is>
      </c>
      <c r="AX164" t="inlineStr">
        <is>
          <t>991004410429702656</t>
        </is>
      </c>
      <c r="AY164" t="inlineStr">
        <is>
          <t>2272760270002656</t>
        </is>
      </c>
      <c r="AZ164" t="inlineStr">
        <is>
          <t>BOOK</t>
        </is>
      </c>
      <c r="BB164" t="inlineStr">
        <is>
          <t>9780416559002</t>
        </is>
      </c>
      <c r="BC164" t="inlineStr">
        <is>
          <t>32285001913606</t>
        </is>
      </c>
      <c r="BD164" t="inlineStr">
        <is>
          <t>893411505</t>
        </is>
      </c>
    </row>
    <row r="165">
      <c r="A165" t="inlineStr">
        <is>
          <t>No</t>
        </is>
      </c>
      <c r="B165" t="inlineStr">
        <is>
          <t>RJ496.S8 A36</t>
        </is>
      </c>
      <c r="C165" t="inlineStr">
        <is>
          <t>0                      RJ 0496000S  8                  A  36</t>
        </is>
      </c>
      <c r="D165" t="inlineStr">
        <is>
          <t>Stuttering : what it is and what to do about it / by Stanley Ainsworth.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Ainsworth, Stanley Humphreys, 1913-</t>
        </is>
      </c>
      <c r="L165" t="inlineStr">
        <is>
          <t>Lincoln, Neb. : Cliffs Notes, [1975]</t>
        </is>
      </c>
      <c r="M165" t="inlineStr">
        <is>
          <t>1975</t>
        </is>
      </c>
      <c r="O165" t="inlineStr">
        <is>
          <t>eng</t>
        </is>
      </c>
      <c r="P165" t="inlineStr">
        <is>
          <t>nbu</t>
        </is>
      </c>
      <c r="Q165" t="inlineStr">
        <is>
          <t>Cliffs speech and hearing series</t>
        </is>
      </c>
      <c r="R165" t="inlineStr">
        <is>
          <t xml:space="preserve">RJ </t>
        </is>
      </c>
      <c r="S165" t="n">
        <v>1</v>
      </c>
      <c r="T165" t="n">
        <v>1</v>
      </c>
      <c r="U165" t="inlineStr">
        <is>
          <t>2001-04-09</t>
        </is>
      </c>
      <c r="V165" t="inlineStr">
        <is>
          <t>2001-04-09</t>
        </is>
      </c>
      <c r="W165" t="inlineStr">
        <is>
          <t>1997-08-12</t>
        </is>
      </c>
      <c r="X165" t="inlineStr">
        <is>
          <t>1997-08-12</t>
        </is>
      </c>
      <c r="Y165" t="n">
        <v>255</v>
      </c>
      <c r="Z165" t="n">
        <v>225</v>
      </c>
      <c r="AA165" t="n">
        <v>232</v>
      </c>
      <c r="AB165" t="n">
        <v>4</v>
      </c>
      <c r="AC165" t="n">
        <v>4</v>
      </c>
      <c r="AD165" t="n">
        <v>10</v>
      </c>
      <c r="AE165" t="n">
        <v>10</v>
      </c>
      <c r="AF165" t="n">
        <v>5</v>
      </c>
      <c r="AG165" t="n">
        <v>5</v>
      </c>
      <c r="AH165" t="n">
        <v>0</v>
      </c>
      <c r="AI165" t="n">
        <v>0</v>
      </c>
      <c r="AJ165" t="n">
        <v>4</v>
      </c>
      <c r="AK165" t="n">
        <v>4</v>
      </c>
      <c r="AL165" t="n">
        <v>3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HYPERLINK("http://catalog.hathitrust.org/Record/000034949","HathiTrust Record")</f>
        <v/>
      </c>
      <c r="AS165">
        <f>HYPERLINK("https://creighton-primo.hosted.exlibrisgroup.com/primo-explore/search?tab=default_tab&amp;search_scope=EVERYTHING&amp;vid=01CRU&amp;lang=en_US&amp;offset=0&amp;query=any,contains,991003691289702656","Catalog Record")</f>
        <v/>
      </c>
      <c r="AT165">
        <f>HYPERLINK("http://www.worldcat.org/oclc/1322248","WorldCat Record")</f>
        <v/>
      </c>
      <c r="AU165" t="inlineStr">
        <is>
          <t>2200751:eng</t>
        </is>
      </c>
      <c r="AV165" t="inlineStr">
        <is>
          <t>1322248</t>
        </is>
      </c>
      <c r="AW165" t="inlineStr">
        <is>
          <t>991003691289702656</t>
        </is>
      </c>
      <c r="AX165" t="inlineStr">
        <is>
          <t>991003691289702656</t>
        </is>
      </c>
      <c r="AY165" t="inlineStr">
        <is>
          <t>2254774340002656</t>
        </is>
      </c>
      <c r="AZ165" t="inlineStr">
        <is>
          <t>BOOK</t>
        </is>
      </c>
      <c r="BB165" t="inlineStr">
        <is>
          <t>9780822018056</t>
        </is>
      </c>
      <c r="BC165" t="inlineStr">
        <is>
          <t>32285003093621</t>
        </is>
      </c>
      <c r="BD165" t="inlineStr">
        <is>
          <t>893429087</t>
        </is>
      </c>
    </row>
    <row r="166">
      <c r="A166" t="inlineStr">
        <is>
          <t>No</t>
        </is>
      </c>
      <c r="B166" t="inlineStr">
        <is>
          <t>RJ499 .A32 1982</t>
        </is>
      </c>
      <c r="C166" t="inlineStr">
        <is>
          <t>0                      RJ 0499000A  32          1982</t>
        </is>
      </c>
      <c r="D166" t="inlineStr">
        <is>
          <t>Developmental psychopathology / Thomas M. Achenbach.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Achenbach, Thomas M., 1940-</t>
        </is>
      </c>
      <c r="L166" t="inlineStr">
        <is>
          <t>New York : Wiley, c1982.</t>
        </is>
      </c>
      <c r="M166" t="inlineStr">
        <is>
          <t>1982</t>
        </is>
      </c>
      <c r="N166" t="inlineStr">
        <is>
          <t>2nd ed.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RJ </t>
        </is>
      </c>
      <c r="S166" t="n">
        <v>4</v>
      </c>
      <c r="T166" t="n">
        <v>4</v>
      </c>
      <c r="U166" t="inlineStr">
        <is>
          <t>1994-04-05</t>
        </is>
      </c>
      <c r="V166" t="inlineStr">
        <is>
          <t>1994-04-05</t>
        </is>
      </c>
      <c r="W166" t="inlineStr">
        <is>
          <t>1993-02-25</t>
        </is>
      </c>
      <c r="X166" t="inlineStr">
        <is>
          <t>1993-02-25</t>
        </is>
      </c>
      <c r="Y166" t="n">
        <v>418</v>
      </c>
      <c r="Z166" t="n">
        <v>309</v>
      </c>
      <c r="AA166" t="n">
        <v>499</v>
      </c>
      <c r="AB166" t="n">
        <v>4</v>
      </c>
      <c r="AC166" t="n">
        <v>6</v>
      </c>
      <c r="AD166" t="n">
        <v>16</v>
      </c>
      <c r="AE166" t="n">
        <v>22</v>
      </c>
      <c r="AF166" t="n">
        <v>2</v>
      </c>
      <c r="AG166" t="n">
        <v>4</v>
      </c>
      <c r="AH166" t="n">
        <v>5</v>
      </c>
      <c r="AI166" t="n">
        <v>6</v>
      </c>
      <c r="AJ166" t="n">
        <v>10</v>
      </c>
      <c r="AK166" t="n">
        <v>13</v>
      </c>
      <c r="AL166" t="n">
        <v>3</v>
      </c>
      <c r="AM166" t="n">
        <v>5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HYPERLINK("http://catalog.hathitrust.org/Record/000114028","HathiTrust Record")</f>
        <v/>
      </c>
      <c r="AS166">
        <f>HYPERLINK("https://creighton-primo.hosted.exlibrisgroup.com/primo-explore/search?tab=default_tab&amp;search_scope=EVERYTHING&amp;vid=01CRU&amp;lang=en_US&amp;offset=0&amp;query=any,contains,991005226749702656","Catalog Record")</f>
        <v/>
      </c>
      <c r="AT166">
        <f>HYPERLINK("http://www.worldcat.org/oclc/8283189","WorldCat Record")</f>
        <v/>
      </c>
      <c r="AU166" t="inlineStr">
        <is>
          <t>3856990145:eng</t>
        </is>
      </c>
      <c r="AV166" t="inlineStr">
        <is>
          <t>8283189</t>
        </is>
      </c>
      <c r="AW166" t="inlineStr">
        <is>
          <t>991005226749702656</t>
        </is>
      </c>
      <c r="AX166" t="inlineStr">
        <is>
          <t>991005226749702656</t>
        </is>
      </c>
      <c r="AY166" t="inlineStr">
        <is>
          <t>2268438640002656</t>
        </is>
      </c>
      <c r="AZ166" t="inlineStr">
        <is>
          <t>BOOK</t>
        </is>
      </c>
      <c r="BB166" t="inlineStr">
        <is>
          <t>9780471055365</t>
        </is>
      </c>
      <c r="BC166" t="inlineStr">
        <is>
          <t>32285001528982</t>
        </is>
      </c>
      <c r="BD166" t="inlineStr">
        <is>
          <t>893877157</t>
        </is>
      </c>
    </row>
    <row r="167">
      <c r="A167" t="inlineStr">
        <is>
          <t>No</t>
        </is>
      </c>
      <c r="B167" t="inlineStr">
        <is>
          <t>RJ499 .A425 1981</t>
        </is>
      </c>
      <c r="C167" t="inlineStr">
        <is>
          <t>0                      RJ 0499000A  425         1981</t>
        </is>
      </c>
      <c r="D167" t="inlineStr">
        <is>
          <t>Childhood behavior disorders : applied research and educational practice / Robert Algozzine, Rex Schmid, Cecil D. Mercer.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Algozzine, Robert.</t>
        </is>
      </c>
      <c r="L167" t="inlineStr">
        <is>
          <t>Rockville, Md. : Aspen Systems Corp., 1981.</t>
        </is>
      </c>
      <c r="M167" t="inlineStr">
        <is>
          <t>1981</t>
        </is>
      </c>
      <c r="O167" t="inlineStr">
        <is>
          <t>eng</t>
        </is>
      </c>
      <c r="P167" t="inlineStr">
        <is>
          <t>mdu</t>
        </is>
      </c>
      <c r="R167" t="inlineStr">
        <is>
          <t xml:space="preserve">RJ </t>
        </is>
      </c>
      <c r="S167" t="n">
        <v>5</v>
      </c>
      <c r="T167" t="n">
        <v>5</v>
      </c>
      <c r="U167" t="inlineStr">
        <is>
          <t>1994-11-09</t>
        </is>
      </c>
      <c r="V167" t="inlineStr">
        <is>
          <t>1994-11-09</t>
        </is>
      </c>
      <c r="W167" t="inlineStr">
        <is>
          <t>1991-12-11</t>
        </is>
      </c>
      <c r="X167" t="inlineStr">
        <is>
          <t>1991-12-11</t>
        </is>
      </c>
      <c r="Y167" t="n">
        <v>345</v>
      </c>
      <c r="Z167" t="n">
        <v>309</v>
      </c>
      <c r="AA167" t="n">
        <v>410</v>
      </c>
      <c r="AB167" t="n">
        <v>4</v>
      </c>
      <c r="AC167" t="n">
        <v>5</v>
      </c>
      <c r="AD167" t="n">
        <v>14</v>
      </c>
      <c r="AE167" t="n">
        <v>15</v>
      </c>
      <c r="AF167" t="n">
        <v>5</v>
      </c>
      <c r="AG167" t="n">
        <v>5</v>
      </c>
      <c r="AH167" t="n">
        <v>1</v>
      </c>
      <c r="AI167" t="n">
        <v>1</v>
      </c>
      <c r="AJ167" t="n">
        <v>8</v>
      </c>
      <c r="AK167" t="n">
        <v>8</v>
      </c>
      <c r="AL167" t="n">
        <v>3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HYPERLINK("http://catalog.hathitrust.org/Record/009917038","HathiTrust Record")</f>
        <v/>
      </c>
      <c r="AS167">
        <f>HYPERLINK("https://creighton-primo.hosted.exlibrisgroup.com/primo-explore/search?tab=default_tab&amp;search_scope=EVERYTHING&amp;vid=01CRU&amp;lang=en_US&amp;offset=0&amp;query=any,contains,991005113019702656","Catalog Record")</f>
        <v/>
      </c>
      <c r="AT167">
        <f>HYPERLINK("http://www.worldcat.org/oclc/7459815","WorldCat Record")</f>
        <v/>
      </c>
      <c r="AU167" t="inlineStr">
        <is>
          <t>551543:eng</t>
        </is>
      </c>
      <c r="AV167" t="inlineStr">
        <is>
          <t>7459815</t>
        </is>
      </c>
      <c r="AW167" t="inlineStr">
        <is>
          <t>991005113019702656</t>
        </is>
      </c>
      <c r="AX167" t="inlineStr">
        <is>
          <t>991005113019702656</t>
        </is>
      </c>
      <c r="AY167" t="inlineStr">
        <is>
          <t>2256427710002656</t>
        </is>
      </c>
      <c r="AZ167" t="inlineStr">
        <is>
          <t>BOOK</t>
        </is>
      </c>
      <c r="BB167" t="inlineStr">
        <is>
          <t>9780894433450</t>
        </is>
      </c>
      <c r="BC167" t="inlineStr">
        <is>
          <t>32285000887025</t>
        </is>
      </c>
      <c r="BD167" t="inlineStr">
        <is>
          <t>893694773</t>
        </is>
      </c>
    </row>
    <row r="168">
      <c r="A168" t="inlineStr">
        <is>
          <t>No</t>
        </is>
      </c>
      <c r="B168" t="inlineStr">
        <is>
          <t>RJ499 .B33</t>
        </is>
      </c>
      <c r="C168" t="inlineStr">
        <is>
          <t>0                      RJ 0499000B  33</t>
        </is>
      </c>
      <c r="D168" t="inlineStr">
        <is>
          <t>Basic handbook of child psychiatry / Joseph D. Noshpitz, editor-in-chief.</t>
        </is>
      </c>
      <c r="E168" t="inlineStr">
        <is>
          <t>V. 1</t>
        </is>
      </c>
      <c r="F168" t="inlineStr">
        <is>
          <t>Yes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New York : Basic Books, c1979.</t>
        </is>
      </c>
      <c r="M168" t="inlineStr">
        <is>
          <t>1979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RJ </t>
        </is>
      </c>
      <c r="S168" t="n">
        <v>0</v>
      </c>
      <c r="T168" t="n">
        <v>5</v>
      </c>
      <c r="V168" t="inlineStr">
        <is>
          <t>1994-04-22</t>
        </is>
      </c>
      <c r="W168" t="inlineStr">
        <is>
          <t>1993-02-25</t>
        </is>
      </c>
      <c r="X168" t="inlineStr">
        <is>
          <t>1993-02-25</t>
        </is>
      </c>
      <c r="Y168" t="n">
        <v>702</v>
      </c>
      <c r="Z168" t="n">
        <v>594</v>
      </c>
      <c r="AA168" t="n">
        <v>601</v>
      </c>
      <c r="AB168" t="n">
        <v>6</v>
      </c>
      <c r="AC168" t="n">
        <v>6</v>
      </c>
      <c r="AD168" t="n">
        <v>12</v>
      </c>
      <c r="AE168" t="n">
        <v>12</v>
      </c>
      <c r="AF168" t="n">
        <v>0</v>
      </c>
      <c r="AG168" t="n">
        <v>0</v>
      </c>
      <c r="AH168" t="n">
        <v>3</v>
      </c>
      <c r="AI168" t="n">
        <v>3</v>
      </c>
      <c r="AJ168" t="n">
        <v>7</v>
      </c>
      <c r="AK168" t="n">
        <v>7</v>
      </c>
      <c r="AL168" t="n">
        <v>3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HYPERLINK("http://catalog.hathitrust.org/Record/000103705","HathiTrust Record")</f>
        <v/>
      </c>
      <c r="AS168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68">
        <f>HYPERLINK("http://www.worldcat.org/oclc/4570504","WorldCat Record")</f>
        <v/>
      </c>
      <c r="AU168" t="inlineStr">
        <is>
          <t>3373729192:eng</t>
        </is>
      </c>
      <c r="AV168" t="inlineStr">
        <is>
          <t>4570504</t>
        </is>
      </c>
      <c r="AW168" t="inlineStr">
        <is>
          <t>991001772539702656</t>
        </is>
      </c>
      <c r="AX168" t="inlineStr">
        <is>
          <t>991001772539702656</t>
        </is>
      </c>
      <c r="AY168" t="inlineStr">
        <is>
          <t>2268206530002656</t>
        </is>
      </c>
      <c r="AZ168" t="inlineStr">
        <is>
          <t>BOOK</t>
        </is>
      </c>
      <c r="BB168" t="inlineStr">
        <is>
          <t>9780465005895</t>
        </is>
      </c>
      <c r="BC168" t="inlineStr">
        <is>
          <t>32285001528990</t>
        </is>
      </c>
      <c r="BD168" t="inlineStr">
        <is>
          <t>893503676</t>
        </is>
      </c>
    </row>
    <row r="169">
      <c r="A169" t="inlineStr">
        <is>
          <t>No</t>
        </is>
      </c>
      <c r="B169" t="inlineStr">
        <is>
          <t>RJ499 .B33</t>
        </is>
      </c>
      <c r="C169" t="inlineStr">
        <is>
          <t>0                      RJ 0499000B  33</t>
        </is>
      </c>
      <c r="D169" t="inlineStr">
        <is>
          <t>Basic handbook of child psychiatry / Joseph D. Noshpitz, editor-in-chief.</t>
        </is>
      </c>
      <c r="E169" t="inlineStr">
        <is>
          <t>V. 4</t>
        </is>
      </c>
      <c r="F169" t="inlineStr">
        <is>
          <t>Yes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New York : Basic Books, c1979.</t>
        </is>
      </c>
      <c r="M169" t="inlineStr">
        <is>
          <t>1979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RJ </t>
        </is>
      </c>
      <c r="S169" t="n">
        <v>0</v>
      </c>
      <c r="T169" t="n">
        <v>5</v>
      </c>
      <c r="V169" t="inlineStr">
        <is>
          <t>1994-04-22</t>
        </is>
      </c>
      <c r="W169" t="inlineStr">
        <is>
          <t>1992-04-03</t>
        </is>
      </c>
      <c r="X169" t="inlineStr">
        <is>
          <t>1993-02-25</t>
        </is>
      </c>
      <c r="Y169" t="n">
        <v>702</v>
      </c>
      <c r="Z169" t="n">
        <v>594</v>
      </c>
      <c r="AA169" t="n">
        <v>601</v>
      </c>
      <c r="AB169" t="n">
        <v>6</v>
      </c>
      <c r="AC169" t="n">
        <v>6</v>
      </c>
      <c r="AD169" t="n">
        <v>12</v>
      </c>
      <c r="AE169" t="n">
        <v>12</v>
      </c>
      <c r="AF169" t="n">
        <v>0</v>
      </c>
      <c r="AG169" t="n">
        <v>0</v>
      </c>
      <c r="AH169" t="n">
        <v>3</v>
      </c>
      <c r="AI169" t="n">
        <v>3</v>
      </c>
      <c r="AJ169" t="n">
        <v>7</v>
      </c>
      <c r="AK169" t="n">
        <v>7</v>
      </c>
      <c r="AL169" t="n">
        <v>3</v>
      </c>
      <c r="AM169" t="n">
        <v>3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HYPERLINK("http://catalog.hathitrust.org/Record/000103705","HathiTrust Record")</f>
        <v/>
      </c>
      <c r="AS169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69">
        <f>HYPERLINK("http://www.worldcat.org/oclc/4570504","WorldCat Record")</f>
        <v/>
      </c>
      <c r="AU169" t="inlineStr">
        <is>
          <t>3373729192:eng</t>
        </is>
      </c>
      <c r="AV169" t="inlineStr">
        <is>
          <t>4570504</t>
        </is>
      </c>
      <c r="AW169" t="inlineStr">
        <is>
          <t>991001772539702656</t>
        </is>
      </c>
      <c r="AX169" t="inlineStr">
        <is>
          <t>991001772539702656</t>
        </is>
      </c>
      <c r="AY169" t="inlineStr">
        <is>
          <t>2268206530002656</t>
        </is>
      </c>
      <c r="AZ169" t="inlineStr">
        <is>
          <t>BOOK</t>
        </is>
      </c>
      <c r="BB169" t="inlineStr">
        <is>
          <t>9780465005895</t>
        </is>
      </c>
      <c r="BC169" t="inlineStr">
        <is>
          <t>32285001033173</t>
        </is>
      </c>
      <c r="BD169" t="inlineStr">
        <is>
          <t>893509905</t>
        </is>
      </c>
    </row>
    <row r="170">
      <c r="A170" t="inlineStr">
        <is>
          <t>No</t>
        </is>
      </c>
      <c r="B170" t="inlineStr">
        <is>
          <t>RJ499 .B33</t>
        </is>
      </c>
      <c r="C170" t="inlineStr">
        <is>
          <t>0                      RJ 0499000B  33</t>
        </is>
      </c>
      <c r="D170" t="inlineStr">
        <is>
          <t>Basic handbook of child psychiatry / Joseph D. Noshpitz, editor-in-chief.</t>
        </is>
      </c>
      <c r="E170" t="inlineStr">
        <is>
          <t>V. 3</t>
        </is>
      </c>
      <c r="F170" t="inlineStr">
        <is>
          <t>Yes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New York : Basic Books, c1979.</t>
        </is>
      </c>
      <c r="M170" t="inlineStr">
        <is>
          <t>1979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RJ </t>
        </is>
      </c>
      <c r="S170" t="n">
        <v>1</v>
      </c>
      <c r="T170" t="n">
        <v>5</v>
      </c>
      <c r="V170" t="inlineStr">
        <is>
          <t>1994-04-22</t>
        </is>
      </c>
      <c r="W170" t="inlineStr">
        <is>
          <t>1993-02-25</t>
        </is>
      </c>
      <c r="X170" t="inlineStr">
        <is>
          <t>1993-02-25</t>
        </is>
      </c>
      <c r="Y170" t="n">
        <v>702</v>
      </c>
      <c r="Z170" t="n">
        <v>594</v>
      </c>
      <c r="AA170" t="n">
        <v>601</v>
      </c>
      <c r="AB170" t="n">
        <v>6</v>
      </c>
      <c r="AC170" t="n">
        <v>6</v>
      </c>
      <c r="AD170" t="n">
        <v>12</v>
      </c>
      <c r="AE170" t="n">
        <v>12</v>
      </c>
      <c r="AF170" t="n">
        <v>0</v>
      </c>
      <c r="AG170" t="n">
        <v>0</v>
      </c>
      <c r="AH170" t="n">
        <v>3</v>
      </c>
      <c r="AI170" t="n">
        <v>3</v>
      </c>
      <c r="AJ170" t="n">
        <v>7</v>
      </c>
      <c r="AK170" t="n">
        <v>7</v>
      </c>
      <c r="AL170" t="n">
        <v>3</v>
      </c>
      <c r="AM170" t="n">
        <v>3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HYPERLINK("http://catalog.hathitrust.org/Record/000103705","HathiTrust Record")</f>
        <v/>
      </c>
      <c r="AS170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70">
        <f>HYPERLINK("http://www.worldcat.org/oclc/4570504","WorldCat Record")</f>
        <v/>
      </c>
      <c r="AU170" t="inlineStr">
        <is>
          <t>3373729192:eng</t>
        </is>
      </c>
      <c r="AV170" t="inlineStr">
        <is>
          <t>4570504</t>
        </is>
      </c>
      <c r="AW170" t="inlineStr">
        <is>
          <t>991001772539702656</t>
        </is>
      </c>
      <c r="AX170" t="inlineStr">
        <is>
          <t>991001772539702656</t>
        </is>
      </c>
      <c r="AY170" t="inlineStr">
        <is>
          <t>2268206530002656</t>
        </is>
      </c>
      <c r="AZ170" t="inlineStr">
        <is>
          <t>BOOK</t>
        </is>
      </c>
      <c r="BB170" t="inlineStr">
        <is>
          <t>9780465005895</t>
        </is>
      </c>
      <c r="BC170" t="inlineStr">
        <is>
          <t>32285001529006</t>
        </is>
      </c>
      <c r="BD170" t="inlineStr">
        <is>
          <t>893522828</t>
        </is>
      </c>
    </row>
    <row r="171">
      <c r="A171" t="inlineStr">
        <is>
          <t>No</t>
        </is>
      </c>
      <c r="B171" t="inlineStr">
        <is>
          <t>RJ499 .B33</t>
        </is>
      </c>
      <c r="C171" t="inlineStr">
        <is>
          <t>0                      RJ 0499000B  33</t>
        </is>
      </c>
      <c r="D171" t="inlineStr">
        <is>
          <t>Basic handbook of child psychiatry / Joseph D. Noshpitz, editor-in-chief.</t>
        </is>
      </c>
      <c r="E171" t="inlineStr">
        <is>
          <t>V. 2</t>
        </is>
      </c>
      <c r="F171" t="inlineStr">
        <is>
          <t>Yes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New York : Basic Books, c1979.</t>
        </is>
      </c>
      <c r="M171" t="inlineStr">
        <is>
          <t>1979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RJ </t>
        </is>
      </c>
      <c r="S171" t="n">
        <v>0</v>
      </c>
      <c r="T171" t="n">
        <v>5</v>
      </c>
      <c r="V171" t="inlineStr">
        <is>
          <t>1994-04-22</t>
        </is>
      </c>
      <c r="W171" t="inlineStr">
        <is>
          <t>1992-04-15</t>
        </is>
      </c>
      <c r="X171" t="inlineStr">
        <is>
          <t>1993-02-25</t>
        </is>
      </c>
      <c r="Y171" t="n">
        <v>702</v>
      </c>
      <c r="Z171" t="n">
        <v>594</v>
      </c>
      <c r="AA171" t="n">
        <v>601</v>
      </c>
      <c r="AB171" t="n">
        <v>6</v>
      </c>
      <c r="AC171" t="n">
        <v>6</v>
      </c>
      <c r="AD171" t="n">
        <v>12</v>
      </c>
      <c r="AE171" t="n">
        <v>12</v>
      </c>
      <c r="AF171" t="n">
        <v>0</v>
      </c>
      <c r="AG171" t="n">
        <v>0</v>
      </c>
      <c r="AH171" t="n">
        <v>3</v>
      </c>
      <c r="AI171" t="n">
        <v>3</v>
      </c>
      <c r="AJ171" t="n">
        <v>7</v>
      </c>
      <c r="AK171" t="n">
        <v>7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HYPERLINK("http://catalog.hathitrust.org/Record/000103705","HathiTrust Record")</f>
        <v/>
      </c>
      <c r="AS171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71">
        <f>HYPERLINK("http://www.worldcat.org/oclc/4570504","WorldCat Record")</f>
        <v/>
      </c>
      <c r="AU171" t="inlineStr">
        <is>
          <t>3373729192:eng</t>
        </is>
      </c>
      <c r="AV171" t="inlineStr">
        <is>
          <t>4570504</t>
        </is>
      </c>
      <c r="AW171" t="inlineStr">
        <is>
          <t>991001772539702656</t>
        </is>
      </c>
      <c r="AX171" t="inlineStr">
        <is>
          <t>991001772539702656</t>
        </is>
      </c>
      <c r="AY171" t="inlineStr">
        <is>
          <t>2268206530002656</t>
        </is>
      </c>
      <c r="AZ171" t="inlineStr">
        <is>
          <t>BOOK</t>
        </is>
      </c>
      <c r="BB171" t="inlineStr">
        <is>
          <t>9780465005895</t>
        </is>
      </c>
      <c r="BC171" t="inlineStr">
        <is>
          <t>32285001060564</t>
        </is>
      </c>
      <c r="BD171" t="inlineStr">
        <is>
          <t>893522829</t>
        </is>
      </c>
    </row>
    <row r="172">
      <c r="A172" t="inlineStr">
        <is>
          <t>No</t>
        </is>
      </c>
      <c r="B172" t="inlineStr">
        <is>
          <t>RJ499 .B387 1986</t>
        </is>
      </c>
      <c r="C172" t="inlineStr">
        <is>
          <t>0                      RJ 0499000B  387         1986</t>
        </is>
      </c>
      <c r="D172" t="inlineStr">
        <is>
          <t>Behavior disorders in infants, children, and adolescents / edited by John M. Reisman.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New York : Random House, c1986.</t>
        </is>
      </c>
      <c r="M172" t="inlineStr">
        <is>
          <t>1986</t>
        </is>
      </c>
      <c r="N172" t="inlineStr">
        <is>
          <t>1st ed.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RJ </t>
        </is>
      </c>
      <c r="S172" t="n">
        <v>14</v>
      </c>
      <c r="T172" t="n">
        <v>14</v>
      </c>
      <c r="U172" t="inlineStr">
        <is>
          <t>1996-04-15</t>
        </is>
      </c>
      <c r="V172" t="inlineStr">
        <is>
          <t>1996-04-15</t>
        </is>
      </c>
      <c r="W172" t="inlineStr">
        <is>
          <t>1992-11-13</t>
        </is>
      </c>
      <c r="X172" t="inlineStr">
        <is>
          <t>1992-11-13</t>
        </is>
      </c>
      <c r="Y172" t="n">
        <v>260</v>
      </c>
      <c r="Z172" t="n">
        <v>212</v>
      </c>
      <c r="AA172" t="n">
        <v>215</v>
      </c>
      <c r="AB172" t="n">
        <v>2</v>
      </c>
      <c r="AC172" t="n">
        <v>2</v>
      </c>
      <c r="AD172" t="n">
        <v>5</v>
      </c>
      <c r="AE172" t="n">
        <v>5</v>
      </c>
      <c r="AF172" t="n">
        <v>1</v>
      </c>
      <c r="AG172" t="n">
        <v>1</v>
      </c>
      <c r="AH172" t="n">
        <v>1</v>
      </c>
      <c r="AI172" t="n">
        <v>1</v>
      </c>
      <c r="AJ172" t="n">
        <v>2</v>
      </c>
      <c r="AK172" t="n">
        <v>2</v>
      </c>
      <c r="AL172" t="n">
        <v>1</v>
      </c>
      <c r="AM172" t="n">
        <v>1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HYPERLINK("http://catalog.hathitrust.org/Record/000811560","HathiTrust Record")</f>
        <v/>
      </c>
      <c r="AS172">
        <f>HYPERLINK("https://creighton-primo.hosted.exlibrisgroup.com/primo-explore/search?tab=default_tab&amp;search_scope=EVERYTHING&amp;vid=01CRU&amp;lang=en_US&amp;offset=0&amp;query=any,contains,991000785359702656","Catalog Record")</f>
        <v/>
      </c>
      <c r="AT172">
        <f>HYPERLINK("http://www.worldcat.org/oclc/13123840","WorldCat Record")</f>
        <v/>
      </c>
      <c r="AU172" t="inlineStr">
        <is>
          <t>5676557:eng</t>
        </is>
      </c>
      <c r="AV172" t="inlineStr">
        <is>
          <t>13123840</t>
        </is>
      </c>
      <c r="AW172" t="inlineStr">
        <is>
          <t>991000785359702656</t>
        </is>
      </c>
      <c r="AX172" t="inlineStr">
        <is>
          <t>991000785359702656</t>
        </is>
      </c>
      <c r="AY172" t="inlineStr">
        <is>
          <t>2256882350002656</t>
        </is>
      </c>
      <c r="AZ172" t="inlineStr">
        <is>
          <t>BOOK</t>
        </is>
      </c>
      <c r="BB172" t="inlineStr">
        <is>
          <t>9780394355764</t>
        </is>
      </c>
      <c r="BC172" t="inlineStr">
        <is>
          <t>32285001384774</t>
        </is>
      </c>
      <c r="BD172" t="inlineStr">
        <is>
          <t>893243578</t>
        </is>
      </c>
    </row>
    <row r="173">
      <c r="A173" t="inlineStr">
        <is>
          <t>No</t>
        </is>
      </c>
      <c r="B173" t="inlineStr">
        <is>
          <t>RJ499 .B57 1982</t>
        </is>
      </c>
      <c r="C173" t="inlineStr">
        <is>
          <t>0                      RJ 0499000B  57          1982</t>
        </is>
      </c>
      <c r="D173" t="inlineStr">
        <is>
          <t>Prescriptions for children with learning and adjustment problems / by Ralph F. Blanco.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Blanco, Ralph F.</t>
        </is>
      </c>
      <c r="L173" t="inlineStr">
        <is>
          <t>Springfield, Ill. : Thomas, c1982.</t>
        </is>
      </c>
      <c r="M173" t="inlineStr">
        <is>
          <t>1982</t>
        </is>
      </c>
      <c r="N173" t="inlineStr">
        <is>
          <t>2nd ed.</t>
        </is>
      </c>
      <c r="O173" t="inlineStr">
        <is>
          <t>eng</t>
        </is>
      </c>
      <c r="P173" t="inlineStr">
        <is>
          <t>ilu</t>
        </is>
      </c>
      <c r="R173" t="inlineStr">
        <is>
          <t xml:space="preserve">RJ </t>
        </is>
      </c>
      <c r="S173" t="n">
        <v>2</v>
      </c>
      <c r="T173" t="n">
        <v>2</v>
      </c>
      <c r="U173" t="inlineStr">
        <is>
          <t>1995-03-15</t>
        </is>
      </c>
      <c r="V173" t="inlineStr">
        <is>
          <t>1995-03-15</t>
        </is>
      </c>
      <c r="W173" t="inlineStr">
        <is>
          <t>1993-02-25</t>
        </is>
      </c>
      <c r="X173" t="inlineStr">
        <is>
          <t>1993-02-25</t>
        </is>
      </c>
      <c r="Y173" t="n">
        <v>222</v>
      </c>
      <c r="Z173" t="n">
        <v>199</v>
      </c>
      <c r="AA173" t="n">
        <v>521</v>
      </c>
      <c r="AB173" t="n">
        <v>3</v>
      </c>
      <c r="AC173" t="n">
        <v>6</v>
      </c>
      <c r="AD173" t="n">
        <v>5</v>
      </c>
      <c r="AE173" t="n">
        <v>19</v>
      </c>
      <c r="AF173" t="n">
        <v>2</v>
      </c>
      <c r="AG173" t="n">
        <v>9</v>
      </c>
      <c r="AH173" t="n">
        <v>0</v>
      </c>
      <c r="AI173" t="n">
        <v>3</v>
      </c>
      <c r="AJ173" t="n">
        <v>1</v>
      </c>
      <c r="AK173" t="n">
        <v>8</v>
      </c>
      <c r="AL173" t="n">
        <v>2</v>
      </c>
      <c r="AM173" t="n">
        <v>4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HYPERLINK("http://catalog.hathitrust.org/Record/000274925","HathiTrust Record")</f>
        <v/>
      </c>
      <c r="AS173">
        <f>HYPERLINK("https://creighton-primo.hosted.exlibrisgroup.com/primo-explore/search?tab=default_tab&amp;search_scope=EVERYTHING&amp;vid=01CRU&amp;lang=en_US&amp;offset=0&amp;query=any,contains,991005115459702656","Catalog Record")</f>
        <v/>
      </c>
      <c r="AT173">
        <f>HYPERLINK("http://www.worldcat.org/oclc/7462066","WorldCat Record")</f>
        <v/>
      </c>
      <c r="AU173" t="inlineStr">
        <is>
          <t>218537:eng</t>
        </is>
      </c>
      <c r="AV173" t="inlineStr">
        <is>
          <t>7462066</t>
        </is>
      </c>
      <c r="AW173" t="inlineStr">
        <is>
          <t>991005115459702656</t>
        </is>
      </c>
      <c r="AX173" t="inlineStr">
        <is>
          <t>991005115459702656</t>
        </is>
      </c>
      <c r="AY173" t="inlineStr">
        <is>
          <t>2262703490002656</t>
        </is>
      </c>
      <c r="AZ173" t="inlineStr">
        <is>
          <t>BOOK</t>
        </is>
      </c>
      <c r="BB173" t="inlineStr">
        <is>
          <t>9780398045111</t>
        </is>
      </c>
      <c r="BC173" t="inlineStr">
        <is>
          <t>32285001529014</t>
        </is>
      </c>
      <c r="BD173" t="inlineStr">
        <is>
          <t>893520450</t>
        </is>
      </c>
    </row>
    <row r="174">
      <c r="A174" t="inlineStr">
        <is>
          <t>No</t>
        </is>
      </c>
      <c r="B174" t="inlineStr">
        <is>
          <t>RJ499 .B87</t>
        </is>
      </c>
      <c r="C174" t="inlineStr">
        <is>
          <t>0                      RJ 0499000B  87</t>
        </is>
      </c>
      <c r="D174" t="inlineStr">
        <is>
          <t>Troubled children in a troubled world.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Buxbaum, Edith.</t>
        </is>
      </c>
      <c r="L174" t="inlineStr">
        <is>
          <t>New York, International Universities Press [1970]</t>
        </is>
      </c>
      <c r="M174" t="inlineStr">
        <is>
          <t>1970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RJ </t>
        </is>
      </c>
      <c r="S174" t="n">
        <v>1</v>
      </c>
      <c r="T174" t="n">
        <v>1</v>
      </c>
      <c r="U174" t="inlineStr">
        <is>
          <t>2003-01-26</t>
        </is>
      </c>
      <c r="V174" t="inlineStr">
        <is>
          <t>2003-01-26</t>
        </is>
      </c>
      <c r="W174" t="inlineStr">
        <is>
          <t>1997-08-12</t>
        </is>
      </c>
      <c r="X174" t="inlineStr">
        <is>
          <t>1997-08-12</t>
        </is>
      </c>
      <c r="Y174" t="n">
        <v>445</v>
      </c>
      <c r="Z174" t="n">
        <v>380</v>
      </c>
      <c r="AA174" t="n">
        <v>383</v>
      </c>
      <c r="AB174" t="n">
        <v>2</v>
      </c>
      <c r="AC174" t="n">
        <v>2</v>
      </c>
      <c r="AD174" t="n">
        <v>12</v>
      </c>
      <c r="AE174" t="n">
        <v>12</v>
      </c>
      <c r="AF174" t="n">
        <v>2</v>
      </c>
      <c r="AG174" t="n">
        <v>2</v>
      </c>
      <c r="AH174" t="n">
        <v>3</v>
      </c>
      <c r="AI174" t="n">
        <v>3</v>
      </c>
      <c r="AJ174" t="n">
        <v>9</v>
      </c>
      <c r="AK174" t="n">
        <v>9</v>
      </c>
      <c r="AL174" t="n">
        <v>1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HYPERLINK("http://catalog.hathitrust.org/Record/001570794","HathiTrust Record")</f>
        <v/>
      </c>
      <c r="AS174">
        <f>HYPERLINK("https://creighton-primo.hosted.exlibrisgroup.com/primo-explore/search?tab=default_tab&amp;search_scope=EVERYTHING&amp;vid=01CRU&amp;lang=en_US&amp;offset=0&amp;query=any,contains,991000663569702656","Catalog Record")</f>
        <v/>
      </c>
      <c r="AT174">
        <f>HYPERLINK("http://www.worldcat.org/oclc/117898","WorldCat Record")</f>
        <v/>
      </c>
      <c r="AU174" t="inlineStr">
        <is>
          <t>489437:eng</t>
        </is>
      </c>
      <c r="AV174" t="inlineStr">
        <is>
          <t>117898</t>
        </is>
      </c>
      <c r="AW174" t="inlineStr">
        <is>
          <t>991000663569702656</t>
        </is>
      </c>
      <c r="AX174" t="inlineStr">
        <is>
          <t>991000663569702656</t>
        </is>
      </c>
      <c r="AY174" t="inlineStr">
        <is>
          <t>2260935660002656</t>
        </is>
      </c>
      <c r="AZ174" t="inlineStr">
        <is>
          <t>BOOK</t>
        </is>
      </c>
      <c r="BC174" t="inlineStr">
        <is>
          <t>32285003093704</t>
        </is>
      </c>
      <c r="BD174" t="inlineStr">
        <is>
          <t>893237503</t>
        </is>
      </c>
    </row>
    <row r="175">
      <c r="A175" t="inlineStr">
        <is>
          <t>No</t>
        </is>
      </c>
      <c r="B175" t="inlineStr">
        <is>
          <t>RJ499 .C26</t>
        </is>
      </c>
      <c r="C175" t="inlineStr">
        <is>
          <t>0                      RJ 0499000C  26</t>
        </is>
      </c>
      <c r="D175" t="inlineStr">
        <is>
          <t>Emotional problems of early childhood.</t>
        </is>
      </c>
      <c r="F175" t="inlineStr">
        <is>
          <t>No</t>
        </is>
      </c>
      <c r="G175" t="inlineStr">
        <is>
          <t>1</t>
        </is>
      </c>
      <c r="H175" t="inlineStr">
        <is>
          <t>Yes</t>
        </is>
      </c>
      <c r="I175" t="inlineStr">
        <is>
          <t>No</t>
        </is>
      </c>
      <c r="J175" t="inlineStr">
        <is>
          <t>0</t>
        </is>
      </c>
      <c r="K175" t="inlineStr">
        <is>
          <t>Caplan, Gerald editor.</t>
        </is>
      </c>
      <c r="L175" t="inlineStr">
        <is>
          <t>New York : Basic Books, [1955]</t>
        </is>
      </c>
      <c r="M175" t="inlineStr">
        <is>
          <t>1955</t>
        </is>
      </c>
      <c r="N175" t="inlineStr">
        <is>
          <t>[1st ed.]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RJ </t>
        </is>
      </c>
      <c r="S175" t="n">
        <v>3</v>
      </c>
      <c r="T175" t="n">
        <v>4</v>
      </c>
      <c r="U175" t="inlineStr">
        <is>
          <t>1997-06-30</t>
        </is>
      </c>
      <c r="V175" t="inlineStr">
        <is>
          <t>1997-06-30</t>
        </is>
      </c>
      <c r="W175" t="inlineStr">
        <is>
          <t>1992-04-01</t>
        </is>
      </c>
      <c r="X175" t="inlineStr">
        <is>
          <t>1992-04-01</t>
        </is>
      </c>
      <c r="Y175" t="n">
        <v>567</v>
      </c>
      <c r="Z175" t="n">
        <v>469</v>
      </c>
      <c r="AA175" t="n">
        <v>535</v>
      </c>
      <c r="AB175" t="n">
        <v>5</v>
      </c>
      <c r="AC175" t="n">
        <v>5</v>
      </c>
      <c r="AD175" t="n">
        <v>20</v>
      </c>
      <c r="AE175" t="n">
        <v>20</v>
      </c>
      <c r="AF175" t="n">
        <v>6</v>
      </c>
      <c r="AG175" t="n">
        <v>6</v>
      </c>
      <c r="AH175" t="n">
        <v>5</v>
      </c>
      <c r="AI175" t="n">
        <v>5</v>
      </c>
      <c r="AJ175" t="n">
        <v>11</v>
      </c>
      <c r="AK175" t="n">
        <v>11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R175">
        <f>HYPERLINK("http://catalog.hathitrust.org/Record/001570797","HathiTrust Record")</f>
        <v/>
      </c>
      <c r="AS175">
        <f>HYPERLINK("https://creighton-primo.hosted.exlibrisgroup.com/primo-explore/search?tab=default_tab&amp;search_scope=EVERYTHING&amp;vid=01CRU&amp;lang=en_US&amp;offset=0&amp;query=any,contains,991001772479702656","Catalog Record")</f>
        <v/>
      </c>
      <c r="AT175">
        <f>HYPERLINK("http://www.worldcat.org/oclc/638204","WorldCat Record")</f>
        <v/>
      </c>
      <c r="AU175" t="inlineStr">
        <is>
          <t>1497478:eng</t>
        </is>
      </c>
      <c r="AV175" t="inlineStr">
        <is>
          <t>638204</t>
        </is>
      </c>
      <c r="AW175" t="inlineStr">
        <is>
          <t>991001772479702656</t>
        </is>
      </c>
      <c r="AX175" t="inlineStr">
        <is>
          <t>991001772479702656</t>
        </is>
      </c>
      <c r="AY175" t="inlineStr">
        <is>
          <t>2259528550002656</t>
        </is>
      </c>
      <c r="AZ175" t="inlineStr">
        <is>
          <t>BOOK</t>
        </is>
      </c>
      <c r="BC175" t="inlineStr">
        <is>
          <t>32285001031623</t>
        </is>
      </c>
      <c r="BD175" t="inlineStr">
        <is>
          <t>893709527</t>
        </is>
      </c>
    </row>
    <row r="176">
      <c r="A176" t="inlineStr">
        <is>
          <t>No</t>
        </is>
      </c>
      <c r="B176" t="inlineStr">
        <is>
          <t>RJ499 .C294</t>
        </is>
      </c>
      <c r="C176" t="inlineStr">
        <is>
          <t>0                      RJ 0499000C  294</t>
        </is>
      </c>
      <c r="D176" t="inlineStr">
        <is>
          <t>Childhood pathology and later adjustment : the question of prediction / Loretta K. Cass, Carolyn B. Thomas.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Cass, Loretta K.</t>
        </is>
      </c>
      <c r="L176" t="inlineStr">
        <is>
          <t>New York : Wiley, c1979.</t>
        </is>
      </c>
      <c r="M176" t="inlineStr">
        <is>
          <t>1979</t>
        </is>
      </c>
      <c r="O176" t="inlineStr">
        <is>
          <t>eng</t>
        </is>
      </c>
      <c r="P176" t="inlineStr">
        <is>
          <t>nyu</t>
        </is>
      </c>
      <c r="Q176" t="inlineStr">
        <is>
          <t>Wiley series on personality processes</t>
        </is>
      </c>
      <c r="R176" t="inlineStr">
        <is>
          <t xml:space="preserve">RJ </t>
        </is>
      </c>
      <c r="S176" t="n">
        <v>3</v>
      </c>
      <c r="T176" t="n">
        <v>3</v>
      </c>
      <c r="U176" t="inlineStr">
        <is>
          <t>1997-12-04</t>
        </is>
      </c>
      <c r="V176" t="inlineStr">
        <is>
          <t>1997-12-04</t>
        </is>
      </c>
      <c r="W176" t="inlineStr">
        <is>
          <t>1993-02-25</t>
        </is>
      </c>
      <c r="X176" t="inlineStr">
        <is>
          <t>1993-02-25</t>
        </is>
      </c>
      <c r="Y176" t="n">
        <v>489</v>
      </c>
      <c r="Z176" t="n">
        <v>403</v>
      </c>
      <c r="AA176" t="n">
        <v>404</v>
      </c>
      <c r="AB176" t="n">
        <v>4</v>
      </c>
      <c r="AC176" t="n">
        <v>4</v>
      </c>
      <c r="AD176" t="n">
        <v>17</v>
      </c>
      <c r="AE176" t="n">
        <v>17</v>
      </c>
      <c r="AF176" t="n">
        <v>3</v>
      </c>
      <c r="AG176" t="n">
        <v>3</v>
      </c>
      <c r="AH176" t="n">
        <v>4</v>
      </c>
      <c r="AI176" t="n">
        <v>4</v>
      </c>
      <c r="AJ176" t="n">
        <v>12</v>
      </c>
      <c r="AK176" t="n">
        <v>12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HYPERLINK("http://catalog.hathitrust.org/Record/006257871","HathiTrust Record")</f>
        <v/>
      </c>
      <c r="AS176">
        <f>HYPERLINK("https://creighton-primo.hosted.exlibrisgroup.com/primo-explore/search?tab=default_tab&amp;search_scope=EVERYTHING&amp;vid=01CRU&amp;lang=en_US&amp;offset=0&amp;query=any,contains,991004645479702656","Catalog Record")</f>
        <v/>
      </c>
      <c r="AT176">
        <f>HYPERLINK("http://www.worldcat.org/oclc/4491538","WorldCat Record")</f>
        <v/>
      </c>
      <c r="AU176" t="inlineStr">
        <is>
          <t>14758203:eng</t>
        </is>
      </c>
      <c r="AV176" t="inlineStr">
        <is>
          <t>4491538</t>
        </is>
      </c>
      <c r="AW176" t="inlineStr">
        <is>
          <t>991004645479702656</t>
        </is>
      </c>
      <c r="AX176" t="inlineStr">
        <is>
          <t>991004645479702656</t>
        </is>
      </c>
      <c r="AY176" t="inlineStr">
        <is>
          <t>2264034840002656</t>
        </is>
      </c>
      <c r="AZ176" t="inlineStr">
        <is>
          <t>BOOK</t>
        </is>
      </c>
      <c r="BB176" t="inlineStr">
        <is>
          <t>9780471045533</t>
        </is>
      </c>
      <c r="BC176" t="inlineStr">
        <is>
          <t>32285001529022</t>
        </is>
      </c>
      <c r="BD176" t="inlineStr">
        <is>
          <t>893612592</t>
        </is>
      </c>
    </row>
    <row r="177">
      <c r="A177" t="inlineStr">
        <is>
          <t>No</t>
        </is>
      </c>
      <c r="B177" t="inlineStr">
        <is>
          <t>RJ499 .C43 1982</t>
        </is>
      </c>
      <c r="C177" t="inlineStr">
        <is>
          <t>0                      RJ 0499000C  43          1982</t>
        </is>
      </c>
      <c r="D177" t="inlineStr">
        <is>
          <t>Children under stress : understanding emotional adjustment reactions / by Louis A. Chandler.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Chandler, Louis A.</t>
        </is>
      </c>
      <c r="L177" t="inlineStr">
        <is>
          <t>Springfield, Ill. : C.C. Thomas, c1982.</t>
        </is>
      </c>
      <c r="M177" t="inlineStr">
        <is>
          <t>1982</t>
        </is>
      </c>
      <c r="O177" t="inlineStr">
        <is>
          <t>eng</t>
        </is>
      </c>
      <c r="P177" t="inlineStr">
        <is>
          <t>ilu</t>
        </is>
      </c>
      <c r="R177" t="inlineStr">
        <is>
          <t xml:space="preserve">RJ </t>
        </is>
      </c>
      <c r="S177" t="n">
        <v>15</v>
      </c>
      <c r="T177" t="n">
        <v>15</v>
      </c>
      <c r="U177" t="inlineStr">
        <is>
          <t>2004-02-24</t>
        </is>
      </c>
      <c r="V177" t="inlineStr">
        <is>
          <t>2004-02-24</t>
        </is>
      </c>
      <c r="W177" t="inlineStr">
        <is>
          <t>1993-02-25</t>
        </is>
      </c>
      <c r="X177" t="inlineStr">
        <is>
          <t>1993-02-25</t>
        </is>
      </c>
      <c r="Y177" t="n">
        <v>215</v>
      </c>
      <c r="Z177" t="n">
        <v>184</v>
      </c>
      <c r="AA177" t="n">
        <v>305</v>
      </c>
      <c r="AB177" t="n">
        <v>2</v>
      </c>
      <c r="AC177" t="n">
        <v>2</v>
      </c>
      <c r="AD177" t="n">
        <v>5</v>
      </c>
      <c r="AE177" t="n">
        <v>8</v>
      </c>
      <c r="AF177" t="n">
        <v>1</v>
      </c>
      <c r="AG177" t="n">
        <v>2</v>
      </c>
      <c r="AH177" t="n">
        <v>2</v>
      </c>
      <c r="AI177" t="n">
        <v>2</v>
      </c>
      <c r="AJ177" t="n">
        <v>2</v>
      </c>
      <c r="AK177" t="n">
        <v>5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HYPERLINK("http://catalog.hathitrust.org/Record/000762815","HathiTrust Record")</f>
        <v/>
      </c>
      <c r="AS177">
        <f>HYPERLINK("https://creighton-primo.hosted.exlibrisgroup.com/primo-explore/search?tab=default_tab&amp;search_scope=EVERYTHING&amp;vid=01CRU&amp;lang=en_US&amp;offset=0&amp;query=any,contains,991005166689702656","Catalog Record")</f>
        <v/>
      </c>
      <c r="AT177">
        <f>HYPERLINK("http://www.worldcat.org/oclc/7836134","WorldCat Record")</f>
        <v/>
      </c>
      <c r="AU177" t="inlineStr">
        <is>
          <t>4890345:eng</t>
        </is>
      </c>
      <c r="AV177" t="inlineStr">
        <is>
          <t>7836134</t>
        </is>
      </c>
      <c r="AW177" t="inlineStr">
        <is>
          <t>991005166689702656</t>
        </is>
      </c>
      <c r="AX177" t="inlineStr">
        <is>
          <t>991005166689702656</t>
        </is>
      </c>
      <c r="AY177" t="inlineStr">
        <is>
          <t>2255351750002656</t>
        </is>
      </c>
      <c r="AZ177" t="inlineStr">
        <is>
          <t>BOOK</t>
        </is>
      </c>
      <c r="BB177" t="inlineStr">
        <is>
          <t>9780398046170</t>
        </is>
      </c>
      <c r="BC177" t="inlineStr">
        <is>
          <t>32285001529030</t>
        </is>
      </c>
      <c r="BD177" t="inlineStr">
        <is>
          <t>893254571</t>
        </is>
      </c>
    </row>
    <row r="178">
      <c r="A178" t="inlineStr">
        <is>
          <t>No</t>
        </is>
      </c>
      <c r="B178" t="inlineStr">
        <is>
          <t>RJ499 .C45</t>
        </is>
      </c>
      <c r="C178" t="inlineStr">
        <is>
          <t>0                      RJ 0499000C  45</t>
        </is>
      </c>
      <c r="D178" t="inlineStr">
        <is>
          <t>Management of emotional problems of children and adolescents [by] A. H. Chapman.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Chapman, A. H. (Arthur Harry), 1924-</t>
        </is>
      </c>
      <c r="L178" t="inlineStr">
        <is>
          <t>Philadelphia, Lippincott [1965]</t>
        </is>
      </c>
      <c r="M178" t="inlineStr">
        <is>
          <t>1965</t>
        </is>
      </c>
      <c r="O178" t="inlineStr">
        <is>
          <t>eng</t>
        </is>
      </c>
      <c r="P178" t="inlineStr">
        <is>
          <t>pau</t>
        </is>
      </c>
      <c r="R178" t="inlineStr">
        <is>
          <t xml:space="preserve">RJ </t>
        </is>
      </c>
      <c r="S178" t="n">
        <v>3</v>
      </c>
      <c r="T178" t="n">
        <v>3</v>
      </c>
      <c r="U178" t="inlineStr">
        <is>
          <t>1997-06-30</t>
        </is>
      </c>
      <c r="V178" t="inlineStr">
        <is>
          <t>1997-06-30</t>
        </is>
      </c>
      <c r="W178" t="inlineStr">
        <is>
          <t>1992-02-21</t>
        </is>
      </c>
      <c r="X178" t="inlineStr">
        <is>
          <t>1992-02-21</t>
        </is>
      </c>
      <c r="Y178" t="n">
        <v>292</v>
      </c>
      <c r="Z178" t="n">
        <v>234</v>
      </c>
      <c r="AA178" t="n">
        <v>376</v>
      </c>
      <c r="AB178" t="n">
        <v>3</v>
      </c>
      <c r="AC178" t="n">
        <v>5</v>
      </c>
      <c r="AD178" t="n">
        <v>12</v>
      </c>
      <c r="AE178" t="n">
        <v>15</v>
      </c>
      <c r="AF178" t="n">
        <v>3</v>
      </c>
      <c r="AG178" t="n">
        <v>5</v>
      </c>
      <c r="AH178" t="n">
        <v>2</v>
      </c>
      <c r="AI178" t="n">
        <v>2</v>
      </c>
      <c r="AJ178" t="n">
        <v>8</v>
      </c>
      <c r="AK178" t="n">
        <v>8</v>
      </c>
      <c r="AL178" t="n">
        <v>2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HYPERLINK("http://catalog.hathitrust.org/Record/001570799","HathiTrust Record")</f>
        <v/>
      </c>
      <c r="AS178">
        <f>HYPERLINK("https://creighton-primo.hosted.exlibrisgroup.com/primo-explore/search?tab=default_tab&amp;search_scope=EVERYTHING&amp;vid=01CRU&amp;lang=en_US&amp;offset=0&amp;query=any,contains,991003230879702656","Catalog Record")</f>
        <v/>
      </c>
      <c r="AT178">
        <f>HYPERLINK("http://www.worldcat.org/oclc/755758","WorldCat Record")</f>
        <v/>
      </c>
      <c r="AU178" t="inlineStr">
        <is>
          <t>1604124:eng</t>
        </is>
      </c>
      <c r="AV178" t="inlineStr">
        <is>
          <t>755758</t>
        </is>
      </c>
      <c r="AW178" t="inlineStr">
        <is>
          <t>991003230879702656</t>
        </is>
      </c>
      <c r="AX178" t="inlineStr">
        <is>
          <t>991003230879702656</t>
        </is>
      </c>
      <c r="AY178" t="inlineStr">
        <is>
          <t>2267012120002656</t>
        </is>
      </c>
      <c r="AZ178" t="inlineStr">
        <is>
          <t>BOOK</t>
        </is>
      </c>
      <c r="BC178" t="inlineStr">
        <is>
          <t>32285000948496</t>
        </is>
      </c>
      <c r="BD178" t="inlineStr">
        <is>
          <t>893317775</t>
        </is>
      </c>
    </row>
    <row r="179">
      <c r="A179" t="inlineStr">
        <is>
          <t>No</t>
        </is>
      </c>
      <c r="B179" t="inlineStr">
        <is>
          <t>RJ499 .C4728 1984</t>
        </is>
      </c>
      <c r="C179" t="inlineStr">
        <is>
          <t>0                      RJ 0499000C  4728        1984</t>
        </is>
      </c>
      <c r="D179" t="inlineStr">
        <is>
          <t>Origins and evolution of behavior disorders : from infancy to early adult life / Stella Chess, Alexander Thomas.</t>
        </is>
      </c>
      <c r="F179" t="inlineStr">
        <is>
          <t>No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Chess, Stella.</t>
        </is>
      </c>
      <c r="L179" t="inlineStr">
        <is>
          <t>New York : Brunner/Mazel, c1984.</t>
        </is>
      </c>
      <c r="M179" t="inlineStr">
        <is>
          <t>1984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RJ </t>
        </is>
      </c>
      <c r="S179" t="n">
        <v>5</v>
      </c>
      <c r="T179" t="n">
        <v>5</v>
      </c>
      <c r="U179" t="inlineStr">
        <is>
          <t>1999-11-13</t>
        </is>
      </c>
      <c r="V179" t="inlineStr">
        <is>
          <t>1999-11-13</t>
        </is>
      </c>
      <c r="W179" t="inlineStr">
        <is>
          <t>1993-02-25</t>
        </is>
      </c>
      <c r="X179" t="inlineStr">
        <is>
          <t>1993-02-25</t>
        </is>
      </c>
      <c r="Y179" t="n">
        <v>506</v>
      </c>
      <c r="Z179" t="n">
        <v>425</v>
      </c>
      <c r="AA179" t="n">
        <v>496</v>
      </c>
      <c r="AB179" t="n">
        <v>4</v>
      </c>
      <c r="AC179" t="n">
        <v>5</v>
      </c>
      <c r="AD179" t="n">
        <v>16</v>
      </c>
      <c r="AE179" t="n">
        <v>20</v>
      </c>
      <c r="AF179" t="n">
        <v>6</v>
      </c>
      <c r="AG179" t="n">
        <v>7</v>
      </c>
      <c r="AH179" t="n">
        <v>2</v>
      </c>
      <c r="AI179" t="n">
        <v>2</v>
      </c>
      <c r="AJ179" t="n">
        <v>10</v>
      </c>
      <c r="AK179" t="n">
        <v>12</v>
      </c>
      <c r="AL179" t="n">
        <v>2</v>
      </c>
      <c r="AM179" t="n">
        <v>3</v>
      </c>
      <c r="AN179" t="n">
        <v>0</v>
      </c>
      <c r="AO179" t="n">
        <v>1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HYPERLINK("http://catalog.hathitrust.org/Record/000332416","HathiTrust Record")</f>
        <v/>
      </c>
      <c r="AS179">
        <f>HYPERLINK("https://creighton-primo.hosted.exlibrisgroup.com/primo-explore/search?tab=default_tab&amp;search_scope=EVERYTHING&amp;vid=01CRU&amp;lang=en_US&amp;offset=0&amp;query=any,contains,991000457509702656","Catalog Record")</f>
        <v/>
      </c>
      <c r="AT179">
        <f>HYPERLINK("http://www.worldcat.org/oclc/10914913","WorldCat Record")</f>
        <v/>
      </c>
      <c r="AU179" t="inlineStr">
        <is>
          <t>3252362:eng</t>
        </is>
      </c>
      <c r="AV179" t="inlineStr">
        <is>
          <t>10914913</t>
        </is>
      </c>
      <c r="AW179" t="inlineStr">
        <is>
          <t>991000457509702656</t>
        </is>
      </c>
      <c r="AX179" t="inlineStr">
        <is>
          <t>991000457509702656</t>
        </is>
      </c>
      <c r="AY179" t="inlineStr">
        <is>
          <t>2255941080002656</t>
        </is>
      </c>
      <c r="AZ179" t="inlineStr">
        <is>
          <t>BOOK</t>
        </is>
      </c>
      <c r="BB179" t="inlineStr">
        <is>
          <t>9780876303689</t>
        </is>
      </c>
      <c r="BC179" t="inlineStr">
        <is>
          <t>32285001529048</t>
        </is>
      </c>
      <c r="BD179" t="inlineStr">
        <is>
          <t>893890694</t>
        </is>
      </c>
    </row>
    <row r="180">
      <c r="A180" t="inlineStr">
        <is>
          <t>No</t>
        </is>
      </c>
      <c r="B180" t="inlineStr">
        <is>
          <t>RJ499 .C473</t>
        </is>
      </c>
      <c r="C180" t="inlineStr">
        <is>
          <t>0                      RJ 0499000C  473</t>
        </is>
      </c>
      <c r="D180" t="inlineStr">
        <is>
          <t>Principles and practice of child psychiatry / Stella Chess and Mahin Hassibi. --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Yes</t>
        </is>
      </c>
      <c r="J180" t="inlineStr">
        <is>
          <t>0</t>
        </is>
      </c>
      <c r="K180" t="inlineStr">
        <is>
          <t>Chess, Stella.</t>
        </is>
      </c>
      <c r="L180" t="inlineStr">
        <is>
          <t>New York : Plenum Press, c1978.</t>
        </is>
      </c>
      <c r="M180" t="inlineStr">
        <is>
          <t>1978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RJ </t>
        </is>
      </c>
      <c r="S180" t="n">
        <v>2</v>
      </c>
      <c r="T180" t="n">
        <v>2</v>
      </c>
      <c r="U180" t="inlineStr">
        <is>
          <t>1998-09-28</t>
        </is>
      </c>
      <c r="V180" t="inlineStr">
        <is>
          <t>1998-09-28</t>
        </is>
      </c>
      <c r="W180" t="inlineStr">
        <is>
          <t>1993-02-25</t>
        </is>
      </c>
      <c r="X180" t="inlineStr">
        <is>
          <t>1993-02-25</t>
        </is>
      </c>
      <c r="Y180" t="n">
        <v>299</v>
      </c>
      <c r="Z180" t="n">
        <v>220</v>
      </c>
      <c r="AA180" t="n">
        <v>322</v>
      </c>
      <c r="AB180" t="n">
        <v>2</v>
      </c>
      <c r="AC180" t="n">
        <v>3</v>
      </c>
      <c r="AD180" t="n">
        <v>7</v>
      </c>
      <c r="AE180" t="n">
        <v>10</v>
      </c>
      <c r="AF180" t="n">
        <v>2</v>
      </c>
      <c r="AG180" t="n">
        <v>2</v>
      </c>
      <c r="AH180" t="n">
        <v>2</v>
      </c>
      <c r="AI180" t="n">
        <v>2</v>
      </c>
      <c r="AJ180" t="n">
        <v>4</v>
      </c>
      <c r="AK180" t="n">
        <v>7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HYPERLINK("https://creighton-primo.hosted.exlibrisgroup.com/primo-explore/search?tab=default_tab&amp;search_scope=EVERYTHING&amp;vid=01CRU&amp;lang=en_US&amp;offset=0&amp;query=any,contains,991005257649702656","Catalog Record")</f>
        <v/>
      </c>
      <c r="AT180">
        <f>HYPERLINK("http://www.worldcat.org/oclc/3649855","WorldCat Record")</f>
        <v/>
      </c>
      <c r="AU180" t="inlineStr">
        <is>
          <t>7008193:eng</t>
        </is>
      </c>
      <c r="AV180" t="inlineStr">
        <is>
          <t>3649855</t>
        </is>
      </c>
      <c r="AW180" t="inlineStr">
        <is>
          <t>991005257649702656</t>
        </is>
      </c>
      <c r="AX180" t="inlineStr">
        <is>
          <t>991005257649702656</t>
        </is>
      </c>
      <c r="AY180" t="inlineStr">
        <is>
          <t>2255875450002656</t>
        </is>
      </c>
      <c r="AZ180" t="inlineStr">
        <is>
          <t>BOOK</t>
        </is>
      </c>
      <c r="BB180" t="inlineStr">
        <is>
          <t>9780306311314</t>
        </is>
      </c>
      <c r="BC180" t="inlineStr">
        <is>
          <t>32285001529055</t>
        </is>
      </c>
      <c r="BD180" t="inlineStr">
        <is>
          <t>893507867</t>
        </is>
      </c>
    </row>
    <row r="181">
      <c r="A181" t="inlineStr">
        <is>
          <t>No</t>
        </is>
      </c>
      <c r="B181" t="inlineStr">
        <is>
          <t>RJ499 .C4822 1990</t>
        </is>
      </c>
      <c r="C181" t="inlineStr">
        <is>
          <t>0                      RJ 0499000C  4822        1990</t>
        </is>
      </c>
      <c r="D181" t="inlineStr">
        <is>
          <t>Child and adolescent disorders : developmental and health psychology perspectives / edited by Sam B. Morgan, Theresa M. Okwumabua.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Hillsdale, N.J. : L. Erlbaum Associates, c1990.</t>
        </is>
      </c>
      <c r="M181" t="inlineStr">
        <is>
          <t>1990</t>
        </is>
      </c>
      <c r="O181" t="inlineStr">
        <is>
          <t>eng</t>
        </is>
      </c>
      <c r="P181" t="inlineStr">
        <is>
          <t>nju</t>
        </is>
      </c>
      <c r="R181" t="inlineStr">
        <is>
          <t xml:space="preserve">RJ </t>
        </is>
      </c>
      <c r="S181" t="n">
        <v>21</v>
      </c>
      <c r="T181" t="n">
        <v>21</v>
      </c>
      <c r="U181" t="inlineStr">
        <is>
          <t>1998-07-06</t>
        </is>
      </c>
      <c r="V181" t="inlineStr">
        <is>
          <t>1998-07-06</t>
        </is>
      </c>
      <c r="W181" t="inlineStr">
        <is>
          <t>1990-12-28</t>
        </is>
      </c>
      <c r="X181" t="inlineStr">
        <is>
          <t>1990-12-28</t>
        </is>
      </c>
      <c r="Y181" t="n">
        <v>221</v>
      </c>
      <c r="Z181" t="n">
        <v>179</v>
      </c>
      <c r="AA181" t="n">
        <v>208</v>
      </c>
      <c r="AB181" t="n">
        <v>2</v>
      </c>
      <c r="AC181" t="n">
        <v>2</v>
      </c>
      <c r="AD181" t="n">
        <v>10</v>
      </c>
      <c r="AE181" t="n">
        <v>10</v>
      </c>
      <c r="AF181" t="n">
        <v>2</v>
      </c>
      <c r="AG181" t="n">
        <v>2</v>
      </c>
      <c r="AH181" t="n">
        <v>2</v>
      </c>
      <c r="AI181" t="n">
        <v>2</v>
      </c>
      <c r="AJ181" t="n">
        <v>8</v>
      </c>
      <c r="AK181" t="n">
        <v>8</v>
      </c>
      <c r="AL181" t="n">
        <v>1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HYPERLINK("http://catalog.hathitrust.org/Record/002233345","HathiTrust Record")</f>
        <v/>
      </c>
      <c r="AS181">
        <f>HYPERLINK("https://creighton-primo.hosted.exlibrisgroup.com/primo-explore/search?tab=default_tab&amp;search_scope=EVERYTHING&amp;vid=01CRU&amp;lang=en_US&amp;offset=0&amp;query=any,contains,991001664579702656","Catalog Record")</f>
        <v/>
      </c>
      <c r="AT181">
        <f>HYPERLINK("http://www.worldcat.org/oclc/21197818","WorldCat Record")</f>
        <v/>
      </c>
      <c r="AU181" t="inlineStr">
        <is>
          <t>865278811:eng</t>
        </is>
      </c>
      <c r="AV181" t="inlineStr">
        <is>
          <t>21197818</t>
        </is>
      </c>
      <c r="AW181" t="inlineStr">
        <is>
          <t>991001664579702656</t>
        </is>
      </c>
      <c r="AX181" t="inlineStr">
        <is>
          <t>991001664579702656</t>
        </is>
      </c>
      <c r="AY181" t="inlineStr">
        <is>
          <t>2271756960002656</t>
        </is>
      </c>
      <c r="AZ181" t="inlineStr">
        <is>
          <t>BOOK</t>
        </is>
      </c>
      <c r="BB181" t="inlineStr">
        <is>
          <t>9780805805147</t>
        </is>
      </c>
      <c r="BC181" t="inlineStr">
        <is>
          <t>32285000405547</t>
        </is>
      </c>
      <c r="BD181" t="inlineStr">
        <is>
          <t>893328276</t>
        </is>
      </c>
    </row>
    <row r="182">
      <c r="A182" t="inlineStr">
        <is>
          <t>No</t>
        </is>
      </c>
      <c r="B182" t="inlineStr">
        <is>
          <t>RJ499 .C4833</t>
        </is>
      </c>
      <c r="C182" t="inlineStr">
        <is>
          <t>0                      RJ 0499000C  4833</t>
        </is>
      </c>
      <c r="D182" t="inlineStr">
        <is>
          <t>Child development in normality and psychopathology / edited by Jules R. Bemporad.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New York : Brunner/Mazel, c1980.</t>
        </is>
      </c>
      <c r="M182" t="inlineStr">
        <is>
          <t>1980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RJ </t>
        </is>
      </c>
      <c r="S182" t="n">
        <v>4</v>
      </c>
      <c r="T182" t="n">
        <v>4</v>
      </c>
      <c r="U182" t="inlineStr">
        <is>
          <t>1998-09-28</t>
        </is>
      </c>
      <c r="V182" t="inlineStr">
        <is>
          <t>1998-09-28</t>
        </is>
      </c>
      <c r="W182" t="inlineStr">
        <is>
          <t>1993-02-25</t>
        </is>
      </c>
      <c r="X182" t="inlineStr">
        <is>
          <t>1993-02-25</t>
        </is>
      </c>
      <c r="Y182" t="n">
        <v>374</v>
      </c>
      <c r="Z182" t="n">
        <v>290</v>
      </c>
      <c r="AA182" t="n">
        <v>292</v>
      </c>
      <c r="AB182" t="n">
        <v>2</v>
      </c>
      <c r="AC182" t="n">
        <v>2</v>
      </c>
      <c r="AD182" t="n">
        <v>7</v>
      </c>
      <c r="AE182" t="n">
        <v>7</v>
      </c>
      <c r="AF182" t="n">
        <v>1</v>
      </c>
      <c r="AG182" t="n">
        <v>1</v>
      </c>
      <c r="AH182" t="n">
        <v>1</v>
      </c>
      <c r="AI182" t="n">
        <v>1</v>
      </c>
      <c r="AJ182" t="n">
        <v>5</v>
      </c>
      <c r="AK182" t="n">
        <v>5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HYPERLINK("http://catalog.hathitrust.org/Record/000143003","HathiTrust Record")</f>
        <v/>
      </c>
      <c r="AS182">
        <f>HYPERLINK("https://creighton-primo.hosted.exlibrisgroup.com/primo-explore/search?tab=default_tab&amp;search_scope=EVERYTHING&amp;vid=01CRU&amp;lang=en_US&amp;offset=0&amp;query=any,contains,991004857549702656","Catalog Record")</f>
        <v/>
      </c>
      <c r="AT182">
        <f>HYPERLINK("http://www.worldcat.org/oclc/5676418","WorldCat Record")</f>
        <v/>
      </c>
      <c r="AU182" t="inlineStr">
        <is>
          <t>18917942:eng</t>
        </is>
      </c>
      <c r="AV182" t="inlineStr">
        <is>
          <t>5676418</t>
        </is>
      </c>
      <c r="AW182" t="inlineStr">
        <is>
          <t>991004857549702656</t>
        </is>
      </c>
      <c r="AX182" t="inlineStr">
        <is>
          <t>991004857549702656</t>
        </is>
      </c>
      <c r="AY182" t="inlineStr">
        <is>
          <t>2260170340002656</t>
        </is>
      </c>
      <c r="AZ182" t="inlineStr">
        <is>
          <t>BOOK</t>
        </is>
      </c>
      <c r="BB182" t="inlineStr">
        <is>
          <t>9780876302101</t>
        </is>
      </c>
      <c r="BC182" t="inlineStr">
        <is>
          <t>32285001529063</t>
        </is>
      </c>
      <c r="BD182" t="inlineStr">
        <is>
          <t>893418095</t>
        </is>
      </c>
    </row>
    <row r="183">
      <c r="A183" t="inlineStr">
        <is>
          <t>No</t>
        </is>
      </c>
      <c r="B183" t="inlineStr">
        <is>
          <t>RJ499 .C684 1986</t>
        </is>
      </c>
      <c r="C183" t="inlineStr">
        <is>
          <t>0                      RJ 0499000C  684         1986</t>
        </is>
      </c>
      <c r="D183" t="inlineStr">
        <is>
          <t>Crisis intervention with children and families / edited by Stephen M. Auerbach [and] Arnold L. Stolberg.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Washington : Hemisphere Pub. Corp., c1986.</t>
        </is>
      </c>
      <c r="M183" t="inlineStr">
        <is>
          <t>1987</t>
        </is>
      </c>
      <c r="O183" t="inlineStr">
        <is>
          <t>eng</t>
        </is>
      </c>
      <c r="P183" t="inlineStr">
        <is>
          <t>dcu</t>
        </is>
      </c>
      <c r="Q183" t="inlineStr">
        <is>
          <t>The Series in clinical and community psychology</t>
        </is>
      </c>
      <c r="R183" t="inlineStr">
        <is>
          <t xml:space="preserve">RJ </t>
        </is>
      </c>
      <c r="S183" t="n">
        <v>3</v>
      </c>
      <c r="T183" t="n">
        <v>3</v>
      </c>
      <c r="U183" t="inlineStr">
        <is>
          <t>2001-04-17</t>
        </is>
      </c>
      <c r="V183" t="inlineStr">
        <is>
          <t>2001-04-17</t>
        </is>
      </c>
      <c r="W183" t="inlineStr">
        <is>
          <t>1991-12-09</t>
        </is>
      </c>
      <c r="X183" t="inlineStr">
        <is>
          <t>1991-12-09</t>
        </is>
      </c>
      <c r="Y183" t="n">
        <v>273</v>
      </c>
      <c r="Z183" t="n">
        <v>232</v>
      </c>
      <c r="AA183" t="n">
        <v>240</v>
      </c>
      <c r="AB183" t="n">
        <v>2</v>
      </c>
      <c r="AC183" t="n">
        <v>2</v>
      </c>
      <c r="AD183" t="n">
        <v>11</v>
      </c>
      <c r="AE183" t="n">
        <v>11</v>
      </c>
      <c r="AF183" t="n">
        <v>4</v>
      </c>
      <c r="AG183" t="n">
        <v>4</v>
      </c>
      <c r="AH183" t="n">
        <v>2</v>
      </c>
      <c r="AI183" t="n">
        <v>2</v>
      </c>
      <c r="AJ183" t="n">
        <v>6</v>
      </c>
      <c r="AK183" t="n">
        <v>6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HYPERLINK("http://catalog.hathitrust.org/Record/000629167","HathiTrust Record")</f>
        <v/>
      </c>
      <c r="AS183">
        <f>HYPERLINK("https://creighton-primo.hosted.exlibrisgroup.com/primo-explore/search?tab=default_tab&amp;search_scope=EVERYTHING&amp;vid=01CRU&amp;lang=en_US&amp;offset=0&amp;query=any,contains,991000760419702656","Catalog Record")</f>
        <v/>
      </c>
      <c r="AT183">
        <f>HYPERLINK("http://www.worldcat.org/oclc/12972895","WorldCat Record")</f>
        <v/>
      </c>
      <c r="AU183" t="inlineStr">
        <is>
          <t>355772486:eng</t>
        </is>
      </c>
      <c r="AV183" t="inlineStr">
        <is>
          <t>12972895</t>
        </is>
      </c>
      <c r="AW183" t="inlineStr">
        <is>
          <t>991000760419702656</t>
        </is>
      </c>
      <c r="AX183" t="inlineStr">
        <is>
          <t>991000760419702656</t>
        </is>
      </c>
      <c r="AY183" t="inlineStr">
        <is>
          <t>2263631360002656</t>
        </is>
      </c>
      <c r="AZ183" t="inlineStr">
        <is>
          <t>BOOK</t>
        </is>
      </c>
      <c r="BB183" t="inlineStr">
        <is>
          <t>9780891163954</t>
        </is>
      </c>
      <c r="BC183" t="inlineStr">
        <is>
          <t>32285000838564</t>
        </is>
      </c>
      <c r="BD183" t="inlineStr">
        <is>
          <t>893771943</t>
        </is>
      </c>
    </row>
    <row r="184">
      <c r="A184" t="inlineStr">
        <is>
          <t>No</t>
        </is>
      </c>
      <c r="B184" t="inlineStr">
        <is>
          <t>RJ499 .C85 1983</t>
        </is>
      </c>
      <c r="C184" t="inlineStr">
        <is>
          <t>0                      RJ 0499000C  85          1983</t>
        </is>
      </c>
      <c r="D184" t="inlineStr">
        <is>
          <t>Behavior disorders of children and adolescents / Douglas Cullinan, Michael H. Epstein, John Wills Lloyd.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Cullinan, Douglas.</t>
        </is>
      </c>
      <c r="L184" t="inlineStr">
        <is>
          <t>Englewood Cliffs, N.J. : Prentice-Hall, c1983.</t>
        </is>
      </c>
      <c r="M184" t="inlineStr">
        <is>
          <t>1983</t>
        </is>
      </c>
      <c r="O184" t="inlineStr">
        <is>
          <t>eng</t>
        </is>
      </c>
      <c r="P184" t="inlineStr">
        <is>
          <t>nju</t>
        </is>
      </c>
      <c r="R184" t="inlineStr">
        <is>
          <t xml:space="preserve">RJ </t>
        </is>
      </c>
      <c r="S184" t="n">
        <v>12</v>
      </c>
      <c r="T184" t="n">
        <v>12</v>
      </c>
      <c r="U184" t="inlineStr">
        <is>
          <t>1997-03-13</t>
        </is>
      </c>
      <c r="V184" t="inlineStr">
        <is>
          <t>1997-03-13</t>
        </is>
      </c>
      <c r="W184" t="inlineStr">
        <is>
          <t>1990-02-06</t>
        </is>
      </c>
      <c r="X184" t="inlineStr">
        <is>
          <t>1990-02-06</t>
        </is>
      </c>
      <c r="Y184" t="n">
        <v>483</v>
      </c>
      <c r="Z184" t="n">
        <v>395</v>
      </c>
      <c r="AA184" t="n">
        <v>397</v>
      </c>
      <c r="AB184" t="n">
        <v>5</v>
      </c>
      <c r="AC184" t="n">
        <v>5</v>
      </c>
      <c r="AD184" t="n">
        <v>14</v>
      </c>
      <c r="AE184" t="n">
        <v>14</v>
      </c>
      <c r="AF184" t="n">
        <v>4</v>
      </c>
      <c r="AG184" t="n">
        <v>4</v>
      </c>
      <c r="AH184" t="n">
        <v>1</v>
      </c>
      <c r="AI184" t="n">
        <v>1</v>
      </c>
      <c r="AJ184" t="n">
        <v>6</v>
      </c>
      <c r="AK184" t="n">
        <v>6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HYPERLINK("http://catalog.hathitrust.org/Record/000112497","HathiTrust Record")</f>
        <v/>
      </c>
      <c r="AS184">
        <f>HYPERLINK("https://creighton-primo.hosted.exlibrisgroup.com/primo-explore/search?tab=default_tab&amp;search_scope=EVERYTHING&amp;vid=01CRU&amp;lang=en_US&amp;offset=0&amp;query=any,contains,991000080199702656","Catalog Record")</f>
        <v/>
      </c>
      <c r="AT184">
        <f>HYPERLINK("http://www.worldcat.org/oclc/8827486","WorldCat Record")</f>
        <v/>
      </c>
      <c r="AU184" t="inlineStr">
        <is>
          <t>42938378:eng</t>
        </is>
      </c>
      <c r="AV184" t="inlineStr">
        <is>
          <t>8827486</t>
        </is>
      </c>
      <c r="AW184" t="inlineStr">
        <is>
          <t>991000080199702656</t>
        </is>
      </c>
      <c r="AX184" t="inlineStr">
        <is>
          <t>991000080199702656</t>
        </is>
      </c>
      <c r="AY184" t="inlineStr">
        <is>
          <t>2266562790002656</t>
        </is>
      </c>
      <c r="AZ184" t="inlineStr">
        <is>
          <t>BOOK</t>
        </is>
      </c>
      <c r="BB184" t="inlineStr">
        <is>
          <t>9780130720412</t>
        </is>
      </c>
      <c r="BC184" t="inlineStr">
        <is>
          <t>32285000039577</t>
        </is>
      </c>
      <c r="BD184" t="inlineStr">
        <is>
          <t>893607602</t>
        </is>
      </c>
    </row>
    <row r="185">
      <c r="A185" t="inlineStr">
        <is>
          <t>No</t>
        </is>
      </c>
      <c r="B185" t="inlineStr">
        <is>
          <t>RJ499 .D383</t>
        </is>
      </c>
      <c r="C185" t="inlineStr">
        <is>
          <t>0                      RJ 0499000D  383</t>
        </is>
      </c>
      <c r="D185" t="inlineStr">
        <is>
          <t>Children in conflict : a casebook / with contributions by Spencer De Vault and John J. Laffey.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Davids, Anthony.</t>
        </is>
      </c>
      <c r="L185" t="inlineStr">
        <is>
          <t>New York : Wiley, [1974]</t>
        </is>
      </c>
      <c r="M185" t="inlineStr">
        <is>
          <t>1974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RJ </t>
        </is>
      </c>
      <c r="S185" t="n">
        <v>3</v>
      </c>
      <c r="T185" t="n">
        <v>3</v>
      </c>
      <c r="U185" t="inlineStr">
        <is>
          <t>1995-11-15</t>
        </is>
      </c>
      <c r="V185" t="inlineStr">
        <is>
          <t>1995-11-15</t>
        </is>
      </c>
      <c r="W185" t="inlineStr">
        <is>
          <t>1991-12-13</t>
        </is>
      </c>
      <c r="X185" t="inlineStr">
        <is>
          <t>1991-12-13</t>
        </is>
      </c>
      <c r="Y185" t="n">
        <v>321</v>
      </c>
      <c r="Z185" t="n">
        <v>218</v>
      </c>
      <c r="AA185" t="n">
        <v>226</v>
      </c>
      <c r="AB185" t="n">
        <v>2</v>
      </c>
      <c r="AC185" t="n">
        <v>2</v>
      </c>
      <c r="AD185" t="n">
        <v>3</v>
      </c>
      <c r="AE185" t="n">
        <v>3</v>
      </c>
      <c r="AF185" t="n">
        <v>1</v>
      </c>
      <c r="AG185" t="n">
        <v>1</v>
      </c>
      <c r="AH185" t="n">
        <v>1</v>
      </c>
      <c r="AI185" t="n">
        <v>1</v>
      </c>
      <c r="AJ185" t="n">
        <v>1</v>
      </c>
      <c r="AK185" t="n">
        <v>1</v>
      </c>
      <c r="AL185" t="n">
        <v>1</v>
      </c>
      <c r="AM185" t="n">
        <v>1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HYPERLINK("http://catalog.hathitrust.org/Record/001570806","HathiTrust Record")</f>
        <v/>
      </c>
      <c r="AS185">
        <f>HYPERLINK("https://creighton-primo.hosted.exlibrisgroup.com/primo-explore/search?tab=default_tab&amp;search_scope=EVERYTHING&amp;vid=01CRU&amp;lang=en_US&amp;offset=0&amp;query=any,contains,991003229759702656","Catalog Record")</f>
        <v/>
      </c>
      <c r="AT185">
        <f>HYPERLINK("http://www.worldcat.org/oclc/754512","WorldCat Record")</f>
        <v/>
      </c>
      <c r="AU185" t="inlineStr">
        <is>
          <t>42450001:eng</t>
        </is>
      </c>
      <c r="AV185" t="inlineStr">
        <is>
          <t>754512</t>
        </is>
      </c>
      <c r="AW185" t="inlineStr">
        <is>
          <t>991003229759702656</t>
        </is>
      </c>
      <c r="AX185" t="inlineStr">
        <is>
          <t>991003229759702656</t>
        </is>
      </c>
      <c r="AY185" t="inlineStr">
        <is>
          <t>2267566960002656</t>
        </is>
      </c>
      <c r="AZ185" t="inlineStr">
        <is>
          <t>BOOK</t>
        </is>
      </c>
      <c r="BB185" t="inlineStr">
        <is>
          <t>9780471196976</t>
        </is>
      </c>
      <c r="BC185" t="inlineStr">
        <is>
          <t>32285000876069</t>
        </is>
      </c>
      <c r="BD185" t="inlineStr">
        <is>
          <t>893317769</t>
        </is>
      </c>
    </row>
    <row r="186">
      <c r="A186" t="inlineStr">
        <is>
          <t>No</t>
        </is>
      </c>
      <c r="B186" t="inlineStr">
        <is>
          <t>RJ499 .D49 1985</t>
        </is>
      </c>
      <c r="C186" t="inlineStr">
        <is>
          <t>0                      RJ 0499000D  49          1985</t>
        </is>
      </c>
      <c r="D186" t="inlineStr">
        <is>
          <t>Diagnosis and psychopharmacology of childhood and adolescent disorders / edited by Jerry M. Wiener.</t>
        </is>
      </c>
      <c r="F186" t="inlineStr">
        <is>
          <t>No</t>
        </is>
      </c>
      <c r="G186" t="inlineStr">
        <is>
          <t>1</t>
        </is>
      </c>
      <c r="H186" t="inlineStr">
        <is>
          <t>Yes</t>
        </is>
      </c>
      <c r="I186" t="inlineStr">
        <is>
          <t>No</t>
        </is>
      </c>
      <c r="J186" t="inlineStr">
        <is>
          <t>0</t>
        </is>
      </c>
      <c r="L186" t="inlineStr">
        <is>
          <t>New York : Wiley, c1985.</t>
        </is>
      </c>
      <c r="M186" t="inlineStr">
        <is>
          <t>1985</t>
        </is>
      </c>
      <c r="O186" t="inlineStr">
        <is>
          <t>eng</t>
        </is>
      </c>
      <c r="P186" t="inlineStr">
        <is>
          <t>nyu</t>
        </is>
      </c>
      <c r="Q186" t="inlineStr">
        <is>
          <t>Wiley series in child and adolescent mental health</t>
        </is>
      </c>
      <c r="R186" t="inlineStr">
        <is>
          <t xml:space="preserve">RJ </t>
        </is>
      </c>
      <c r="S186" t="n">
        <v>7</v>
      </c>
      <c r="T186" t="n">
        <v>7</v>
      </c>
      <c r="U186" t="inlineStr">
        <is>
          <t>1996-10-29</t>
        </is>
      </c>
      <c r="V186" t="inlineStr">
        <is>
          <t>1996-10-29</t>
        </is>
      </c>
      <c r="W186" t="inlineStr">
        <is>
          <t>1993-01-04</t>
        </is>
      </c>
      <c r="X186" t="inlineStr">
        <is>
          <t>1993-01-04</t>
        </is>
      </c>
      <c r="Y186" t="n">
        <v>277</v>
      </c>
      <c r="Z186" t="n">
        <v>231</v>
      </c>
      <c r="AA186" t="n">
        <v>333</v>
      </c>
      <c r="AB186" t="n">
        <v>4</v>
      </c>
      <c r="AC186" t="n">
        <v>4</v>
      </c>
      <c r="AD186" t="n">
        <v>11</v>
      </c>
      <c r="AE186" t="n">
        <v>18</v>
      </c>
      <c r="AF186" t="n">
        <v>2</v>
      </c>
      <c r="AG186" t="n">
        <v>6</v>
      </c>
      <c r="AH186" t="n">
        <v>1</v>
      </c>
      <c r="AI186" t="n">
        <v>2</v>
      </c>
      <c r="AJ186" t="n">
        <v>7</v>
      </c>
      <c r="AK186" t="n">
        <v>12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HYPERLINK("http://catalog.hathitrust.org/Record/000572167","HathiTrust Record")</f>
        <v/>
      </c>
      <c r="AS186">
        <f>HYPERLINK("https://creighton-primo.hosted.exlibrisgroup.com/primo-explore/search?tab=default_tab&amp;search_scope=EVERYTHING&amp;vid=01CRU&amp;lang=en_US&amp;offset=0&amp;query=any,contains,991000539169702656","Catalog Record")</f>
        <v/>
      </c>
      <c r="AT186">
        <f>HYPERLINK("http://www.worldcat.org/oclc/11469666","WorldCat Record")</f>
        <v/>
      </c>
      <c r="AU186" t="inlineStr">
        <is>
          <t>54683217:eng</t>
        </is>
      </c>
      <c r="AV186" t="inlineStr">
        <is>
          <t>11469666</t>
        </is>
      </c>
      <c r="AW186" t="inlineStr">
        <is>
          <t>991000539169702656</t>
        </is>
      </c>
      <c r="AX186" t="inlineStr">
        <is>
          <t>991000539169702656</t>
        </is>
      </c>
      <c r="AY186" t="inlineStr">
        <is>
          <t>2264429420002656</t>
        </is>
      </c>
      <c r="AZ186" t="inlineStr">
        <is>
          <t>BOOK</t>
        </is>
      </c>
      <c r="BB186" t="inlineStr">
        <is>
          <t>9780471800712</t>
        </is>
      </c>
      <c r="BC186" t="inlineStr">
        <is>
          <t>32285001471670</t>
        </is>
      </c>
      <c r="BD186" t="inlineStr">
        <is>
          <t>893425816</t>
        </is>
      </c>
    </row>
    <row r="187">
      <c r="A187" t="inlineStr">
        <is>
          <t>No</t>
        </is>
      </c>
      <c r="B187" t="inlineStr">
        <is>
          <t>RJ499 .E415 1981</t>
        </is>
      </c>
      <c r="C187" t="inlineStr">
        <is>
          <t>0                      RJ 0499000E  415         1981</t>
        </is>
      </c>
      <c r="D187" t="inlineStr">
        <is>
          <t>The hurried child : growing up too fast too soon / David Elkind.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Elkind, David, 1931-</t>
        </is>
      </c>
      <c r="L187" t="inlineStr">
        <is>
          <t>Reading, Mass. : Addison-Wesley Pub. Co., c1981, 1982 printing.</t>
        </is>
      </c>
      <c r="M187" t="inlineStr">
        <is>
          <t>1981</t>
        </is>
      </c>
      <c r="O187" t="inlineStr">
        <is>
          <t>eng</t>
        </is>
      </c>
      <c r="P187" t="inlineStr">
        <is>
          <t>mau</t>
        </is>
      </c>
      <c r="R187" t="inlineStr">
        <is>
          <t xml:space="preserve">RJ </t>
        </is>
      </c>
      <c r="S187" t="n">
        <v>14</v>
      </c>
      <c r="T187" t="n">
        <v>14</v>
      </c>
      <c r="U187" t="inlineStr">
        <is>
          <t>2009-02-09</t>
        </is>
      </c>
      <c r="V187" t="inlineStr">
        <is>
          <t>2009-02-09</t>
        </is>
      </c>
      <c r="W187" t="inlineStr">
        <is>
          <t>1990-07-12</t>
        </is>
      </c>
      <c r="X187" t="inlineStr">
        <is>
          <t>1990-07-12</t>
        </is>
      </c>
      <c r="Y187" t="n">
        <v>1688</v>
      </c>
      <c r="Z187" t="n">
        <v>1525</v>
      </c>
      <c r="AA187" t="n">
        <v>3061</v>
      </c>
      <c r="AB187" t="n">
        <v>12</v>
      </c>
      <c r="AC187" t="n">
        <v>21</v>
      </c>
      <c r="AD187" t="n">
        <v>32</v>
      </c>
      <c r="AE187" t="n">
        <v>55</v>
      </c>
      <c r="AF187" t="n">
        <v>15</v>
      </c>
      <c r="AG187" t="n">
        <v>26</v>
      </c>
      <c r="AH187" t="n">
        <v>6</v>
      </c>
      <c r="AI187" t="n">
        <v>9</v>
      </c>
      <c r="AJ187" t="n">
        <v>13</v>
      </c>
      <c r="AK187" t="n">
        <v>23</v>
      </c>
      <c r="AL187" t="n">
        <v>5</v>
      </c>
      <c r="AM187" t="n">
        <v>9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HYPERLINK("http://catalog.hathitrust.org/Record/000184622","HathiTrust Record")</f>
        <v/>
      </c>
      <c r="AS187">
        <f>HYPERLINK("https://creighton-primo.hosted.exlibrisgroup.com/primo-explore/search?tab=default_tab&amp;search_scope=EVERYTHING&amp;vid=01CRU&amp;lang=en_US&amp;offset=0&amp;query=any,contains,991005161679702656","Catalog Record")</f>
        <v/>
      </c>
      <c r="AT187">
        <f>HYPERLINK("http://www.worldcat.org/oclc/7795438","WorldCat Record")</f>
        <v/>
      </c>
      <c r="AU187" t="inlineStr">
        <is>
          <t>298963:eng</t>
        </is>
      </c>
      <c r="AV187" t="inlineStr">
        <is>
          <t>7795438</t>
        </is>
      </c>
      <c r="AW187" t="inlineStr">
        <is>
          <t>991005161679702656</t>
        </is>
      </c>
      <c r="AX187" t="inlineStr">
        <is>
          <t>991005161679702656</t>
        </is>
      </c>
      <c r="AY187" t="inlineStr">
        <is>
          <t>2267922270002656</t>
        </is>
      </c>
      <c r="AZ187" t="inlineStr">
        <is>
          <t>BOOK</t>
        </is>
      </c>
      <c r="BB187" t="inlineStr">
        <is>
          <t>9780201039665</t>
        </is>
      </c>
      <c r="BC187" t="inlineStr">
        <is>
          <t>32285000236454</t>
        </is>
      </c>
      <c r="BD187" t="inlineStr">
        <is>
          <t>893722806</t>
        </is>
      </c>
    </row>
    <row r="188">
      <c r="A188" t="inlineStr">
        <is>
          <t>No</t>
        </is>
      </c>
      <c r="B188" t="inlineStr">
        <is>
          <t>RJ499 .E63</t>
        </is>
      </c>
      <c r="C188" t="inlineStr">
        <is>
          <t>0                      RJ 0499000E  63</t>
        </is>
      </c>
      <c r="D188" t="inlineStr">
        <is>
          <t>Child psychopathology : assessment, etiology, and treatment / Marilyn T. Erickson.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Erickson, Marilyn T.</t>
        </is>
      </c>
      <c r="L188" t="inlineStr">
        <is>
          <t>Englewood Cliffs, N.J. : Prentice-Hall, c1978.</t>
        </is>
      </c>
      <c r="M188" t="inlineStr">
        <is>
          <t>1978</t>
        </is>
      </c>
      <c r="O188" t="inlineStr">
        <is>
          <t>eng</t>
        </is>
      </c>
      <c r="P188" t="inlineStr">
        <is>
          <t>nju</t>
        </is>
      </c>
      <c r="R188" t="inlineStr">
        <is>
          <t xml:space="preserve">RJ </t>
        </is>
      </c>
      <c r="S188" t="n">
        <v>10</v>
      </c>
      <c r="T188" t="n">
        <v>10</v>
      </c>
      <c r="U188" t="inlineStr">
        <is>
          <t>1997-03-04</t>
        </is>
      </c>
      <c r="V188" t="inlineStr">
        <is>
          <t>1997-03-04</t>
        </is>
      </c>
      <c r="W188" t="inlineStr">
        <is>
          <t>1991-11-20</t>
        </is>
      </c>
      <c r="X188" t="inlineStr">
        <is>
          <t>1991-11-20</t>
        </is>
      </c>
      <c r="Y188" t="n">
        <v>339</v>
      </c>
      <c r="Z188" t="n">
        <v>244</v>
      </c>
      <c r="AA188" t="n">
        <v>253</v>
      </c>
      <c r="AB188" t="n">
        <v>3</v>
      </c>
      <c r="AC188" t="n">
        <v>3</v>
      </c>
      <c r="AD188" t="n">
        <v>6</v>
      </c>
      <c r="AE188" t="n">
        <v>6</v>
      </c>
      <c r="AF188" t="n">
        <v>0</v>
      </c>
      <c r="AG188" t="n">
        <v>0</v>
      </c>
      <c r="AH188" t="n">
        <v>2</v>
      </c>
      <c r="AI188" t="n">
        <v>2</v>
      </c>
      <c r="AJ188" t="n">
        <v>4</v>
      </c>
      <c r="AK188" t="n">
        <v>4</v>
      </c>
      <c r="AL188" t="n">
        <v>2</v>
      </c>
      <c r="AM188" t="n">
        <v>2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HYPERLINK("http://catalog.hathitrust.org/Record/000213910","HathiTrust Record")</f>
        <v/>
      </c>
      <c r="AS188">
        <f>HYPERLINK("https://creighton-primo.hosted.exlibrisgroup.com/primo-explore/search?tab=default_tab&amp;search_scope=EVERYTHING&amp;vid=01CRU&amp;lang=en_US&amp;offset=0&amp;query=any,contains,991004298209702656","Catalog Record")</f>
        <v/>
      </c>
      <c r="AT188">
        <f>HYPERLINK("http://www.worldcat.org/oclc/2966612","WorldCat Record")</f>
        <v/>
      </c>
      <c r="AU188" t="inlineStr">
        <is>
          <t>196509884:eng</t>
        </is>
      </c>
      <c r="AV188" t="inlineStr">
        <is>
          <t>2966612</t>
        </is>
      </c>
      <c r="AW188" t="inlineStr">
        <is>
          <t>991004298209702656</t>
        </is>
      </c>
      <c r="AX188" t="inlineStr">
        <is>
          <t>991004298209702656</t>
        </is>
      </c>
      <c r="AY188" t="inlineStr">
        <is>
          <t>2267178440002656</t>
        </is>
      </c>
      <c r="AZ188" t="inlineStr">
        <is>
          <t>BOOK</t>
        </is>
      </c>
      <c r="BB188" t="inlineStr">
        <is>
          <t>9780131311022</t>
        </is>
      </c>
      <c r="BC188" t="inlineStr">
        <is>
          <t>32285000841493</t>
        </is>
      </c>
      <c r="BD188" t="inlineStr">
        <is>
          <t>893894821</t>
        </is>
      </c>
    </row>
    <row r="189">
      <c r="A189" t="inlineStr">
        <is>
          <t>No</t>
        </is>
      </c>
      <c r="B189" t="inlineStr">
        <is>
          <t>RJ499 .E63 1987</t>
        </is>
      </c>
      <c r="C189" t="inlineStr">
        <is>
          <t>0                      RJ 0499000E  63          1987</t>
        </is>
      </c>
      <c r="D189" t="inlineStr">
        <is>
          <t>Behavior disorders of children and adolescents / Marilyn T. Erickson.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Erickson, Marilyn T.</t>
        </is>
      </c>
      <c r="L189" t="inlineStr">
        <is>
          <t>Englewood Cliffs, N.J. : Prentice-Hall, c1987.</t>
        </is>
      </c>
      <c r="M189" t="inlineStr">
        <is>
          <t>1987</t>
        </is>
      </c>
      <c r="O189" t="inlineStr">
        <is>
          <t>eng</t>
        </is>
      </c>
      <c r="P189" t="inlineStr">
        <is>
          <t>nju</t>
        </is>
      </c>
      <c r="R189" t="inlineStr">
        <is>
          <t xml:space="preserve">RJ </t>
        </is>
      </c>
      <c r="S189" t="n">
        <v>28</v>
      </c>
      <c r="T189" t="n">
        <v>28</v>
      </c>
      <c r="U189" t="inlineStr">
        <is>
          <t>1998-05-26</t>
        </is>
      </c>
      <c r="V189" t="inlineStr">
        <is>
          <t>1998-05-26</t>
        </is>
      </c>
      <c r="W189" t="inlineStr">
        <is>
          <t>1990-02-13</t>
        </is>
      </c>
      <c r="X189" t="inlineStr">
        <is>
          <t>1990-02-13</t>
        </is>
      </c>
      <c r="Y189" t="n">
        <v>243</v>
      </c>
      <c r="Z189" t="n">
        <v>183</v>
      </c>
      <c r="AA189" t="n">
        <v>368</v>
      </c>
      <c r="AB189" t="n">
        <v>4</v>
      </c>
      <c r="AC189" t="n">
        <v>6</v>
      </c>
      <c r="AD189" t="n">
        <v>8</v>
      </c>
      <c r="AE189" t="n">
        <v>17</v>
      </c>
      <c r="AF189" t="n">
        <v>2</v>
      </c>
      <c r="AG189" t="n">
        <v>5</v>
      </c>
      <c r="AH189" t="n">
        <v>2</v>
      </c>
      <c r="AI189" t="n">
        <v>3</v>
      </c>
      <c r="AJ189" t="n">
        <v>5</v>
      </c>
      <c r="AK189" t="n">
        <v>10</v>
      </c>
      <c r="AL189" t="n">
        <v>2</v>
      </c>
      <c r="AM189" t="n">
        <v>4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HYPERLINK("http://catalog.hathitrust.org/Record/000828456","HathiTrust Record")</f>
        <v/>
      </c>
      <c r="AS189">
        <f>HYPERLINK("https://creighton-primo.hosted.exlibrisgroup.com/primo-explore/search?tab=default_tab&amp;search_scope=EVERYTHING&amp;vid=01CRU&amp;lang=en_US&amp;offset=0&amp;query=any,contains,991000909079702656","Catalog Record")</f>
        <v/>
      </c>
      <c r="AT189">
        <f>HYPERLINK("http://www.worldcat.org/oclc/14129341","WorldCat Record")</f>
        <v/>
      </c>
      <c r="AU189" t="inlineStr">
        <is>
          <t>638332:eng</t>
        </is>
      </c>
      <c r="AV189" t="inlineStr">
        <is>
          <t>14129341</t>
        </is>
      </c>
      <c r="AW189" t="inlineStr">
        <is>
          <t>991000909079702656</t>
        </is>
      </c>
      <c r="AX189" t="inlineStr">
        <is>
          <t>991000909079702656</t>
        </is>
      </c>
      <c r="AY189" t="inlineStr">
        <is>
          <t>2258246710002656</t>
        </is>
      </c>
      <c r="AZ189" t="inlineStr">
        <is>
          <t>BOOK</t>
        </is>
      </c>
      <c r="BB189" t="inlineStr">
        <is>
          <t>9780130718044</t>
        </is>
      </c>
      <c r="BC189" t="inlineStr">
        <is>
          <t>32285000051242</t>
        </is>
      </c>
      <c r="BD189" t="inlineStr">
        <is>
          <t>893602159</t>
        </is>
      </c>
    </row>
    <row r="190">
      <c r="A190" t="inlineStr">
        <is>
          <t>No</t>
        </is>
      </c>
      <c r="B190" t="inlineStr">
        <is>
          <t>RJ499 .E796 1997</t>
        </is>
      </c>
      <c r="C190" t="inlineStr">
        <is>
          <t>0                      RJ 0499000E  796         1997</t>
        </is>
      </c>
      <c r="D190" t="inlineStr">
        <is>
          <t>Evaluating mental health services : how do programs for children "work" in the real world? / Carol T. Nixon and Denine A. Northrup, editors.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Thousand Oaks : Sage Publications, c1997.</t>
        </is>
      </c>
      <c r="M190" t="inlineStr">
        <is>
          <t>1997</t>
        </is>
      </c>
      <c r="O190" t="inlineStr">
        <is>
          <t>eng</t>
        </is>
      </c>
      <c r="P190" t="inlineStr">
        <is>
          <t>cau</t>
        </is>
      </c>
      <c r="Q190" t="inlineStr">
        <is>
          <t>Children's mental health services ; v. 3</t>
        </is>
      </c>
      <c r="R190" t="inlineStr">
        <is>
          <t xml:space="preserve">RJ </t>
        </is>
      </c>
      <c r="S190" t="n">
        <v>3</v>
      </c>
      <c r="T190" t="n">
        <v>3</v>
      </c>
      <c r="U190" t="inlineStr">
        <is>
          <t>1997-05-09</t>
        </is>
      </c>
      <c r="V190" t="inlineStr">
        <is>
          <t>1997-05-09</t>
        </is>
      </c>
      <c r="W190" t="inlineStr">
        <is>
          <t>1997-04-14</t>
        </is>
      </c>
      <c r="X190" t="inlineStr">
        <is>
          <t>1997-04-14</t>
        </is>
      </c>
      <c r="Y190" t="n">
        <v>184</v>
      </c>
      <c r="Z190" t="n">
        <v>127</v>
      </c>
      <c r="AA190" t="n">
        <v>127</v>
      </c>
      <c r="AB190" t="n">
        <v>3</v>
      </c>
      <c r="AC190" t="n">
        <v>3</v>
      </c>
      <c r="AD190" t="n">
        <v>10</v>
      </c>
      <c r="AE190" t="n">
        <v>10</v>
      </c>
      <c r="AF190" t="n">
        <v>3</v>
      </c>
      <c r="AG190" t="n">
        <v>3</v>
      </c>
      <c r="AH190" t="n">
        <v>1</v>
      </c>
      <c r="AI190" t="n">
        <v>1</v>
      </c>
      <c r="AJ190" t="n">
        <v>6</v>
      </c>
      <c r="AK190" t="n">
        <v>6</v>
      </c>
      <c r="AL190" t="n">
        <v>2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HYPERLINK("https://creighton-primo.hosted.exlibrisgroup.com/primo-explore/search?tab=default_tab&amp;search_scope=EVERYTHING&amp;vid=01CRU&amp;lang=en_US&amp;offset=0&amp;query=any,contains,991002717089702656","Catalog Record")</f>
        <v/>
      </c>
      <c r="AT190">
        <f>HYPERLINK("http://www.worldcat.org/oclc/35637365","WorldCat Record")</f>
        <v/>
      </c>
      <c r="AU190" t="inlineStr">
        <is>
          <t>890277341:eng</t>
        </is>
      </c>
      <c r="AV190" t="inlineStr">
        <is>
          <t>35637365</t>
        </is>
      </c>
      <c r="AW190" t="inlineStr">
        <is>
          <t>991002717089702656</t>
        </is>
      </c>
      <c r="AX190" t="inlineStr">
        <is>
          <t>991002717089702656</t>
        </is>
      </c>
      <c r="AY190" t="inlineStr">
        <is>
          <t>2267450390002656</t>
        </is>
      </c>
      <c r="AZ190" t="inlineStr">
        <is>
          <t>BOOK</t>
        </is>
      </c>
      <c r="BB190" t="inlineStr">
        <is>
          <t>9780761907954</t>
        </is>
      </c>
      <c r="BC190" t="inlineStr">
        <is>
          <t>32285002496643</t>
        </is>
      </c>
      <c r="BD190" t="inlineStr">
        <is>
          <t>893434199</t>
        </is>
      </c>
    </row>
    <row r="191">
      <c r="A191" t="inlineStr">
        <is>
          <t>No</t>
        </is>
      </c>
      <c r="B191" t="inlineStr">
        <is>
          <t>RJ499 .F76</t>
        </is>
      </c>
      <c r="C191" t="inlineStr">
        <is>
          <t>0                      RJ 0499000F  76</t>
        </is>
      </c>
      <c r="D191" t="inlineStr">
        <is>
          <t>Childhood psychopathology and adult psychoses / Thomas Freeman ; pref. by Anna Freud.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Freeman, Thomas.</t>
        </is>
      </c>
      <c r="L191" t="inlineStr">
        <is>
          <t>New York : International Universities Press, c1976.</t>
        </is>
      </c>
      <c r="M191" t="inlineStr">
        <is>
          <t>1976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RJ </t>
        </is>
      </c>
      <c r="S191" t="n">
        <v>2</v>
      </c>
      <c r="T191" t="n">
        <v>2</v>
      </c>
      <c r="U191" t="inlineStr">
        <is>
          <t>1998-09-24</t>
        </is>
      </c>
      <c r="V191" t="inlineStr">
        <is>
          <t>1998-09-24</t>
        </is>
      </c>
      <c r="W191" t="inlineStr">
        <is>
          <t>1990-10-15</t>
        </is>
      </c>
      <c r="X191" t="inlineStr">
        <is>
          <t>1990-10-15</t>
        </is>
      </c>
      <c r="Y191" t="n">
        <v>245</v>
      </c>
      <c r="Z191" t="n">
        <v>204</v>
      </c>
      <c r="AA191" t="n">
        <v>206</v>
      </c>
      <c r="AB191" t="n">
        <v>4</v>
      </c>
      <c r="AC191" t="n">
        <v>4</v>
      </c>
      <c r="AD191" t="n">
        <v>7</v>
      </c>
      <c r="AE191" t="n">
        <v>7</v>
      </c>
      <c r="AF191" t="n">
        <v>0</v>
      </c>
      <c r="AG191" t="n">
        <v>0</v>
      </c>
      <c r="AH191" t="n">
        <v>0</v>
      </c>
      <c r="AI191" t="n">
        <v>0</v>
      </c>
      <c r="AJ191" t="n">
        <v>5</v>
      </c>
      <c r="AK191" t="n">
        <v>5</v>
      </c>
      <c r="AL191" t="n">
        <v>2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HYPERLINK("http://catalog.hathitrust.org/Record/000038935","HathiTrust Record")</f>
        <v/>
      </c>
      <c r="AS191">
        <f>HYPERLINK("https://creighton-primo.hosted.exlibrisgroup.com/primo-explore/search?tab=default_tab&amp;search_scope=EVERYTHING&amp;vid=01CRU&amp;lang=en_US&amp;offset=0&amp;query=any,contains,991003884339702656","Catalog Record")</f>
        <v/>
      </c>
      <c r="AT191">
        <f>HYPERLINK("http://www.worldcat.org/oclc/1733619","WorldCat Record")</f>
        <v/>
      </c>
      <c r="AU191" t="inlineStr">
        <is>
          <t>2707801:eng</t>
        </is>
      </c>
      <c r="AV191" t="inlineStr">
        <is>
          <t>1733619</t>
        </is>
      </c>
      <c r="AW191" t="inlineStr">
        <is>
          <t>991003884339702656</t>
        </is>
      </c>
      <c r="AX191" t="inlineStr">
        <is>
          <t>991003884339702656</t>
        </is>
      </c>
      <c r="AY191" t="inlineStr">
        <is>
          <t>2256796990002656</t>
        </is>
      </c>
      <c r="AZ191" t="inlineStr">
        <is>
          <t>BOOK</t>
        </is>
      </c>
      <c r="BB191" t="inlineStr">
        <is>
          <t>9780823607754</t>
        </is>
      </c>
      <c r="BC191" t="inlineStr">
        <is>
          <t>32285000347749</t>
        </is>
      </c>
      <c r="BD191" t="inlineStr">
        <is>
          <t>893881671</t>
        </is>
      </c>
    </row>
    <row r="192">
      <c r="A192" t="inlineStr">
        <is>
          <t>No</t>
        </is>
      </c>
      <c r="B192" t="inlineStr">
        <is>
          <t>RJ499 .G374 1985</t>
        </is>
      </c>
      <c r="C192" t="inlineStr">
        <is>
          <t>0                      RJ 0499000G  374         1985</t>
        </is>
      </c>
      <c r="D192" t="inlineStr">
        <is>
          <t>Child development and psychopathology / by Donna M. Gelfand, Lizette Peterson.</t>
        </is>
      </c>
      <c r="F192" t="inlineStr">
        <is>
          <t>No</t>
        </is>
      </c>
      <c r="G192" t="inlineStr">
        <is>
          <t>1</t>
        </is>
      </c>
      <c r="H192" t="inlineStr">
        <is>
          <t>Yes</t>
        </is>
      </c>
      <c r="I192" t="inlineStr">
        <is>
          <t>No</t>
        </is>
      </c>
      <c r="J192" t="inlineStr">
        <is>
          <t>0</t>
        </is>
      </c>
      <c r="K192" t="inlineStr">
        <is>
          <t>Gelfand, Donna M., 1937-</t>
        </is>
      </c>
      <c r="L192" t="inlineStr">
        <is>
          <t>Beverly Hills : Sage Publications, c1985.</t>
        </is>
      </c>
      <c r="M192" t="inlineStr">
        <is>
          <t>1985</t>
        </is>
      </c>
      <c r="O192" t="inlineStr">
        <is>
          <t>eng</t>
        </is>
      </c>
      <c r="P192" t="inlineStr">
        <is>
          <t>cau</t>
        </is>
      </c>
      <c r="Q192" t="inlineStr">
        <is>
          <t>Clinical child psychology and child psychiatry ; v. 1</t>
        </is>
      </c>
      <c r="R192" t="inlineStr">
        <is>
          <t xml:space="preserve">RJ </t>
        </is>
      </c>
      <c r="S192" t="n">
        <v>5</v>
      </c>
      <c r="T192" t="n">
        <v>5</v>
      </c>
      <c r="U192" t="inlineStr">
        <is>
          <t>1998-09-28</t>
        </is>
      </c>
      <c r="V192" t="inlineStr">
        <is>
          <t>1998-09-28</t>
        </is>
      </c>
      <c r="W192" t="inlineStr">
        <is>
          <t>1993-02-25</t>
        </is>
      </c>
      <c r="X192" t="inlineStr">
        <is>
          <t>1993-02-25</t>
        </is>
      </c>
      <c r="Y192" t="n">
        <v>360</v>
      </c>
      <c r="Z192" t="n">
        <v>283</v>
      </c>
      <c r="AA192" t="n">
        <v>285</v>
      </c>
      <c r="AB192" t="n">
        <v>2</v>
      </c>
      <c r="AC192" t="n">
        <v>2</v>
      </c>
      <c r="AD192" t="n">
        <v>8</v>
      </c>
      <c r="AE192" t="n">
        <v>8</v>
      </c>
      <c r="AF192" t="n">
        <v>2</v>
      </c>
      <c r="AG192" t="n">
        <v>2</v>
      </c>
      <c r="AH192" t="n">
        <v>3</v>
      </c>
      <c r="AI192" t="n">
        <v>3</v>
      </c>
      <c r="AJ192" t="n">
        <v>6</v>
      </c>
      <c r="AK192" t="n">
        <v>6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HYPERLINK("http://catalog.hathitrust.org/Record/000431754","HathiTrust Record")</f>
        <v/>
      </c>
      <c r="AS192">
        <f>HYPERLINK("https://creighton-primo.hosted.exlibrisgroup.com/primo-explore/search?tab=default_tab&amp;search_scope=EVERYTHING&amp;vid=01CRU&amp;lang=en_US&amp;offset=0&amp;query=any,contains,991000584149702656","Catalog Record")</f>
        <v/>
      </c>
      <c r="AT192">
        <f>HYPERLINK("http://www.worldcat.org/oclc/11755668","WorldCat Record")</f>
        <v/>
      </c>
      <c r="AU192" t="inlineStr">
        <is>
          <t>4305225:eng</t>
        </is>
      </c>
      <c r="AV192" t="inlineStr">
        <is>
          <t>11755668</t>
        </is>
      </c>
      <c r="AW192" t="inlineStr">
        <is>
          <t>991000584149702656</t>
        </is>
      </c>
      <c r="AX192" t="inlineStr">
        <is>
          <t>991000584149702656</t>
        </is>
      </c>
      <c r="AY192" t="inlineStr">
        <is>
          <t>2270733540002656</t>
        </is>
      </c>
      <c r="AZ192" t="inlineStr">
        <is>
          <t>BOOK</t>
        </is>
      </c>
      <c r="BB192" t="inlineStr">
        <is>
          <t>9780803922839</t>
        </is>
      </c>
      <c r="BC192" t="inlineStr">
        <is>
          <t>32285001529089</t>
        </is>
      </c>
      <c r="BD192" t="inlineStr">
        <is>
          <t>893339690</t>
        </is>
      </c>
    </row>
    <row r="193">
      <c r="A193" t="inlineStr">
        <is>
          <t>No</t>
        </is>
      </c>
      <c r="B193" t="inlineStr">
        <is>
          <t>RJ499 .G375</t>
        </is>
      </c>
      <c r="C193" t="inlineStr">
        <is>
          <t>0                      RJ 0499000G  375</t>
        </is>
      </c>
      <c r="D193" t="inlineStr">
        <is>
          <t>Understanding child behavior disorders / Donna M. Gelfand, William R. Jenson, Clifford J. Drew.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Gelfand, Donna M., 1937-</t>
        </is>
      </c>
      <c r="L193" t="inlineStr">
        <is>
          <t>New York : Holt, Rinehart, and Winston, c1982.</t>
        </is>
      </c>
      <c r="M193" t="inlineStr">
        <is>
          <t>1982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RJ </t>
        </is>
      </c>
      <c r="S193" t="n">
        <v>10</v>
      </c>
      <c r="T193" t="n">
        <v>10</v>
      </c>
      <c r="U193" t="inlineStr">
        <is>
          <t>1998-05-26</t>
        </is>
      </c>
      <c r="V193" t="inlineStr">
        <is>
          <t>1998-05-26</t>
        </is>
      </c>
      <c r="W193" t="inlineStr">
        <is>
          <t>1993-02-25</t>
        </is>
      </c>
      <c r="X193" t="inlineStr">
        <is>
          <t>1993-02-25</t>
        </is>
      </c>
      <c r="Y193" t="n">
        <v>224</v>
      </c>
      <c r="Z193" t="n">
        <v>171</v>
      </c>
      <c r="AA193" t="n">
        <v>298</v>
      </c>
      <c r="AB193" t="n">
        <v>6</v>
      </c>
      <c r="AC193" t="n">
        <v>6</v>
      </c>
      <c r="AD193" t="n">
        <v>5</v>
      </c>
      <c r="AE193" t="n">
        <v>9</v>
      </c>
      <c r="AF193" t="n">
        <v>1</v>
      </c>
      <c r="AG193" t="n">
        <v>2</v>
      </c>
      <c r="AH193" t="n">
        <v>1</v>
      </c>
      <c r="AI193" t="n">
        <v>1</v>
      </c>
      <c r="AJ193" t="n">
        <v>1</v>
      </c>
      <c r="AK193" t="n">
        <v>5</v>
      </c>
      <c r="AL193" t="n">
        <v>3</v>
      </c>
      <c r="AM193" t="n">
        <v>3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HYPERLINK("https://creighton-primo.hosted.exlibrisgroup.com/primo-explore/search?tab=default_tab&amp;search_scope=EVERYTHING&amp;vid=01CRU&amp;lang=en_US&amp;offset=0&amp;query=any,contains,991005166789702656","Catalog Record")</f>
        <v/>
      </c>
      <c r="AT193">
        <f>HYPERLINK("http://www.worldcat.org/oclc/7836171","WorldCat Record")</f>
        <v/>
      </c>
      <c r="AU193" t="inlineStr">
        <is>
          <t>401274:eng</t>
        </is>
      </c>
      <c r="AV193" t="inlineStr">
        <is>
          <t>7836171</t>
        </is>
      </c>
      <c r="AW193" t="inlineStr">
        <is>
          <t>991005166789702656</t>
        </is>
      </c>
      <c r="AX193" t="inlineStr">
        <is>
          <t>991005166789702656</t>
        </is>
      </c>
      <c r="AY193" t="inlineStr">
        <is>
          <t>2255360500002656</t>
        </is>
      </c>
      <c r="AZ193" t="inlineStr">
        <is>
          <t>BOOK</t>
        </is>
      </c>
      <c r="BB193" t="inlineStr">
        <is>
          <t>9780030442117</t>
        </is>
      </c>
      <c r="BC193" t="inlineStr">
        <is>
          <t>32285001529097</t>
        </is>
      </c>
      <c r="BD193" t="inlineStr">
        <is>
          <t>893877046</t>
        </is>
      </c>
    </row>
    <row r="194">
      <c r="A194" t="inlineStr">
        <is>
          <t>No</t>
        </is>
      </c>
      <c r="B194" t="inlineStr">
        <is>
          <t>RJ499 .H334 1988</t>
        </is>
      </c>
      <c r="C194" t="inlineStr">
        <is>
          <t>0                      RJ 0499000H  334         1988</t>
        </is>
      </c>
      <c r="D194" t="inlineStr">
        <is>
          <t>Handbook of treatment approaches in childhood psychopathology / edited by Johnny L. Matson.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New York : Plenum, c1988.</t>
        </is>
      </c>
      <c r="M194" t="inlineStr">
        <is>
          <t>1988</t>
        </is>
      </c>
      <c r="O194" t="inlineStr">
        <is>
          <t>eng</t>
        </is>
      </c>
      <c r="P194" t="inlineStr">
        <is>
          <t>nyu</t>
        </is>
      </c>
      <c r="Q194" t="inlineStr">
        <is>
          <t>Applied clinical psychology</t>
        </is>
      </c>
      <c r="R194" t="inlineStr">
        <is>
          <t xml:space="preserve">RJ </t>
        </is>
      </c>
      <c r="S194" t="n">
        <v>5</v>
      </c>
      <c r="T194" t="n">
        <v>5</v>
      </c>
      <c r="U194" t="inlineStr">
        <is>
          <t>2004-02-05</t>
        </is>
      </c>
      <c r="V194" t="inlineStr">
        <is>
          <t>2004-02-05</t>
        </is>
      </c>
      <c r="W194" t="inlineStr">
        <is>
          <t>1991-03-11</t>
        </is>
      </c>
      <c r="X194" t="inlineStr">
        <is>
          <t>1991-03-11</t>
        </is>
      </c>
      <c r="Y194" t="n">
        <v>264</v>
      </c>
      <c r="Z194" t="n">
        <v>189</v>
      </c>
      <c r="AA194" t="n">
        <v>197</v>
      </c>
      <c r="AB194" t="n">
        <v>2</v>
      </c>
      <c r="AC194" t="n">
        <v>2</v>
      </c>
      <c r="AD194" t="n">
        <v>13</v>
      </c>
      <c r="AE194" t="n">
        <v>13</v>
      </c>
      <c r="AF194" t="n">
        <v>4</v>
      </c>
      <c r="AG194" t="n">
        <v>4</v>
      </c>
      <c r="AH194" t="n">
        <v>3</v>
      </c>
      <c r="AI194" t="n">
        <v>3</v>
      </c>
      <c r="AJ194" t="n">
        <v>8</v>
      </c>
      <c r="AK194" t="n">
        <v>8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HYPERLINK("http://catalog.hathitrust.org/Record/000942660","HathiTrust Record")</f>
        <v/>
      </c>
      <c r="AS194">
        <f>HYPERLINK("https://creighton-primo.hosted.exlibrisgroup.com/primo-explore/search?tab=default_tab&amp;search_scope=EVERYTHING&amp;vid=01CRU&amp;lang=en_US&amp;offset=0&amp;query=any,contains,991001315169702656","Catalog Record")</f>
        <v/>
      </c>
      <c r="AT194">
        <f>HYPERLINK("http://www.worldcat.org/oclc/18167260","WorldCat Record")</f>
        <v/>
      </c>
      <c r="AU194" t="inlineStr">
        <is>
          <t>16617658:eng</t>
        </is>
      </c>
      <c r="AV194" t="inlineStr">
        <is>
          <t>18167260</t>
        </is>
      </c>
      <c r="AW194" t="inlineStr">
        <is>
          <t>991001315169702656</t>
        </is>
      </c>
      <c r="AX194" t="inlineStr">
        <is>
          <t>991001315169702656</t>
        </is>
      </c>
      <c r="AY194" t="inlineStr">
        <is>
          <t>2263979640002656</t>
        </is>
      </c>
      <c r="AZ194" t="inlineStr">
        <is>
          <t>BOOK</t>
        </is>
      </c>
      <c r="BB194" t="inlineStr">
        <is>
          <t>9780306428449</t>
        </is>
      </c>
      <c r="BC194" t="inlineStr">
        <is>
          <t>32285000511328</t>
        </is>
      </c>
      <c r="BD194" t="inlineStr">
        <is>
          <t>893408034</t>
        </is>
      </c>
    </row>
    <row r="195">
      <c r="A195" t="inlineStr">
        <is>
          <t>No</t>
        </is>
      </c>
      <c r="B195" t="inlineStr">
        <is>
          <t>RJ499 .H85</t>
        </is>
      </c>
      <c r="C195" t="inlineStr">
        <is>
          <t>0                      RJ 0499000H  85</t>
        </is>
      </c>
      <c r="D195" t="inlineStr">
        <is>
          <t>The Humanization processes : a social, behavioral analysis of children's problems / [by] Robert L. Hamblin [and others]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New York : Wiley-Interscience, [1971]</t>
        </is>
      </c>
      <c r="M195" t="inlineStr">
        <is>
          <t>1971</t>
        </is>
      </c>
      <c r="O195" t="inlineStr">
        <is>
          <t>eng</t>
        </is>
      </c>
      <c r="P195" t="inlineStr">
        <is>
          <t>nyu</t>
        </is>
      </c>
      <c r="Q195" t="inlineStr">
        <is>
          <t>Wiley series on psychological disorders</t>
        </is>
      </c>
      <c r="R195" t="inlineStr">
        <is>
          <t xml:space="preserve">RJ </t>
        </is>
      </c>
      <c r="S195" t="n">
        <v>2</v>
      </c>
      <c r="T195" t="n">
        <v>2</v>
      </c>
      <c r="U195" t="inlineStr">
        <is>
          <t>2000-11-28</t>
        </is>
      </c>
      <c r="V195" t="inlineStr">
        <is>
          <t>2000-11-28</t>
        </is>
      </c>
      <c r="W195" t="inlineStr">
        <is>
          <t>1991-09-26</t>
        </is>
      </c>
      <c r="X195" t="inlineStr">
        <is>
          <t>1991-09-26</t>
        </is>
      </c>
      <c r="Y195" t="n">
        <v>594</v>
      </c>
      <c r="Z195" t="n">
        <v>478</v>
      </c>
      <c r="AA195" t="n">
        <v>514</v>
      </c>
      <c r="AB195" t="n">
        <v>5</v>
      </c>
      <c r="AC195" t="n">
        <v>5</v>
      </c>
      <c r="AD195" t="n">
        <v>19</v>
      </c>
      <c r="AE195" t="n">
        <v>21</v>
      </c>
      <c r="AF195" t="n">
        <v>4</v>
      </c>
      <c r="AG195" t="n">
        <v>5</v>
      </c>
      <c r="AH195" t="n">
        <v>5</v>
      </c>
      <c r="AI195" t="n">
        <v>5</v>
      </c>
      <c r="AJ195" t="n">
        <v>11</v>
      </c>
      <c r="AK195" t="n">
        <v>12</v>
      </c>
      <c r="AL195" t="n">
        <v>3</v>
      </c>
      <c r="AM195" t="n">
        <v>3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HYPERLINK("http://catalog.hathitrust.org/Record/001570834","HathiTrust Record")</f>
        <v/>
      </c>
      <c r="AS195">
        <f>HYPERLINK("https://creighton-primo.hosted.exlibrisgroup.com/primo-explore/search?tab=default_tab&amp;search_scope=EVERYTHING&amp;vid=01CRU&amp;lang=en_US&amp;offset=0&amp;query=any,contains,991000875059702656","Catalog Record")</f>
        <v/>
      </c>
      <c r="AT195">
        <f>HYPERLINK("http://www.worldcat.org/oclc/151656","WorldCat Record")</f>
        <v/>
      </c>
      <c r="AU195" t="inlineStr">
        <is>
          <t>865045311:eng</t>
        </is>
      </c>
      <c r="AV195" t="inlineStr">
        <is>
          <t>151656</t>
        </is>
      </c>
      <c r="AW195" t="inlineStr">
        <is>
          <t>991000875059702656</t>
        </is>
      </c>
      <c r="AX195" t="inlineStr">
        <is>
          <t>991000875059702656</t>
        </is>
      </c>
      <c r="AY195" t="inlineStr">
        <is>
          <t>2272285910002656</t>
        </is>
      </c>
      <c r="AZ195" t="inlineStr">
        <is>
          <t>BOOK</t>
        </is>
      </c>
      <c r="BB195" t="inlineStr">
        <is>
          <t>9780471346302</t>
        </is>
      </c>
      <c r="BC195" t="inlineStr">
        <is>
          <t>32285000760297</t>
        </is>
      </c>
      <c r="BD195" t="inlineStr">
        <is>
          <t>893897297</t>
        </is>
      </c>
    </row>
    <row r="196">
      <c r="A196" t="inlineStr">
        <is>
          <t>No</t>
        </is>
      </c>
      <c r="B196" t="inlineStr">
        <is>
          <t>RJ499 .I68 1987</t>
        </is>
      </c>
      <c r="C196" t="inlineStr">
        <is>
          <t>0                      RJ 0499000I  68          1987</t>
        </is>
      </c>
      <c r="D196" t="inlineStr">
        <is>
          <t>The Invulnerable child / edited by E. James Anthony and Bertram J. Cohler.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New York : Guilford Press, c1987.</t>
        </is>
      </c>
      <c r="M196" t="inlineStr">
        <is>
          <t>1987</t>
        </is>
      </c>
      <c r="O196" t="inlineStr">
        <is>
          <t>eng</t>
        </is>
      </c>
      <c r="P196" t="inlineStr">
        <is>
          <t>nyu</t>
        </is>
      </c>
      <c r="Q196" t="inlineStr">
        <is>
          <t>The Guillford psychiatry series</t>
        </is>
      </c>
      <c r="R196" t="inlineStr">
        <is>
          <t xml:space="preserve">RJ </t>
        </is>
      </c>
      <c r="S196" t="n">
        <v>1</v>
      </c>
      <c r="T196" t="n">
        <v>1</v>
      </c>
      <c r="U196" t="inlineStr">
        <is>
          <t>1997-03-17</t>
        </is>
      </c>
      <c r="V196" t="inlineStr">
        <is>
          <t>1997-03-17</t>
        </is>
      </c>
      <c r="W196" t="inlineStr">
        <is>
          <t>1993-02-25</t>
        </is>
      </c>
      <c r="X196" t="inlineStr">
        <is>
          <t>1993-02-25</t>
        </is>
      </c>
      <c r="Y196" t="n">
        <v>866</v>
      </c>
      <c r="Z196" t="n">
        <v>725</v>
      </c>
      <c r="AA196" t="n">
        <v>727</v>
      </c>
      <c r="AB196" t="n">
        <v>8</v>
      </c>
      <c r="AC196" t="n">
        <v>8</v>
      </c>
      <c r="AD196" t="n">
        <v>34</v>
      </c>
      <c r="AE196" t="n">
        <v>34</v>
      </c>
      <c r="AF196" t="n">
        <v>11</v>
      </c>
      <c r="AG196" t="n">
        <v>11</v>
      </c>
      <c r="AH196" t="n">
        <v>9</v>
      </c>
      <c r="AI196" t="n">
        <v>9</v>
      </c>
      <c r="AJ196" t="n">
        <v>15</v>
      </c>
      <c r="AK196" t="n">
        <v>15</v>
      </c>
      <c r="AL196" t="n">
        <v>7</v>
      </c>
      <c r="AM196" t="n">
        <v>7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HYPERLINK("https://creighton-primo.hosted.exlibrisgroup.com/primo-explore/search?tab=default_tab&amp;search_scope=EVERYTHING&amp;vid=01CRU&amp;lang=en_US&amp;offset=0&amp;query=any,contains,991000953369702656","Catalog Record")</f>
        <v/>
      </c>
      <c r="AT196">
        <f>HYPERLINK("http://www.worldcat.org/oclc/14693097","WorldCat Record")</f>
        <v/>
      </c>
      <c r="AU196" t="inlineStr">
        <is>
          <t>180131465:eng</t>
        </is>
      </c>
      <c r="AV196" t="inlineStr">
        <is>
          <t>14693097</t>
        </is>
      </c>
      <c r="AW196" t="inlineStr">
        <is>
          <t>991000953369702656</t>
        </is>
      </c>
      <c r="AX196" t="inlineStr">
        <is>
          <t>991000953369702656</t>
        </is>
      </c>
      <c r="AY196" t="inlineStr">
        <is>
          <t>2257345770002656</t>
        </is>
      </c>
      <c r="AZ196" t="inlineStr">
        <is>
          <t>BOOK</t>
        </is>
      </c>
      <c r="BB196" t="inlineStr">
        <is>
          <t>9780898622270</t>
        </is>
      </c>
      <c r="BC196" t="inlineStr">
        <is>
          <t>32285001529121</t>
        </is>
      </c>
      <c r="BD196" t="inlineStr">
        <is>
          <t>893891173</t>
        </is>
      </c>
    </row>
    <row r="197">
      <c r="A197" t="inlineStr">
        <is>
          <t>No</t>
        </is>
      </c>
      <c r="B197" t="inlineStr">
        <is>
          <t>RJ499 .J67</t>
        </is>
      </c>
      <c r="C197" t="inlineStr">
        <is>
          <t>0                      RJ 0499000J  67</t>
        </is>
      </c>
      <c r="D197" t="inlineStr">
        <is>
          <t>Clinician's handbook of childhood psychopathology / edited by Martin M. Josephson and Robert T. Porter.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Josephson, Martin M.</t>
        </is>
      </c>
      <c r="L197" t="inlineStr">
        <is>
          <t>New York : Jason Aronson, c1979.</t>
        </is>
      </c>
      <c r="M197" t="inlineStr">
        <is>
          <t>1979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RJ </t>
        </is>
      </c>
      <c r="S197" t="n">
        <v>2</v>
      </c>
      <c r="T197" t="n">
        <v>2</v>
      </c>
      <c r="U197" t="inlineStr">
        <is>
          <t>1993-11-30</t>
        </is>
      </c>
      <c r="V197" t="inlineStr">
        <is>
          <t>1993-11-30</t>
        </is>
      </c>
      <c r="W197" t="inlineStr">
        <is>
          <t>1990-07-02</t>
        </is>
      </c>
      <c r="X197" t="inlineStr">
        <is>
          <t>1990-07-02</t>
        </is>
      </c>
      <c r="Y197" t="n">
        <v>187</v>
      </c>
      <c r="Z197" t="n">
        <v>145</v>
      </c>
      <c r="AA197" t="n">
        <v>161</v>
      </c>
      <c r="AB197" t="n">
        <v>3</v>
      </c>
      <c r="AC197" t="n">
        <v>3</v>
      </c>
      <c r="AD197" t="n">
        <v>5</v>
      </c>
      <c r="AE197" t="n">
        <v>6</v>
      </c>
      <c r="AF197" t="n">
        <v>1</v>
      </c>
      <c r="AG197" t="n">
        <v>1</v>
      </c>
      <c r="AH197" t="n">
        <v>0</v>
      </c>
      <c r="AI197" t="n">
        <v>0</v>
      </c>
      <c r="AJ197" t="n">
        <v>3</v>
      </c>
      <c r="AK197" t="n">
        <v>4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HYPERLINK("http://catalog.hathitrust.org/Record/000696922","HathiTrust Record")</f>
        <v/>
      </c>
      <c r="AS197">
        <f>HYPERLINK("https://creighton-primo.hosted.exlibrisgroup.com/primo-explore/search?tab=default_tab&amp;search_scope=EVERYTHING&amp;vid=01CRU&amp;lang=en_US&amp;offset=0&amp;query=any,contains,991004787899702656","Catalog Record")</f>
        <v/>
      </c>
      <c r="AT197">
        <f>HYPERLINK("http://www.worldcat.org/oclc/6734204","WorldCat Record")</f>
        <v/>
      </c>
      <c r="AU197" t="inlineStr">
        <is>
          <t>375261217:eng</t>
        </is>
      </c>
      <c r="AV197" t="inlineStr">
        <is>
          <t>6734204</t>
        </is>
      </c>
      <c r="AW197" t="inlineStr">
        <is>
          <t>991004787899702656</t>
        </is>
      </c>
      <c r="AX197" t="inlineStr">
        <is>
          <t>991004787899702656</t>
        </is>
      </c>
      <c r="AY197" t="inlineStr">
        <is>
          <t>2270968280002656</t>
        </is>
      </c>
      <c r="AZ197" t="inlineStr">
        <is>
          <t>BOOK</t>
        </is>
      </c>
      <c r="BB197" t="inlineStr">
        <is>
          <t>9780876683477</t>
        </is>
      </c>
      <c r="BC197" t="inlineStr">
        <is>
          <t>32285000218999</t>
        </is>
      </c>
      <c r="BD197" t="inlineStr">
        <is>
          <t>893424189</t>
        </is>
      </c>
    </row>
    <row r="198">
      <c r="A198" t="inlineStr">
        <is>
          <t>No</t>
        </is>
      </c>
      <c r="B198" t="inlineStr">
        <is>
          <t>RJ499 .J88 1989</t>
        </is>
      </c>
      <c r="C198" t="inlineStr">
        <is>
          <t>0                      RJ 0499000J  88          1989</t>
        </is>
      </c>
      <c r="D198" t="inlineStr">
        <is>
          <t>Juvenile psychiatry and the law / edited by Richard Rosner and Harold I. Schwartz.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New York ; London : Plenum Press, 1989.</t>
        </is>
      </c>
      <c r="M198" t="inlineStr">
        <is>
          <t>1989</t>
        </is>
      </c>
      <c r="O198" t="inlineStr">
        <is>
          <t>eng</t>
        </is>
      </c>
      <c r="P198" t="inlineStr">
        <is>
          <t>nyu</t>
        </is>
      </c>
      <c r="Q198" t="inlineStr">
        <is>
          <t>Critical issues in American psychiatry and the law ; v. 4</t>
        </is>
      </c>
      <c r="R198" t="inlineStr">
        <is>
          <t xml:space="preserve">RJ </t>
        </is>
      </c>
      <c r="S198" t="n">
        <v>9</v>
      </c>
      <c r="T198" t="n">
        <v>9</v>
      </c>
      <c r="U198" t="inlineStr">
        <is>
          <t>2000-04-10</t>
        </is>
      </c>
      <c r="V198" t="inlineStr">
        <is>
          <t>2000-04-10</t>
        </is>
      </c>
      <c r="W198" t="inlineStr">
        <is>
          <t>1990-07-16</t>
        </is>
      </c>
      <c r="X198" t="inlineStr">
        <is>
          <t>1990-07-16</t>
        </is>
      </c>
      <c r="Y198" t="n">
        <v>113</v>
      </c>
      <c r="Z198" t="n">
        <v>84</v>
      </c>
      <c r="AA198" t="n">
        <v>113</v>
      </c>
      <c r="AB198" t="n">
        <v>1</v>
      </c>
      <c r="AC198" t="n">
        <v>1</v>
      </c>
      <c r="AD198" t="n">
        <v>8</v>
      </c>
      <c r="AE198" t="n">
        <v>10</v>
      </c>
      <c r="AF198" t="n">
        <v>1</v>
      </c>
      <c r="AG198" t="n">
        <v>3</v>
      </c>
      <c r="AH198" t="n">
        <v>0</v>
      </c>
      <c r="AI198" t="n">
        <v>0</v>
      </c>
      <c r="AJ198" t="n">
        <v>3</v>
      </c>
      <c r="AK198" t="n">
        <v>4</v>
      </c>
      <c r="AL198" t="n">
        <v>0</v>
      </c>
      <c r="AM198" t="n">
        <v>0</v>
      </c>
      <c r="AN198" t="n">
        <v>5</v>
      </c>
      <c r="AO198" t="n">
        <v>5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HYPERLINK("https://creighton-primo.hosted.exlibrisgroup.com/primo-explore/search?tab=default_tab&amp;search_scope=EVERYTHING&amp;vid=01CRU&amp;lang=en_US&amp;offset=0&amp;query=any,contains,991001456299702656","Catalog Record")</f>
        <v/>
      </c>
      <c r="AT198">
        <f>HYPERLINK("http://www.worldcat.org/oclc/21526270","WorldCat Record")</f>
        <v/>
      </c>
      <c r="AU198" t="inlineStr">
        <is>
          <t>434571295:eng</t>
        </is>
      </c>
      <c r="AV198" t="inlineStr">
        <is>
          <t>21526270</t>
        </is>
      </c>
      <c r="AW198" t="inlineStr">
        <is>
          <t>991001456299702656</t>
        </is>
      </c>
      <c r="AX198" t="inlineStr">
        <is>
          <t>991001456299702656</t>
        </is>
      </c>
      <c r="AY198" t="inlineStr">
        <is>
          <t>2271318200002656</t>
        </is>
      </c>
      <c r="AZ198" t="inlineStr">
        <is>
          <t>BOOK</t>
        </is>
      </c>
      <c r="BB198" t="inlineStr">
        <is>
          <t>9780306429583</t>
        </is>
      </c>
      <c r="BC198" t="inlineStr">
        <is>
          <t>32285000208131</t>
        </is>
      </c>
      <c r="BD198" t="inlineStr">
        <is>
          <t>893785115</t>
        </is>
      </c>
    </row>
    <row r="199">
      <c r="A199" t="inlineStr">
        <is>
          <t>No</t>
        </is>
      </c>
      <c r="B199" t="inlineStr">
        <is>
          <t>RJ499 .K322</t>
        </is>
      </c>
      <c r="C199" t="inlineStr">
        <is>
          <t>0                      RJ 0499000K  322</t>
        </is>
      </c>
      <c r="D199" t="inlineStr">
        <is>
          <t>Childhood psychosis: initial studies and new insights.</t>
        </is>
      </c>
      <c r="F199" t="inlineStr">
        <is>
          <t>No</t>
        </is>
      </c>
      <c r="G199" t="inlineStr">
        <is>
          <t>1</t>
        </is>
      </c>
      <c r="H199" t="inlineStr">
        <is>
          <t>Yes</t>
        </is>
      </c>
      <c r="I199" t="inlineStr">
        <is>
          <t>No</t>
        </is>
      </c>
      <c r="J199" t="inlineStr">
        <is>
          <t>0</t>
        </is>
      </c>
      <c r="K199" t="inlineStr">
        <is>
          <t>Kanner, Leo, 1894-1981.</t>
        </is>
      </c>
      <c r="L199" t="inlineStr">
        <is>
          <t>Washington, V. H. Winston; distributed by Halsted Press Division, Wiley, New York, 1973.</t>
        </is>
      </c>
      <c r="M199" t="inlineStr">
        <is>
          <t>1973</t>
        </is>
      </c>
      <c r="O199" t="inlineStr">
        <is>
          <t>eng</t>
        </is>
      </c>
      <c r="P199" t="inlineStr">
        <is>
          <t>dcu</t>
        </is>
      </c>
      <c r="R199" t="inlineStr">
        <is>
          <t xml:space="preserve">RJ </t>
        </is>
      </c>
      <c r="S199" t="n">
        <v>0</v>
      </c>
      <c r="T199" t="n">
        <v>1</v>
      </c>
      <c r="V199" t="inlineStr">
        <is>
          <t>1996-04-22</t>
        </is>
      </c>
      <c r="W199" t="inlineStr">
        <is>
          <t>1998-07-27</t>
        </is>
      </c>
      <c r="X199" t="inlineStr">
        <is>
          <t>1998-07-27</t>
        </is>
      </c>
      <c r="Y199" t="n">
        <v>513</v>
      </c>
      <c r="Z199" t="n">
        <v>417</v>
      </c>
      <c r="AA199" t="n">
        <v>425</v>
      </c>
      <c r="AB199" t="n">
        <v>5</v>
      </c>
      <c r="AC199" t="n">
        <v>5</v>
      </c>
      <c r="AD199" t="n">
        <v>16</v>
      </c>
      <c r="AE199" t="n">
        <v>16</v>
      </c>
      <c r="AF199" t="n">
        <v>5</v>
      </c>
      <c r="AG199" t="n">
        <v>5</v>
      </c>
      <c r="AH199" t="n">
        <v>4</v>
      </c>
      <c r="AI199" t="n">
        <v>4</v>
      </c>
      <c r="AJ199" t="n">
        <v>8</v>
      </c>
      <c r="AK199" t="n">
        <v>8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HYPERLINK("http://catalog.hathitrust.org/Record/001570843","HathiTrust Record")</f>
        <v/>
      </c>
      <c r="AS199">
        <f>HYPERLINK("https://creighton-primo.hosted.exlibrisgroup.com/primo-explore/search?tab=default_tab&amp;search_scope=EVERYTHING&amp;vid=01CRU&amp;lang=en_US&amp;offset=0&amp;query=any,contains,991001772729702656","Catalog Record")</f>
        <v/>
      </c>
      <c r="AT199">
        <f>HYPERLINK("http://www.worldcat.org/oclc/584826","WorldCat Record")</f>
        <v/>
      </c>
      <c r="AU199" t="inlineStr">
        <is>
          <t>1746970:eng</t>
        </is>
      </c>
      <c r="AV199" t="inlineStr">
        <is>
          <t>584826</t>
        </is>
      </c>
      <c r="AW199" t="inlineStr">
        <is>
          <t>991001772729702656</t>
        </is>
      </c>
      <c r="AX199" t="inlineStr">
        <is>
          <t>991001772729702656</t>
        </is>
      </c>
      <c r="AY199" t="inlineStr">
        <is>
          <t>2268853650002656</t>
        </is>
      </c>
      <c r="AZ199" t="inlineStr">
        <is>
          <t>BOOK</t>
        </is>
      </c>
      <c r="BB199" t="inlineStr">
        <is>
          <t>9780470456101</t>
        </is>
      </c>
      <c r="BC199" t="inlineStr">
        <is>
          <t>32285003437307</t>
        </is>
      </c>
      <c r="BD199" t="inlineStr">
        <is>
          <t>893444797</t>
        </is>
      </c>
    </row>
    <row r="200">
      <c r="A200" t="inlineStr">
        <is>
          <t>No</t>
        </is>
      </c>
      <c r="B200" t="inlineStr">
        <is>
          <t>RJ499 .K34 1985</t>
        </is>
      </c>
      <c r="C200" t="inlineStr">
        <is>
          <t>0                      RJ 0499000K  34          1985</t>
        </is>
      </c>
      <c r="D200" t="inlineStr">
        <is>
          <t>Characteristics of children's behavior disorders / James M. Kauffman.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Kauffman, James M.</t>
        </is>
      </c>
      <c r="L200" t="inlineStr">
        <is>
          <t>Columbus : C. E. Merrill, 1985.</t>
        </is>
      </c>
      <c r="M200" t="inlineStr">
        <is>
          <t>1985</t>
        </is>
      </c>
      <c r="N200" t="inlineStr">
        <is>
          <t>3rd ed.</t>
        </is>
      </c>
      <c r="O200" t="inlineStr">
        <is>
          <t>eng</t>
        </is>
      </c>
      <c r="P200" t="inlineStr">
        <is>
          <t>ohu</t>
        </is>
      </c>
      <c r="R200" t="inlineStr">
        <is>
          <t xml:space="preserve">RJ </t>
        </is>
      </c>
      <c r="S200" t="n">
        <v>10</v>
      </c>
      <c r="T200" t="n">
        <v>10</v>
      </c>
      <c r="U200" t="inlineStr">
        <is>
          <t>1998-05-26</t>
        </is>
      </c>
      <c r="V200" t="inlineStr">
        <is>
          <t>1998-05-26</t>
        </is>
      </c>
      <c r="W200" t="inlineStr">
        <is>
          <t>1990-07-02</t>
        </is>
      </c>
      <c r="X200" t="inlineStr">
        <is>
          <t>1990-07-02</t>
        </is>
      </c>
      <c r="Y200" t="n">
        <v>166</v>
      </c>
      <c r="Z200" t="n">
        <v>124</v>
      </c>
      <c r="AA200" t="n">
        <v>408</v>
      </c>
      <c r="AB200" t="n">
        <v>3</v>
      </c>
      <c r="AC200" t="n">
        <v>5</v>
      </c>
      <c r="AD200" t="n">
        <v>4</v>
      </c>
      <c r="AE200" t="n">
        <v>18</v>
      </c>
      <c r="AF200" t="n">
        <v>1</v>
      </c>
      <c r="AG200" t="n">
        <v>6</v>
      </c>
      <c r="AH200" t="n">
        <v>0</v>
      </c>
      <c r="AI200" t="n">
        <v>3</v>
      </c>
      <c r="AJ200" t="n">
        <v>1</v>
      </c>
      <c r="AK200" t="n">
        <v>10</v>
      </c>
      <c r="AL200" t="n">
        <v>2</v>
      </c>
      <c r="AM200" t="n">
        <v>3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HYPERLINK("https://creighton-primo.hosted.exlibrisgroup.com/primo-explore/search?tab=default_tab&amp;search_scope=EVERYTHING&amp;vid=01CRU&amp;lang=en_US&amp;offset=0&amp;query=any,contains,991000556579702656","Catalog Record")</f>
        <v/>
      </c>
      <c r="AT200">
        <f>HYPERLINK("http://www.worldcat.org/oclc/11563568","WorldCat Record")</f>
        <v/>
      </c>
      <c r="AU200" t="inlineStr">
        <is>
          <t>3901040383:eng</t>
        </is>
      </c>
      <c r="AV200" t="inlineStr">
        <is>
          <t>11563568</t>
        </is>
      </c>
      <c r="AW200" t="inlineStr">
        <is>
          <t>991000556579702656</t>
        </is>
      </c>
      <c r="AX200" t="inlineStr">
        <is>
          <t>991000556579702656</t>
        </is>
      </c>
      <c r="AY200" t="inlineStr">
        <is>
          <t>2260429400002656</t>
        </is>
      </c>
      <c r="AZ200" t="inlineStr">
        <is>
          <t>BOOK</t>
        </is>
      </c>
      <c r="BB200" t="inlineStr">
        <is>
          <t>9780675203944</t>
        </is>
      </c>
      <c r="BC200" t="inlineStr">
        <is>
          <t>32285000219013</t>
        </is>
      </c>
      <c r="BD200" t="inlineStr">
        <is>
          <t>893601855</t>
        </is>
      </c>
    </row>
    <row r="201">
      <c r="A201" t="inlineStr">
        <is>
          <t>No</t>
        </is>
      </c>
      <c r="B201" t="inlineStr">
        <is>
          <t>RJ499 .K57</t>
        </is>
      </c>
      <c r="C201" t="inlineStr">
        <is>
          <t>0                      RJ 0499000K  57</t>
        </is>
      </c>
      <c r="D201" t="inlineStr">
        <is>
          <t>Childhood psychopathology : a developmental approach / Irwin J. Knopf.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Knopf, Irwin J.</t>
        </is>
      </c>
      <c r="L201" t="inlineStr">
        <is>
          <t>Englewood Cliffs, N.J. : Prentice-Hall, c1979.</t>
        </is>
      </c>
      <c r="M201" t="inlineStr">
        <is>
          <t>1979</t>
        </is>
      </c>
      <c r="O201" t="inlineStr">
        <is>
          <t>eng</t>
        </is>
      </c>
      <c r="P201" t="inlineStr">
        <is>
          <t>nju</t>
        </is>
      </c>
      <c r="R201" t="inlineStr">
        <is>
          <t xml:space="preserve">RJ </t>
        </is>
      </c>
      <c r="S201" t="n">
        <v>6</v>
      </c>
      <c r="T201" t="n">
        <v>6</v>
      </c>
      <c r="U201" t="inlineStr">
        <is>
          <t>1993-11-30</t>
        </is>
      </c>
      <c r="V201" t="inlineStr">
        <is>
          <t>1993-11-30</t>
        </is>
      </c>
      <c r="W201" t="inlineStr">
        <is>
          <t>1993-02-25</t>
        </is>
      </c>
      <c r="X201" t="inlineStr">
        <is>
          <t>1993-02-25</t>
        </is>
      </c>
      <c r="Y201" t="n">
        <v>282</v>
      </c>
      <c r="Z201" t="n">
        <v>186</v>
      </c>
      <c r="AA201" t="n">
        <v>275</v>
      </c>
      <c r="AB201" t="n">
        <v>2</v>
      </c>
      <c r="AC201" t="n">
        <v>2</v>
      </c>
      <c r="AD201" t="n">
        <v>6</v>
      </c>
      <c r="AE201" t="n">
        <v>9</v>
      </c>
      <c r="AF201" t="n">
        <v>1</v>
      </c>
      <c r="AG201" t="n">
        <v>2</v>
      </c>
      <c r="AH201" t="n">
        <v>0</v>
      </c>
      <c r="AI201" t="n">
        <v>1</v>
      </c>
      <c r="AJ201" t="n">
        <v>5</v>
      </c>
      <c r="AK201" t="n">
        <v>7</v>
      </c>
      <c r="AL201" t="n">
        <v>1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HYPERLINK("http://catalog.hathitrust.org/Record/000256516","HathiTrust Record")</f>
        <v/>
      </c>
      <c r="AS201">
        <f>HYPERLINK("https://creighton-primo.hosted.exlibrisgroup.com/primo-explore/search?tab=default_tab&amp;search_scope=EVERYTHING&amp;vid=01CRU&amp;lang=en_US&amp;offset=0&amp;query=any,contains,991004660569702656","Catalog Record")</f>
        <v/>
      </c>
      <c r="AT201">
        <f>HYPERLINK("http://www.worldcat.org/oclc/4496651","WorldCat Record")</f>
        <v/>
      </c>
      <c r="AU201" t="inlineStr">
        <is>
          <t>836639283:eng</t>
        </is>
      </c>
      <c r="AV201" t="inlineStr">
        <is>
          <t>4496651</t>
        </is>
      </c>
      <c r="AW201" t="inlineStr">
        <is>
          <t>991004660569702656</t>
        </is>
      </c>
      <c r="AX201" t="inlineStr">
        <is>
          <t>991004660569702656</t>
        </is>
      </c>
      <c r="AY201" t="inlineStr">
        <is>
          <t>2268741840002656</t>
        </is>
      </c>
      <c r="AZ201" t="inlineStr">
        <is>
          <t>BOOK</t>
        </is>
      </c>
      <c r="BB201" t="inlineStr">
        <is>
          <t>9780131303362</t>
        </is>
      </c>
      <c r="BC201" t="inlineStr">
        <is>
          <t>32285001529139</t>
        </is>
      </c>
      <c r="BD201" t="inlineStr">
        <is>
          <t>893430338</t>
        </is>
      </c>
    </row>
    <row r="202">
      <c r="A202" t="inlineStr">
        <is>
          <t>No</t>
        </is>
      </c>
      <c r="B202" t="inlineStr">
        <is>
          <t>RJ499 .K65 1979</t>
        </is>
      </c>
      <c r="C202" t="inlineStr">
        <is>
          <t>0                      RJ 0499000K  65          1979</t>
        </is>
      </c>
      <c r="D202" t="inlineStr">
        <is>
          <t>Wasted lives : a study of children in mental hospitals and their families / Lillian Cohen Kovar.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Kovar, Lillian Cohen, 1918-</t>
        </is>
      </c>
      <c r="L202" t="inlineStr">
        <is>
          <t>New York : Gardner Press : distributed by Halsted Press, c1979.</t>
        </is>
      </c>
      <c r="M202" t="inlineStr">
        <is>
          <t>1979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RJ </t>
        </is>
      </c>
      <c r="S202" t="n">
        <v>1</v>
      </c>
      <c r="T202" t="n">
        <v>1</v>
      </c>
      <c r="U202" t="inlineStr">
        <is>
          <t>1993-07-09</t>
        </is>
      </c>
      <c r="V202" t="inlineStr">
        <is>
          <t>1993-07-09</t>
        </is>
      </c>
      <c r="W202" t="inlineStr">
        <is>
          <t>1993-02-25</t>
        </is>
      </c>
      <c r="X202" t="inlineStr">
        <is>
          <t>1993-02-25</t>
        </is>
      </c>
      <c r="Y202" t="n">
        <v>373</v>
      </c>
      <c r="Z202" t="n">
        <v>317</v>
      </c>
      <c r="AA202" t="n">
        <v>330</v>
      </c>
      <c r="AB202" t="n">
        <v>3</v>
      </c>
      <c r="AC202" t="n">
        <v>3</v>
      </c>
      <c r="AD202" t="n">
        <v>7</v>
      </c>
      <c r="AE202" t="n">
        <v>7</v>
      </c>
      <c r="AF202" t="n">
        <v>3</v>
      </c>
      <c r="AG202" t="n">
        <v>3</v>
      </c>
      <c r="AH202" t="n">
        <v>1</v>
      </c>
      <c r="AI202" t="n">
        <v>1</v>
      </c>
      <c r="AJ202" t="n">
        <v>4</v>
      </c>
      <c r="AK202" t="n">
        <v>4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HYPERLINK("http://catalog.hathitrust.org/Record/006220670","HathiTrust Record")</f>
        <v/>
      </c>
      <c r="AS202">
        <f>HYPERLINK("https://creighton-primo.hosted.exlibrisgroup.com/primo-explore/search?tab=default_tab&amp;search_scope=EVERYTHING&amp;vid=01CRU&amp;lang=en_US&amp;offset=0&amp;query=any,contains,991004666469702656","Catalog Record")</f>
        <v/>
      </c>
      <c r="AT202">
        <f>HYPERLINK("http://www.worldcat.org/oclc/4504401","WorldCat Record")</f>
        <v/>
      </c>
      <c r="AU202" t="inlineStr">
        <is>
          <t>375195732:eng</t>
        </is>
      </c>
      <c r="AV202" t="inlineStr">
        <is>
          <t>4504401</t>
        </is>
      </c>
      <c r="AW202" t="inlineStr">
        <is>
          <t>991004666469702656</t>
        </is>
      </c>
      <c r="AX202" t="inlineStr">
        <is>
          <t>991004666469702656</t>
        </is>
      </c>
      <c r="AY202" t="inlineStr">
        <is>
          <t>2264914360002656</t>
        </is>
      </c>
      <c r="AZ202" t="inlineStr">
        <is>
          <t>BOOK</t>
        </is>
      </c>
      <c r="BB202" t="inlineStr">
        <is>
          <t>9780470265642</t>
        </is>
      </c>
      <c r="BC202" t="inlineStr">
        <is>
          <t>32285001529147</t>
        </is>
      </c>
      <c r="BD202" t="inlineStr">
        <is>
          <t>893895270</t>
        </is>
      </c>
    </row>
    <row r="203">
      <c r="A203" t="inlineStr">
        <is>
          <t>No</t>
        </is>
      </c>
      <c r="B203" t="inlineStr">
        <is>
          <t>RJ499 .Q32 1986</t>
        </is>
      </c>
      <c r="C203" t="inlineStr">
        <is>
          <t>0                      RJ 0499000Q  32          1986</t>
        </is>
      </c>
      <c r="D203" t="inlineStr">
        <is>
          <t>Psychopathological disorders of childhood / edited by Herbert C. Quay, John S. Werry.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L203" t="inlineStr">
        <is>
          <t>New York : Wiley, c1986.</t>
        </is>
      </c>
      <c r="M203" t="inlineStr">
        <is>
          <t>1986</t>
        </is>
      </c>
      <c r="N203" t="inlineStr">
        <is>
          <t>3rd ed.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RJ </t>
        </is>
      </c>
      <c r="S203" t="n">
        <v>6</v>
      </c>
      <c r="T203" t="n">
        <v>6</v>
      </c>
      <c r="U203" t="inlineStr">
        <is>
          <t>1996-04-21</t>
        </is>
      </c>
      <c r="V203" t="inlineStr">
        <is>
          <t>1996-04-21</t>
        </is>
      </c>
      <c r="W203" t="inlineStr">
        <is>
          <t>1990-07-02</t>
        </is>
      </c>
      <c r="X203" t="inlineStr">
        <is>
          <t>1990-07-02</t>
        </is>
      </c>
      <c r="Y203" t="n">
        <v>419</v>
      </c>
      <c r="Z203" t="n">
        <v>322</v>
      </c>
      <c r="AA203" t="n">
        <v>651</v>
      </c>
      <c r="AB203" t="n">
        <v>2</v>
      </c>
      <c r="AC203" t="n">
        <v>6</v>
      </c>
      <c r="AD203" t="n">
        <v>10</v>
      </c>
      <c r="AE203" t="n">
        <v>25</v>
      </c>
      <c r="AF203" t="n">
        <v>5</v>
      </c>
      <c r="AG203" t="n">
        <v>9</v>
      </c>
      <c r="AH203" t="n">
        <v>1</v>
      </c>
      <c r="AI203" t="n">
        <v>4</v>
      </c>
      <c r="AJ203" t="n">
        <v>5</v>
      </c>
      <c r="AK203" t="n">
        <v>13</v>
      </c>
      <c r="AL203" t="n">
        <v>1</v>
      </c>
      <c r="AM203" t="n">
        <v>4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HYPERLINK("http://catalog.hathitrust.org/Record/000634881","HathiTrust Record")</f>
        <v/>
      </c>
      <c r="AS203">
        <f>HYPERLINK("https://creighton-primo.hosted.exlibrisgroup.com/primo-explore/search?tab=default_tab&amp;search_scope=EVERYTHING&amp;vid=01CRU&amp;lang=en_US&amp;offset=0&amp;query=any,contains,991000848389702656","Catalog Record")</f>
        <v/>
      </c>
      <c r="AT203">
        <f>HYPERLINK("http://www.worldcat.org/oclc/13580551","WorldCat Record")</f>
        <v/>
      </c>
      <c r="AU203" t="inlineStr">
        <is>
          <t>353256183:eng</t>
        </is>
      </c>
      <c r="AV203" t="inlineStr">
        <is>
          <t>13580551</t>
        </is>
      </c>
      <c r="AW203" t="inlineStr">
        <is>
          <t>991000848389702656</t>
        </is>
      </c>
      <c r="AX203" t="inlineStr">
        <is>
          <t>991000848389702656</t>
        </is>
      </c>
      <c r="AY203" t="inlineStr">
        <is>
          <t>2257656280002656</t>
        </is>
      </c>
      <c r="AZ203" t="inlineStr">
        <is>
          <t>BOOK</t>
        </is>
      </c>
      <c r="BB203" t="inlineStr">
        <is>
          <t>9780471889748</t>
        </is>
      </c>
      <c r="BC203" t="inlineStr">
        <is>
          <t>32285000219021</t>
        </is>
      </c>
      <c r="BD203" t="inlineStr">
        <is>
          <t>893327649</t>
        </is>
      </c>
    </row>
    <row r="204">
      <c r="A204" t="inlineStr">
        <is>
          <t>No</t>
        </is>
      </c>
      <c r="B204" t="inlineStr">
        <is>
          <t>RJ499 .R43 1984</t>
        </is>
      </c>
      <c r="C204" t="inlineStr">
        <is>
          <t>0                      RJ 0499000R  43          1984</t>
        </is>
      </c>
      <c r="D204" t="inlineStr">
        <is>
          <t>Progress in pediatric psychology / edited by William J. Burns, John V. Lavigne.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L204" t="inlineStr">
        <is>
          <t>Orlando : Grune &amp; Stratton, c1984.</t>
        </is>
      </c>
      <c r="M204" t="inlineStr">
        <is>
          <t>1984</t>
        </is>
      </c>
      <c r="O204" t="inlineStr">
        <is>
          <t>eng</t>
        </is>
      </c>
      <c r="P204" t="inlineStr">
        <is>
          <t>flu</t>
        </is>
      </c>
      <c r="R204" t="inlineStr">
        <is>
          <t xml:space="preserve">RJ </t>
        </is>
      </c>
      <c r="S204" t="n">
        <v>2</v>
      </c>
      <c r="T204" t="n">
        <v>2</v>
      </c>
      <c r="U204" t="inlineStr">
        <is>
          <t>1997-06-30</t>
        </is>
      </c>
      <c r="V204" t="inlineStr">
        <is>
          <t>1997-06-30</t>
        </is>
      </c>
      <c r="W204" t="inlineStr">
        <is>
          <t>1993-02-25</t>
        </is>
      </c>
      <c r="X204" t="inlineStr">
        <is>
          <t>1993-02-25</t>
        </is>
      </c>
      <c r="Y204" t="n">
        <v>199</v>
      </c>
      <c r="Z204" t="n">
        <v>156</v>
      </c>
      <c r="AA204" t="n">
        <v>158</v>
      </c>
      <c r="AB204" t="n">
        <v>2</v>
      </c>
      <c r="AC204" t="n">
        <v>2</v>
      </c>
      <c r="AD204" t="n">
        <v>4</v>
      </c>
      <c r="AE204" t="n">
        <v>4</v>
      </c>
      <c r="AF204" t="n">
        <v>0</v>
      </c>
      <c r="AG204" t="n">
        <v>0</v>
      </c>
      <c r="AH204" t="n">
        <v>1</v>
      </c>
      <c r="AI204" t="n">
        <v>1</v>
      </c>
      <c r="AJ204" t="n">
        <v>3</v>
      </c>
      <c r="AK204" t="n">
        <v>3</v>
      </c>
      <c r="AL204" t="n">
        <v>1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HYPERLINK("http://catalog.hathitrust.org/Record/000596961","HathiTrust Record")</f>
        <v/>
      </c>
      <c r="AS204">
        <f>HYPERLINK("https://creighton-primo.hosted.exlibrisgroup.com/primo-explore/search?tab=default_tab&amp;search_scope=EVERYTHING&amp;vid=01CRU&amp;lang=en_US&amp;offset=0&amp;query=any,contains,991000348459702656","Catalog Record")</f>
        <v/>
      </c>
      <c r="AT204">
        <f>HYPERLINK("http://www.worldcat.org/oclc/10299426","WorldCat Record")</f>
        <v/>
      </c>
      <c r="AU204" t="inlineStr">
        <is>
          <t>428915272:eng</t>
        </is>
      </c>
      <c r="AV204" t="inlineStr">
        <is>
          <t>10299426</t>
        </is>
      </c>
      <c r="AW204" t="inlineStr">
        <is>
          <t>991000348459702656</t>
        </is>
      </c>
      <c r="AX204" t="inlineStr">
        <is>
          <t>991000348459702656</t>
        </is>
      </c>
      <c r="AY204" t="inlineStr">
        <is>
          <t>2255400630002656</t>
        </is>
      </c>
      <c r="AZ204" t="inlineStr">
        <is>
          <t>BOOK</t>
        </is>
      </c>
      <c r="BB204" t="inlineStr">
        <is>
          <t>9780808916024</t>
        </is>
      </c>
      <c r="BC204" t="inlineStr">
        <is>
          <t>32285001529220</t>
        </is>
      </c>
      <c r="BD204" t="inlineStr">
        <is>
          <t>893508697</t>
        </is>
      </c>
    </row>
    <row r="205">
      <c r="A205" t="inlineStr">
        <is>
          <t>No</t>
        </is>
      </c>
      <c r="B205" t="inlineStr">
        <is>
          <t>RJ499 .R53 1982</t>
        </is>
      </c>
      <c r="C205" t="inlineStr">
        <is>
          <t>0                      RJ 0499000R  53          1982</t>
        </is>
      </c>
      <c r="D205" t="inlineStr">
        <is>
          <t>The Rights of children : legal and psychological perspectives / edited by James S. Henning.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Springfield, Ill. : Thomas, c1982.</t>
        </is>
      </c>
      <c r="M205" t="inlineStr">
        <is>
          <t>1982</t>
        </is>
      </c>
      <c r="O205" t="inlineStr">
        <is>
          <t>eng</t>
        </is>
      </c>
      <c r="P205" t="inlineStr">
        <is>
          <t>ilu</t>
        </is>
      </c>
      <c r="R205" t="inlineStr">
        <is>
          <t xml:space="preserve">RJ </t>
        </is>
      </c>
      <c r="S205" t="n">
        <v>10</v>
      </c>
      <c r="T205" t="n">
        <v>10</v>
      </c>
      <c r="U205" t="inlineStr">
        <is>
          <t>1997-11-05</t>
        </is>
      </c>
      <c r="V205" t="inlineStr">
        <is>
          <t>1997-11-05</t>
        </is>
      </c>
      <c r="W205" t="inlineStr">
        <is>
          <t>1992-10-16</t>
        </is>
      </c>
      <c r="X205" t="inlineStr">
        <is>
          <t>1992-10-16</t>
        </is>
      </c>
      <c r="Y205" t="n">
        <v>355</v>
      </c>
      <c r="Z205" t="n">
        <v>312</v>
      </c>
      <c r="AA205" t="n">
        <v>316</v>
      </c>
      <c r="AB205" t="n">
        <v>6</v>
      </c>
      <c r="AC205" t="n">
        <v>6</v>
      </c>
      <c r="AD205" t="n">
        <v>19</v>
      </c>
      <c r="AE205" t="n">
        <v>19</v>
      </c>
      <c r="AF205" t="n">
        <v>2</v>
      </c>
      <c r="AG205" t="n">
        <v>2</v>
      </c>
      <c r="AH205" t="n">
        <v>1</v>
      </c>
      <c r="AI205" t="n">
        <v>1</v>
      </c>
      <c r="AJ205" t="n">
        <v>5</v>
      </c>
      <c r="AK205" t="n">
        <v>5</v>
      </c>
      <c r="AL205" t="n">
        <v>4</v>
      </c>
      <c r="AM205" t="n">
        <v>4</v>
      </c>
      <c r="AN205" t="n">
        <v>9</v>
      </c>
      <c r="AO205" t="n">
        <v>9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HYPERLINK("http://catalog.hathitrust.org/Record/000100796","HathiTrust Record")</f>
        <v/>
      </c>
      <c r="AS205">
        <f>HYPERLINK("https://creighton-primo.hosted.exlibrisgroup.com/primo-explore/search?tab=default_tab&amp;search_scope=EVERYTHING&amp;vid=01CRU&amp;lang=en_US&amp;offset=0&amp;query=any,contains,991005160009702656","Catalog Record")</f>
        <v/>
      </c>
      <c r="AT205">
        <f>HYPERLINK("http://www.worldcat.org/oclc/7774470","WorldCat Record")</f>
        <v/>
      </c>
      <c r="AU205" t="inlineStr">
        <is>
          <t>472395:eng</t>
        </is>
      </c>
      <c r="AV205" t="inlineStr">
        <is>
          <t>7774470</t>
        </is>
      </c>
      <c r="AW205" t="inlineStr">
        <is>
          <t>991005160009702656</t>
        </is>
      </c>
      <c r="AX205" t="inlineStr">
        <is>
          <t>991005160009702656</t>
        </is>
      </c>
      <c r="AY205" t="inlineStr">
        <is>
          <t>2267040960002656</t>
        </is>
      </c>
      <c r="AZ205" t="inlineStr">
        <is>
          <t>BOOK</t>
        </is>
      </c>
      <c r="BB205" t="inlineStr">
        <is>
          <t>9780398045258</t>
        </is>
      </c>
      <c r="BC205" t="inlineStr">
        <is>
          <t>32285001350221</t>
        </is>
      </c>
      <c r="BD205" t="inlineStr">
        <is>
          <t>893514141</t>
        </is>
      </c>
    </row>
    <row r="206">
      <c r="A206" t="inlineStr">
        <is>
          <t>No</t>
        </is>
      </c>
      <c r="B206" t="inlineStr">
        <is>
          <t>RJ499 .R54</t>
        </is>
      </c>
      <c r="C206" t="inlineStr">
        <is>
          <t>0                      RJ 0499000R  54</t>
        </is>
      </c>
      <c r="D206" t="inlineStr">
        <is>
          <t>Infantile autism : the syndrome and its implications for a neural theory of behavior.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Rimland, Bernard, 1928-2006.</t>
        </is>
      </c>
      <c r="L206" t="inlineStr">
        <is>
          <t>[New York : Appleton-Century-Crofts, [1964]</t>
        </is>
      </c>
      <c r="M206" t="inlineStr">
        <is>
          <t>1964</t>
        </is>
      </c>
      <c r="O206" t="inlineStr">
        <is>
          <t>eng</t>
        </is>
      </c>
      <c r="P206" t="inlineStr">
        <is>
          <t>nyu</t>
        </is>
      </c>
      <c r="Q206" t="inlineStr">
        <is>
          <t>The Century psychology series</t>
        </is>
      </c>
      <c r="R206" t="inlineStr">
        <is>
          <t xml:space="preserve">RJ </t>
        </is>
      </c>
      <c r="S206" t="n">
        <v>5</v>
      </c>
      <c r="T206" t="n">
        <v>5</v>
      </c>
      <c r="U206" t="inlineStr">
        <is>
          <t>1999-11-09</t>
        </is>
      </c>
      <c r="V206" t="inlineStr">
        <is>
          <t>1999-11-09</t>
        </is>
      </c>
      <c r="W206" t="inlineStr">
        <is>
          <t>1991-09-03</t>
        </is>
      </c>
      <c r="X206" t="inlineStr">
        <is>
          <t>1991-09-03</t>
        </is>
      </c>
      <c r="Y206" t="n">
        <v>677</v>
      </c>
      <c r="Z206" t="n">
        <v>573</v>
      </c>
      <c r="AA206" t="n">
        <v>609</v>
      </c>
      <c r="AB206" t="n">
        <v>6</v>
      </c>
      <c r="AC206" t="n">
        <v>7</v>
      </c>
      <c r="AD206" t="n">
        <v>23</v>
      </c>
      <c r="AE206" t="n">
        <v>25</v>
      </c>
      <c r="AF206" t="n">
        <v>8</v>
      </c>
      <c r="AG206" t="n">
        <v>8</v>
      </c>
      <c r="AH206" t="n">
        <v>4</v>
      </c>
      <c r="AI206" t="n">
        <v>5</v>
      </c>
      <c r="AJ206" t="n">
        <v>13</v>
      </c>
      <c r="AK206" t="n">
        <v>15</v>
      </c>
      <c r="AL206" t="n">
        <v>5</v>
      </c>
      <c r="AM206" t="n">
        <v>5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HYPERLINK("http://catalog.hathitrust.org/Record/001570879","HathiTrust Record")</f>
        <v/>
      </c>
      <c r="AS206">
        <f>HYPERLINK("https://creighton-primo.hosted.exlibrisgroup.com/primo-explore/search?tab=default_tab&amp;search_scope=EVERYTHING&amp;vid=01CRU&amp;lang=en_US&amp;offset=0&amp;query=any,contains,991005265359702656","Catalog Record")</f>
        <v/>
      </c>
      <c r="AT206">
        <f>HYPERLINK("http://www.worldcat.org/oclc/711096","WorldCat Record")</f>
        <v/>
      </c>
      <c r="AU206" t="inlineStr">
        <is>
          <t>806800210:eng</t>
        </is>
      </c>
      <c r="AV206" t="inlineStr">
        <is>
          <t>711096</t>
        </is>
      </c>
      <c r="AW206" t="inlineStr">
        <is>
          <t>991005265359702656</t>
        </is>
      </c>
      <c r="AX206" t="inlineStr">
        <is>
          <t>991005265359702656</t>
        </is>
      </c>
      <c r="AY206" t="inlineStr">
        <is>
          <t>2264061970002656</t>
        </is>
      </c>
      <c r="AZ206" t="inlineStr">
        <is>
          <t>BOOK</t>
        </is>
      </c>
      <c r="BC206" t="inlineStr">
        <is>
          <t>32285000734144</t>
        </is>
      </c>
      <c r="BD206" t="inlineStr">
        <is>
          <t>893514357</t>
        </is>
      </c>
    </row>
    <row r="207">
      <c r="A207" t="inlineStr">
        <is>
          <t>No</t>
        </is>
      </c>
      <c r="B207" t="inlineStr">
        <is>
          <t>RJ499 .R625 1988</t>
        </is>
      </c>
      <c r="C207" t="inlineStr">
        <is>
          <t>0                      RJ 0499000R  625         1988</t>
        </is>
      </c>
      <c r="D207" t="inlineStr">
        <is>
          <t>Internalizing and externalizing expressions of dysfunction / edited by Dante Cicchetti, Sheree L. Toth.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Rochester Symposium on Developmental Psychopathology (2nd : 1988 : University of Rochester)</t>
        </is>
      </c>
      <c r="L207" t="inlineStr">
        <is>
          <t>Hillsdale, N.J. : L. Erlbaum Associates, 1991.</t>
        </is>
      </c>
      <c r="M207" t="inlineStr">
        <is>
          <t>1991</t>
        </is>
      </c>
      <c r="O207" t="inlineStr">
        <is>
          <t>eng</t>
        </is>
      </c>
      <c r="P207" t="inlineStr">
        <is>
          <t>nju</t>
        </is>
      </c>
      <c r="Q207" t="inlineStr">
        <is>
          <t>Rochester Symposium on Developmental Psychopathology ; v. 2</t>
        </is>
      </c>
      <c r="R207" t="inlineStr">
        <is>
          <t xml:space="preserve">RJ </t>
        </is>
      </c>
      <c r="S207" t="n">
        <v>3</v>
      </c>
      <c r="T207" t="n">
        <v>3</v>
      </c>
      <c r="U207" t="inlineStr">
        <is>
          <t>2006-06-30</t>
        </is>
      </c>
      <c r="V207" t="inlineStr">
        <is>
          <t>2006-06-30</t>
        </is>
      </c>
      <c r="W207" t="inlineStr">
        <is>
          <t>1994-12-13</t>
        </is>
      </c>
      <c r="X207" t="inlineStr">
        <is>
          <t>1994-12-13</t>
        </is>
      </c>
      <c r="Y207" t="n">
        <v>146</v>
      </c>
      <c r="Z207" t="n">
        <v>116</v>
      </c>
      <c r="AA207" t="n">
        <v>143</v>
      </c>
      <c r="AB207" t="n">
        <v>2</v>
      </c>
      <c r="AC207" t="n">
        <v>2</v>
      </c>
      <c r="AD207" t="n">
        <v>7</v>
      </c>
      <c r="AE207" t="n">
        <v>7</v>
      </c>
      <c r="AF207" t="n">
        <v>1</v>
      </c>
      <c r="AG207" t="n">
        <v>1</v>
      </c>
      <c r="AH207" t="n">
        <v>2</v>
      </c>
      <c r="AI207" t="n">
        <v>2</v>
      </c>
      <c r="AJ207" t="n">
        <v>6</v>
      </c>
      <c r="AK207" t="n">
        <v>6</v>
      </c>
      <c r="AL207" t="n">
        <v>1</v>
      </c>
      <c r="AM207" t="n">
        <v>1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HYPERLINK("https://creighton-primo.hosted.exlibrisgroup.com/primo-explore/search?tab=default_tab&amp;search_scope=EVERYTHING&amp;vid=01CRU&amp;lang=en_US&amp;offset=0&amp;query=any,contains,991001870369702656","Catalog Record")</f>
        <v/>
      </c>
      <c r="AT207">
        <f>HYPERLINK("http://www.worldcat.org/oclc/23584395","WorldCat Record")</f>
        <v/>
      </c>
      <c r="AU207" t="inlineStr">
        <is>
          <t>355949621:eng</t>
        </is>
      </c>
      <c r="AV207" t="inlineStr">
        <is>
          <t>23584395</t>
        </is>
      </c>
      <c r="AW207" t="inlineStr">
        <is>
          <t>991001870369702656</t>
        </is>
      </c>
      <c r="AX207" t="inlineStr">
        <is>
          <t>991001870369702656</t>
        </is>
      </c>
      <c r="AY207" t="inlineStr">
        <is>
          <t>2255153510002656</t>
        </is>
      </c>
      <c r="AZ207" t="inlineStr">
        <is>
          <t>BOOK</t>
        </is>
      </c>
      <c r="BB207" t="inlineStr">
        <is>
          <t>9780805809336</t>
        </is>
      </c>
      <c r="BC207" t="inlineStr">
        <is>
          <t>32285001976330</t>
        </is>
      </c>
      <c r="BD207" t="inlineStr">
        <is>
          <t>893433192</t>
        </is>
      </c>
    </row>
    <row r="208">
      <c r="A208" t="inlineStr">
        <is>
          <t>No</t>
        </is>
      </c>
      <c r="B208" t="inlineStr">
        <is>
          <t>RJ499 .R66 1980</t>
        </is>
      </c>
      <c r="C208" t="inlineStr">
        <is>
          <t>0                      RJ 0499000R  66          1980</t>
        </is>
      </c>
      <c r="D208" t="inlineStr">
        <is>
          <t>Psychological disorders of children : a behavioral approach to theory, research, and therapy / Alan O. Ross.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Ross, Alan O.</t>
        </is>
      </c>
      <c r="L208" t="inlineStr">
        <is>
          <t>New York : McGraw-Hill, c1980.</t>
        </is>
      </c>
      <c r="M208" t="inlineStr">
        <is>
          <t>1980</t>
        </is>
      </c>
      <c r="N208" t="inlineStr">
        <is>
          <t>2d ed.</t>
        </is>
      </c>
      <c r="O208" t="inlineStr">
        <is>
          <t>eng</t>
        </is>
      </c>
      <c r="P208" t="inlineStr">
        <is>
          <t>nyu</t>
        </is>
      </c>
      <c r="Q208" t="inlineStr">
        <is>
          <t>McGraw-Hill series in psychology</t>
        </is>
      </c>
      <c r="R208" t="inlineStr">
        <is>
          <t xml:space="preserve">RJ </t>
        </is>
      </c>
      <c r="S208" t="n">
        <v>8</v>
      </c>
      <c r="T208" t="n">
        <v>8</v>
      </c>
      <c r="U208" t="inlineStr">
        <is>
          <t>1995-10-11</t>
        </is>
      </c>
      <c r="V208" t="inlineStr">
        <is>
          <t>1995-10-11</t>
        </is>
      </c>
      <c r="W208" t="inlineStr">
        <is>
          <t>1993-02-25</t>
        </is>
      </c>
      <c r="X208" t="inlineStr">
        <is>
          <t>1993-02-25</t>
        </is>
      </c>
      <c r="Y208" t="n">
        <v>397</v>
      </c>
      <c r="Z208" t="n">
        <v>289</v>
      </c>
      <c r="AA208" t="n">
        <v>644</v>
      </c>
      <c r="AB208" t="n">
        <v>3</v>
      </c>
      <c r="AC208" t="n">
        <v>3</v>
      </c>
      <c r="AD208" t="n">
        <v>9</v>
      </c>
      <c r="AE208" t="n">
        <v>21</v>
      </c>
      <c r="AF208" t="n">
        <v>3</v>
      </c>
      <c r="AG208" t="n">
        <v>10</v>
      </c>
      <c r="AH208" t="n">
        <v>2</v>
      </c>
      <c r="AI208" t="n">
        <v>4</v>
      </c>
      <c r="AJ208" t="n">
        <v>5</v>
      </c>
      <c r="AK208" t="n">
        <v>12</v>
      </c>
      <c r="AL208" t="n">
        <v>1</v>
      </c>
      <c r="AM208" t="n">
        <v>1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HYPERLINK("http://catalog.hathitrust.org/Record/007473239","HathiTrust Record")</f>
        <v/>
      </c>
      <c r="AS208">
        <f>HYPERLINK("https://creighton-primo.hosted.exlibrisgroup.com/primo-explore/search?tab=default_tab&amp;search_scope=EVERYTHING&amp;vid=01CRU&amp;lang=en_US&amp;offset=0&amp;query=any,contains,991004766879702656","Catalog Record")</f>
        <v/>
      </c>
      <c r="AT208">
        <f>HYPERLINK("http://www.worldcat.org/oclc/5029762","WorldCat Record")</f>
        <v/>
      </c>
      <c r="AU208" t="inlineStr">
        <is>
          <t>1697546:eng</t>
        </is>
      </c>
      <c r="AV208" t="inlineStr">
        <is>
          <t>5029762</t>
        </is>
      </c>
      <c r="AW208" t="inlineStr">
        <is>
          <t>991004766879702656</t>
        </is>
      </c>
      <c r="AX208" t="inlineStr">
        <is>
          <t>991004766879702656</t>
        </is>
      </c>
      <c r="AY208" t="inlineStr">
        <is>
          <t>2271157230002656</t>
        </is>
      </c>
      <c r="AZ208" t="inlineStr">
        <is>
          <t>BOOK</t>
        </is>
      </c>
      <c r="BB208" t="inlineStr">
        <is>
          <t>9780070538832</t>
        </is>
      </c>
      <c r="BC208" t="inlineStr">
        <is>
          <t>32285001529238</t>
        </is>
      </c>
      <c r="BD208" t="inlineStr">
        <is>
          <t>893688124</t>
        </is>
      </c>
    </row>
    <row r="209">
      <c r="A209" t="inlineStr">
        <is>
          <t>No</t>
        </is>
      </c>
      <c r="B209" t="inlineStr">
        <is>
          <t>RJ499 .S798</t>
        </is>
      </c>
      <c r="C209" t="inlineStr">
        <is>
          <t>0                      RJ 0499000S  798</t>
        </is>
      </c>
      <c r="D209" t="inlineStr">
        <is>
          <t>Taxonomy of behaviour disturbance / [by] D. H. Stott, N. C. Marston and Sara J. Neill. --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Stott, D. H. (Denis Herbert), 1909-1988.</t>
        </is>
      </c>
      <c r="L209" t="inlineStr">
        <is>
          <t>London : University of London Press, 1975.</t>
        </is>
      </c>
      <c r="M209" t="inlineStr">
        <is>
          <t>1975</t>
        </is>
      </c>
      <c r="O209" t="inlineStr">
        <is>
          <t>eng</t>
        </is>
      </c>
      <c r="P209" t="inlineStr">
        <is>
          <t>enk</t>
        </is>
      </c>
      <c r="R209" t="inlineStr">
        <is>
          <t xml:space="preserve">RJ </t>
        </is>
      </c>
      <c r="S209" t="n">
        <v>1</v>
      </c>
      <c r="T209" t="n">
        <v>1</v>
      </c>
      <c r="U209" t="inlineStr">
        <is>
          <t>2000-07-31</t>
        </is>
      </c>
      <c r="V209" t="inlineStr">
        <is>
          <t>2000-07-31</t>
        </is>
      </c>
      <c r="W209" t="inlineStr">
        <is>
          <t>1993-02-25</t>
        </is>
      </c>
      <c r="X209" t="inlineStr">
        <is>
          <t>1993-02-25</t>
        </is>
      </c>
      <c r="Y209" t="n">
        <v>155</v>
      </c>
      <c r="Z209" t="n">
        <v>46</v>
      </c>
      <c r="AA209" t="n">
        <v>52</v>
      </c>
      <c r="AB209" t="n">
        <v>1</v>
      </c>
      <c r="AC209" t="n">
        <v>1</v>
      </c>
      <c r="AD209" t="n">
        <v>3</v>
      </c>
      <c r="AE209" t="n">
        <v>3</v>
      </c>
      <c r="AF209" t="n">
        <v>0</v>
      </c>
      <c r="AG209" t="n">
        <v>0</v>
      </c>
      <c r="AH209" t="n">
        <v>0</v>
      </c>
      <c r="AI209" t="n">
        <v>0</v>
      </c>
      <c r="AJ209" t="n">
        <v>3</v>
      </c>
      <c r="AK209" t="n">
        <v>3</v>
      </c>
      <c r="AL209" t="n">
        <v>0</v>
      </c>
      <c r="AM209" t="n">
        <v>0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HYPERLINK("https://creighton-primo.hosted.exlibrisgroup.com/primo-explore/search?tab=default_tab&amp;search_scope=EVERYTHING&amp;vid=01CRU&amp;lang=en_US&amp;offset=0&amp;query=any,contains,991004298529702656","Catalog Record")</f>
        <v/>
      </c>
      <c r="AT209">
        <f>HYPERLINK("http://www.worldcat.org/oclc/2966821","WorldCat Record")</f>
        <v/>
      </c>
      <c r="AU209" t="inlineStr">
        <is>
          <t>154719087:eng</t>
        </is>
      </c>
      <c r="AV209" t="inlineStr">
        <is>
          <t>2966821</t>
        </is>
      </c>
      <c r="AW209" t="inlineStr">
        <is>
          <t>991004298529702656</t>
        </is>
      </c>
      <c r="AX209" t="inlineStr">
        <is>
          <t>991004298529702656</t>
        </is>
      </c>
      <c r="AY209" t="inlineStr">
        <is>
          <t>2267444600002656</t>
        </is>
      </c>
      <c r="AZ209" t="inlineStr">
        <is>
          <t>BOOK</t>
        </is>
      </c>
      <c r="BB209" t="inlineStr">
        <is>
          <t>9780340188569</t>
        </is>
      </c>
      <c r="BC209" t="inlineStr">
        <is>
          <t>32285001529246</t>
        </is>
      </c>
      <c r="BD209" t="inlineStr">
        <is>
          <t>893593524</t>
        </is>
      </c>
    </row>
    <row r="210">
      <c r="A210" t="inlineStr">
        <is>
          <t>No</t>
        </is>
      </c>
      <c r="B210" t="inlineStr">
        <is>
          <t>RJ499 .T53</t>
        </is>
      </c>
      <c r="C210" t="inlineStr">
        <is>
          <t>0                      RJ 0499000T  53</t>
        </is>
      </c>
      <c r="D210" t="inlineStr">
        <is>
          <t>Temperament and behavior disorders in children [by] Alexander Thomas, Stella Chess [and] Herbert G. Birch.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Thomas, Alexander, 1914-2003.</t>
        </is>
      </c>
      <c r="L210" t="inlineStr">
        <is>
          <t>New York, New York University Press, 1968.</t>
        </is>
      </c>
      <c r="M210" t="inlineStr">
        <is>
          <t>1968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RJ </t>
        </is>
      </c>
      <c r="S210" t="n">
        <v>5</v>
      </c>
      <c r="T210" t="n">
        <v>5</v>
      </c>
      <c r="U210" t="inlineStr">
        <is>
          <t>1998-09-29</t>
        </is>
      </c>
      <c r="V210" t="inlineStr">
        <is>
          <t>1998-09-29</t>
        </is>
      </c>
      <c r="W210" t="inlineStr">
        <is>
          <t>1997-08-12</t>
        </is>
      </c>
      <c r="X210" t="inlineStr">
        <is>
          <t>1997-08-12</t>
        </is>
      </c>
      <c r="Y210" t="n">
        <v>762</v>
      </c>
      <c r="Z210" t="n">
        <v>635</v>
      </c>
      <c r="AA210" t="n">
        <v>646</v>
      </c>
      <c r="AB210" t="n">
        <v>6</v>
      </c>
      <c r="AC210" t="n">
        <v>6</v>
      </c>
      <c r="AD210" t="n">
        <v>26</v>
      </c>
      <c r="AE210" t="n">
        <v>26</v>
      </c>
      <c r="AF210" t="n">
        <v>9</v>
      </c>
      <c r="AG210" t="n">
        <v>9</v>
      </c>
      <c r="AH210" t="n">
        <v>5</v>
      </c>
      <c r="AI210" t="n">
        <v>5</v>
      </c>
      <c r="AJ210" t="n">
        <v>15</v>
      </c>
      <c r="AK210" t="n">
        <v>15</v>
      </c>
      <c r="AL210" t="n">
        <v>4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HYPERLINK("http://catalog.hathitrust.org/Record/000004390","HathiTrust Record")</f>
        <v/>
      </c>
      <c r="AS210">
        <f>HYPERLINK("https://creighton-primo.hosted.exlibrisgroup.com/primo-explore/search?tab=default_tab&amp;search_scope=EVERYTHING&amp;vid=01CRU&amp;lang=en_US&amp;offset=0&amp;query=any,contains,991005257629702656","Catalog Record")</f>
        <v/>
      </c>
      <c r="AT210">
        <f>HYPERLINK("http://www.worldcat.org/oclc/307279","WorldCat Record")</f>
        <v/>
      </c>
      <c r="AU210" t="inlineStr">
        <is>
          <t>1360788:eng</t>
        </is>
      </c>
      <c r="AV210" t="inlineStr">
        <is>
          <t>307279</t>
        </is>
      </c>
      <c r="AW210" t="inlineStr">
        <is>
          <t>991005257629702656</t>
        </is>
      </c>
      <c r="AX210" t="inlineStr">
        <is>
          <t>991005257629702656</t>
        </is>
      </c>
      <c r="AY210" t="inlineStr">
        <is>
          <t>2265675210002656</t>
        </is>
      </c>
      <c r="AZ210" t="inlineStr">
        <is>
          <t>BOOK</t>
        </is>
      </c>
      <c r="BC210" t="inlineStr">
        <is>
          <t>32285003093803</t>
        </is>
      </c>
      <c r="BD210" t="inlineStr">
        <is>
          <t>893625715</t>
        </is>
      </c>
    </row>
    <row r="211">
      <c r="A211" t="inlineStr">
        <is>
          <t>No</t>
        </is>
      </c>
      <c r="B211" t="inlineStr">
        <is>
          <t>RJ499 .T835 1989</t>
        </is>
      </c>
      <c r="C211" t="inlineStr">
        <is>
          <t>0                      RJ 0499000T  835         1989</t>
        </is>
      </c>
      <c r="D211" t="inlineStr">
        <is>
          <t>Treatment of childhood disorders / edited by Eric J. Mash and Russell A. Barkley.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Yes</t>
        </is>
      </c>
      <c r="J211" t="inlineStr">
        <is>
          <t>0</t>
        </is>
      </c>
      <c r="L211" t="inlineStr">
        <is>
          <t>New York : Guilford Press, c1989.</t>
        </is>
      </c>
      <c r="M211" t="inlineStr">
        <is>
          <t>1989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RJ </t>
        </is>
      </c>
      <c r="S211" t="n">
        <v>12</v>
      </c>
      <c r="T211" t="n">
        <v>12</v>
      </c>
      <c r="U211" t="inlineStr">
        <is>
          <t>1997-05-01</t>
        </is>
      </c>
      <c r="V211" t="inlineStr">
        <is>
          <t>1997-05-01</t>
        </is>
      </c>
      <c r="W211" t="inlineStr">
        <is>
          <t>1992-03-31</t>
        </is>
      </c>
      <c r="X211" t="inlineStr">
        <is>
          <t>1992-03-31</t>
        </is>
      </c>
      <c r="Y211" t="n">
        <v>423</v>
      </c>
      <c r="Z211" t="n">
        <v>353</v>
      </c>
      <c r="AA211" t="n">
        <v>794</v>
      </c>
      <c r="AB211" t="n">
        <v>4</v>
      </c>
      <c r="AC211" t="n">
        <v>5</v>
      </c>
      <c r="AD211" t="n">
        <v>13</v>
      </c>
      <c r="AE211" t="n">
        <v>30</v>
      </c>
      <c r="AF211" t="n">
        <v>2</v>
      </c>
      <c r="AG211" t="n">
        <v>16</v>
      </c>
      <c r="AH211" t="n">
        <v>3</v>
      </c>
      <c r="AI211" t="n">
        <v>7</v>
      </c>
      <c r="AJ211" t="n">
        <v>7</v>
      </c>
      <c r="AK211" t="n">
        <v>14</v>
      </c>
      <c r="AL211" t="n">
        <v>3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HYPERLINK("https://creighton-primo.hosted.exlibrisgroup.com/primo-explore/search?tab=default_tab&amp;search_scope=EVERYTHING&amp;vid=01CRU&amp;lang=en_US&amp;offset=0&amp;query=any,contains,991001343509702656","Catalog Record")</f>
        <v/>
      </c>
      <c r="AT211">
        <f>HYPERLINK("http://www.worldcat.org/oclc/18411120","WorldCat Record")</f>
        <v/>
      </c>
      <c r="AU211" t="inlineStr">
        <is>
          <t>1044592449:eng</t>
        </is>
      </c>
      <c r="AV211" t="inlineStr">
        <is>
          <t>18411120</t>
        </is>
      </c>
      <c r="AW211" t="inlineStr">
        <is>
          <t>991001343509702656</t>
        </is>
      </c>
      <c r="AX211" t="inlineStr">
        <is>
          <t>991001343509702656</t>
        </is>
      </c>
      <c r="AY211" t="inlineStr">
        <is>
          <t>2254795200002656</t>
        </is>
      </c>
      <c r="AZ211" t="inlineStr">
        <is>
          <t>BOOK</t>
        </is>
      </c>
      <c r="BB211" t="inlineStr">
        <is>
          <t>9780898627435</t>
        </is>
      </c>
      <c r="BC211" t="inlineStr">
        <is>
          <t>32285001007441</t>
        </is>
      </c>
      <c r="BD211" t="inlineStr">
        <is>
          <t>893602529</t>
        </is>
      </c>
    </row>
    <row r="212">
      <c r="A212" t="inlineStr">
        <is>
          <t>No</t>
        </is>
      </c>
      <c r="B212" t="inlineStr">
        <is>
          <t>RJ499 .W4 1970</t>
        </is>
      </c>
      <c r="C212" t="inlineStr">
        <is>
          <t>0                      RJ 0499000W  4           1970</t>
        </is>
      </c>
      <c r="D212" t="inlineStr">
        <is>
          <t>The story of Sandy / brought up-to-date by Susan Stanhope Wexler.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Wexler, Susan Stanhope.</t>
        </is>
      </c>
      <c r="L212" t="inlineStr">
        <is>
          <t>[New York] : New American Library, [1970]</t>
        </is>
      </c>
      <c r="M212" t="inlineStr">
        <is>
          <t>1970</t>
        </is>
      </c>
      <c r="O212" t="inlineStr">
        <is>
          <t>eng</t>
        </is>
      </c>
      <c r="P212" t="inlineStr">
        <is>
          <t>___</t>
        </is>
      </c>
      <c r="R212" t="inlineStr">
        <is>
          <t xml:space="preserve">RJ </t>
        </is>
      </c>
      <c r="S212" t="n">
        <v>4</v>
      </c>
      <c r="T212" t="n">
        <v>4</v>
      </c>
      <c r="U212" t="inlineStr">
        <is>
          <t>2000-11-12</t>
        </is>
      </c>
      <c r="V212" t="inlineStr">
        <is>
          <t>2000-11-12</t>
        </is>
      </c>
      <c r="W212" t="inlineStr">
        <is>
          <t>1992-01-07</t>
        </is>
      </c>
      <c r="X212" t="inlineStr">
        <is>
          <t>1992-01-07</t>
        </is>
      </c>
      <c r="Y212" t="n">
        <v>144</v>
      </c>
      <c r="Z212" t="n">
        <v>128</v>
      </c>
      <c r="AA212" t="n">
        <v>268</v>
      </c>
      <c r="AB212" t="n">
        <v>3</v>
      </c>
      <c r="AC212" t="n">
        <v>4</v>
      </c>
      <c r="AD212" t="n">
        <v>2</v>
      </c>
      <c r="AE212" t="n">
        <v>7</v>
      </c>
      <c r="AF212" t="n">
        <v>2</v>
      </c>
      <c r="AG212" t="n">
        <v>4</v>
      </c>
      <c r="AH212" t="n">
        <v>1</v>
      </c>
      <c r="AI212" t="n">
        <v>1</v>
      </c>
      <c r="AJ212" t="n">
        <v>1</v>
      </c>
      <c r="AK212" t="n">
        <v>3</v>
      </c>
      <c r="AL212" t="n">
        <v>0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HYPERLINK("http://catalog.hathitrust.org/Record/004514295","HathiTrust Record")</f>
        <v/>
      </c>
      <c r="AS212">
        <f>HYPERLINK("https://creighton-primo.hosted.exlibrisgroup.com/primo-explore/search?tab=default_tab&amp;search_scope=EVERYTHING&amp;vid=01CRU&amp;lang=en_US&amp;offset=0&amp;query=any,contains,991003435719702656","Catalog Record")</f>
        <v/>
      </c>
      <c r="AT212">
        <f>HYPERLINK("http://www.worldcat.org/oclc/971210","WorldCat Record")</f>
        <v/>
      </c>
      <c r="AU212" t="inlineStr">
        <is>
          <t>1664632:eng</t>
        </is>
      </c>
      <c r="AV212" t="inlineStr">
        <is>
          <t>971210</t>
        </is>
      </c>
      <c r="AW212" t="inlineStr">
        <is>
          <t>991003435719702656</t>
        </is>
      </c>
      <c r="AX212" t="inlineStr">
        <is>
          <t>991003435719702656</t>
        </is>
      </c>
      <c r="AY212" t="inlineStr">
        <is>
          <t>2256989370002656</t>
        </is>
      </c>
      <c r="AZ212" t="inlineStr">
        <is>
          <t>BOOK</t>
        </is>
      </c>
      <c r="BC212" t="inlineStr">
        <is>
          <t>32285000883453</t>
        </is>
      </c>
      <c r="BD212" t="inlineStr">
        <is>
          <t>893535467</t>
        </is>
      </c>
    </row>
    <row r="213">
      <c r="A213" t="inlineStr">
        <is>
          <t>No</t>
        </is>
      </c>
      <c r="B213" t="inlineStr">
        <is>
          <t>RJ499 .W49 1971</t>
        </is>
      </c>
      <c r="C213" t="inlineStr">
        <is>
          <t>0                      RJ 0499000W  49          1971</t>
        </is>
      </c>
      <c r="D213" t="inlineStr">
        <is>
          <t>Therapeutic consultations in child psychiatry / [by] D. W. Winnicott.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Winnicott, D. W. (Donald Woods), 1896-1971.</t>
        </is>
      </c>
      <c r="L213" t="inlineStr">
        <is>
          <t>New York : Basic Books, [1971]</t>
        </is>
      </c>
      <c r="M213" t="inlineStr">
        <is>
          <t>1971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RJ </t>
        </is>
      </c>
      <c r="S213" t="n">
        <v>1</v>
      </c>
      <c r="T213" t="n">
        <v>1</v>
      </c>
      <c r="U213" t="inlineStr">
        <is>
          <t>1993-09-03</t>
        </is>
      </c>
      <c r="V213" t="inlineStr">
        <is>
          <t>1993-09-03</t>
        </is>
      </c>
      <c r="W213" t="inlineStr">
        <is>
          <t>1993-02-25</t>
        </is>
      </c>
      <c r="X213" t="inlineStr">
        <is>
          <t>1993-02-25</t>
        </is>
      </c>
      <c r="Y213" t="n">
        <v>446</v>
      </c>
      <c r="Z213" t="n">
        <v>397</v>
      </c>
      <c r="AA213" t="n">
        <v>475</v>
      </c>
      <c r="AB213" t="n">
        <v>4</v>
      </c>
      <c r="AC213" t="n">
        <v>4</v>
      </c>
      <c r="AD213" t="n">
        <v>18</v>
      </c>
      <c r="AE213" t="n">
        <v>23</v>
      </c>
      <c r="AF213" t="n">
        <v>7</v>
      </c>
      <c r="AG213" t="n">
        <v>9</v>
      </c>
      <c r="AH213" t="n">
        <v>4</v>
      </c>
      <c r="AI213" t="n">
        <v>6</v>
      </c>
      <c r="AJ213" t="n">
        <v>9</v>
      </c>
      <c r="AK213" t="n">
        <v>12</v>
      </c>
      <c r="AL213" t="n">
        <v>3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HYPERLINK("https://creighton-primo.hosted.exlibrisgroup.com/primo-explore/search?tab=default_tab&amp;search_scope=EVERYTHING&amp;vid=01CRU&amp;lang=en_US&amp;offset=0&amp;query=any,contains,991001237449702656","Catalog Record")</f>
        <v/>
      </c>
      <c r="AT213">
        <f>HYPERLINK("http://www.worldcat.org/oclc/206787","WorldCat Record")</f>
        <v/>
      </c>
      <c r="AU213" t="inlineStr">
        <is>
          <t>8907554466:eng</t>
        </is>
      </c>
      <c r="AV213" t="inlineStr">
        <is>
          <t>206787</t>
        </is>
      </c>
      <c r="AW213" t="inlineStr">
        <is>
          <t>991001237449702656</t>
        </is>
      </c>
      <c r="AX213" t="inlineStr">
        <is>
          <t>991001237449702656</t>
        </is>
      </c>
      <c r="AY213" t="inlineStr">
        <is>
          <t>2255047440002656</t>
        </is>
      </c>
      <c r="AZ213" t="inlineStr">
        <is>
          <t>BOOK</t>
        </is>
      </c>
      <c r="BB213" t="inlineStr">
        <is>
          <t>9780465085118</t>
        </is>
      </c>
      <c r="BC213" t="inlineStr">
        <is>
          <t>32285001529279</t>
        </is>
      </c>
      <c r="BD213" t="inlineStr">
        <is>
          <t>893321766</t>
        </is>
      </c>
    </row>
    <row r="214">
      <c r="A214" t="inlineStr">
        <is>
          <t>No</t>
        </is>
      </c>
      <c r="B214" t="inlineStr">
        <is>
          <t>RJ499.A1 C3</t>
        </is>
      </c>
      <c r="C214" t="inlineStr">
        <is>
          <t>0                      RJ 0499000A  1                  C  3</t>
        </is>
      </c>
      <c r="D214" t="inlineStr">
        <is>
          <t>Prevention of mental disorders in children : initial exploration.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Caplan, Gerald editor.</t>
        </is>
      </c>
      <c r="L214" t="inlineStr">
        <is>
          <t>New York, Basic Books [1961]</t>
        </is>
      </c>
      <c r="M214" t="inlineStr">
        <is>
          <t>1961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RJ </t>
        </is>
      </c>
      <c r="S214" t="n">
        <v>1</v>
      </c>
      <c r="T214" t="n">
        <v>1</v>
      </c>
      <c r="U214" t="inlineStr">
        <is>
          <t>1999-01-07</t>
        </is>
      </c>
      <c r="V214" t="inlineStr">
        <is>
          <t>1999-01-07</t>
        </is>
      </c>
      <c r="W214" t="inlineStr">
        <is>
          <t>1997-08-14</t>
        </is>
      </c>
      <c r="X214" t="inlineStr">
        <is>
          <t>1997-08-14</t>
        </is>
      </c>
      <c r="Y214" t="n">
        <v>566</v>
      </c>
      <c r="Z214" t="n">
        <v>502</v>
      </c>
      <c r="AA214" t="n">
        <v>508</v>
      </c>
      <c r="AB214" t="n">
        <v>3</v>
      </c>
      <c r="AC214" t="n">
        <v>3</v>
      </c>
      <c r="AD214" t="n">
        <v>16</v>
      </c>
      <c r="AE214" t="n">
        <v>16</v>
      </c>
      <c r="AF214" t="n">
        <v>4</v>
      </c>
      <c r="AG214" t="n">
        <v>4</v>
      </c>
      <c r="AH214" t="n">
        <v>4</v>
      </c>
      <c r="AI214" t="n">
        <v>4</v>
      </c>
      <c r="AJ214" t="n">
        <v>10</v>
      </c>
      <c r="AK214" t="n">
        <v>10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R214">
        <f>HYPERLINK("http://catalog.hathitrust.org/Record/001570766","HathiTrust Record")</f>
        <v/>
      </c>
      <c r="AS214">
        <f>HYPERLINK("https://creighton-primo.hosted.exlibrisgroup.com/primo-explore/search?tab=default_tab&amp;search_scope=EVERYTHING&amp;vid=01CRU&amp;lang=en_US&amp;offset=0&amp;query=any,contains,991000948899702656","Catalog Record")</f>
        <v/>
      </c>
      <c r="AT214">
        <f>HYPERLINK("http://www.worldcat.org/oclc/14605633","WorldCat Record")</f>
        <v/>
      </c>
      <c r="AU214" t="inlineStr">
        <is>
          <t>8907222167:eng</t>
        </is>
      </c>
      <c r="AV214" t="inlineStr">
        <is>
          <t>14605633</t>
        </is>
      </c>
      <c r="AW214" t="inlineStr">
        <is>
          <t>991000948899702656</t>
        </is>
      </c>
      <c r="AX214" t="inlineStr">
        <is>
          <t>991000948899702656</t>
        </is>
      </c>
      <c r="AY214" t="inlineStr">
        <is>
          <t>2266990080002656</t>
        </is>
      </c>
      <c r="AZ214" t="inlineStr">
        <is>
          <t>BOOK</t>
        </is>
      </c>
      <c r="BC214" t="inlineStr">
        <is>
          <t>32285003093639</t>
        </is>
      </c>
      <c r="BD214" t="inlineStr">
        <is>
          <t>893696322</t>
        </is>
      </c>
    </row>
    <row r="215">
      <c r="A215" t="inlineStr">
        <is>
          <t>No</t>
        </is>
      </c>
      <c r="B215" t="inlineStr">
        <is>
          <t>RJ50 .D47 1983</t>
        </is>
      </c>
      <c r="C215" t="inlineStr">
        <is>
          <t>0                      RJ 0050000D  47          1983</t>
        </is>
      </c>
      <c r="D215" t="inlineStr">
        <is>
          <t>Detection of developmental problems in children : birth to adolescence / edited by Marilyn J. Krajicek, Alice I. Tearney Tomlinson.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Baltimore : University Park Press, c1983.</t>
        </is>
      </c>
      <c r="M215" t="inlineStr">
        <is>
          <t>1983</t>
        </is>
      </c>
      <c r="N215" t="inlineStr">
        <is>
          <t>2nd ed.</t>
        </is>
      </c>
      <c r="O215" t="inlineStr">
        <is>
          <t>eng</t>
        </is>
      </c>
      <c r="P215" t="inlineStr">
        <is>
          <t>mdu</t>
        </is>
      </c>
      <c r="R215" t="inlineStr">
        <is>
          <t xml:space="preserve">RJ </t>
        </is>
      </c>
      <c r="S215" t="n">
        <v>2</v>
      </c>
      <c r="T215" t="n">
        <v>2</v>
      </c>
      <c r="U215" t="inlineStr">
        <is>
          <t>1997-03-18</t>
        </is>
      </c>
      <c r="V215" t="inlineStr">
        <is>
          <t>1997-03-18</t>
        </is>
      </c>
      <c r="W215" t="inlineStr">
        <is>
          <t>1993-03-25</t>
        </is>
      </c>
      <c r="X215" t="inlineStr">
        <is>
          <t>1993-03-25</t>
        </is>
      </c>
      <c r="Y215" t="n">
        <v>185</v>
      </c>
      <c r="Z215" t="n">
        <v>163</v>
      </c>
      <c r="AA215" t="n">
        <v>176</v>
      </c>
      <c r="AB215" t="n">
        <v>4</v>
      </c>
      <c r="AC215" t="n">
        <v>4</v>
      </c>
      <c r="AD215" t="n">
        <v>9</v>
      </c>
      <c r="AE215" t="n">
        <v>9</v>
      </c>
      <c r="AF215" t="n">
        <v>3</v>
      </c>
      <c r="AG215" t="n">
        <v>3</v>
      </c>
      <c r="AH215" t="n">
        <v>1</v>
      </c>
      <c r="AI215" t="n">
        <v>1</v>
      </c>
      <c r="AJ215" t="n">
        <v>5</v>
      </c>
      <c r="AK215" t="n">
        <v>5</v>
      </c>
      <c r="AL215" t="n">
        <v>2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HYPERLINK("http://catalog.hathitrust.org/Record/000109803","HathiTrust Record")</f>
        <v/>
      </c>
      <c r="AS215">
        <f>HYPERLINK("https://creighton-primo.hosted.exlibrisgroup.com/primo-explore/search?tab=default_tab&amp;search_scope=EVERYTHING&amp;vid=01CRU&amp;lang=en_US&amp;offset=0&amp;query=any,contains,991000104939702656","Catalog Record")</f>
        <v/>
      </c>
      <c r="AT215">
        <f>HYPERLINK("http://www.worldcat.org/oclc/8975084","WorldCat Record")</f>
        <v/>
      </c>
      <c r="AU215" t="inlineStr">
        <is>
          <t>374610189:eng</t>
        </is>
      </c>
      <c r="AV215" t="inlineStr">
        <is>
          <t>8975084</t>
        </is>
      </c>
      <c r="AW215" t="inlineStr">
        <is>
          <t>991000104939702656</t>
        </is>
      </c>
      <c r="AX215" t="inlineStr">
        <is>
          <t>991000104939702656</t>
        </is>
      </c>
      <c r="AY215" t="inlineStr">
        <is>
          <t>2255571200002656</t>
        </is>
      </c>
      <c r="AZ215" t="inlineStr">
        <is>
          <t>BOOK</t>
        </is>
      </c>
      <c r="BB215" t="inlineStr">
        <is>
          <t>9780839117896</t>
        </is>
      </c>
      <c r="BC215" t="inlineStr">
        <is>
          <t>32285001609642</t>
        </is>
      </c>
      <c r="BD215" t="inlineStr">
        <is>
          <t>893339283</t>
        </is>
      </c>
    </row>
    <row r="216">
      <c r="A216" t="inlineStr">
        <is>
          <t>No</t>
        </is>
      </c>
      <c r="B216" t="inlineStr">
        <is>
          <t>RJ500 .S65</t>
        </is>
      </c>
      <c r="C216" t="inlineStr">
        <is>
          <t>0                      RJ 0500000S  65</t>
        </is>
      </c>
      <c r="D216" t="inlineStr">
        <is>
          <t>A Social learning approach to family intervention / G. R. Patterson ... [et al.].</t>
        </is>
      </c>
      <c r="E216" t="inlineStr">
        <is>
          <t>V. 1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Eugene, Or. : Castalia Pub. Co., c1975-</t>
        </is>
      </c>
      <c r="M216" t="inlineStr">
        <is>
          <t>1975</t>
        </is>
      </c>
      <c r="O216" t="inlineStr">
        <is>
          <t>eng</t>
        </is>
      </c>
      <c r="P216" t="inlineStr">
        <is>
          <t>oru</t>
        </is>
      </c>
      <c r="R216" t="inlineStr">
        <is>
          <t xml:space="preserve">RJ </t>
        </is>
      </c>
      <c r="S216" t="n">
        <v>2</v>
      </c>
      <c r="T216" t="n">
        <v>2</v>
      </c>
      <c r="U216" t="inlineStr">
        <is>
          <t>2003-12-23</t>
        </is>
      </c>
      <c r="V216" t="inlineStr">
        <is>
          <t>2003-12-23</t>
        </is>
      </c>
      <c r="W216" t="inlineStr">
        <is>
          <t>1992-04-22</t>
        </is>
      </c>
      <c r="X216" t="inlineStr">
        <is>
          <t>1992-04-22</t>
        </is>
      </c>
      <c r="Y216" t="n">
        <v>370</v>
      </c>
      <c r="Z216" t="n">
        <v>314</v>
      </c>
      <c r="AA216" t="n">
        <v>316</v>
      </c>
      <c r="AB216" t="n">
        <v>5</v>
      </c>
      <c r="AC216" t="n">
        <v>5</v>
      </c>
      <c r="AD216" t="n">
        <v>9</v>
      </c>
      <c r="AE216" t="n">
        <v>9</v>
      </c>
      <c r="AF216" t="n">
        <v>3</v>
      </c>
      <c r="AG216" t="n">
        <v>3</v>
      </c>
      <c r="AH216" t="n">
        <v>1</v>
      </c>
      <c r="AI216" t="n">
        <v>1</v>
      </c>
      <c r="AJ216" t="n">
        <v>6</v>
      </c>
      <c r="AK216" t="n">
        <v>6</v>
      </c>
      <c r="AL216" t="n">
        <v>2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HYPERLINK("http://catalog.hathitrust.org/Record/000228031","HathiTrust Record")</f>
        <v/>
      </c>
      <c r="AS216">
        <f>HYPERLINK("https://creighton-primo.hosted.exlibrisgroup.com/primo-explore/search?tab=default_tab&amp;search_scope=EVERYTHING&amp;vid=01CRU&amp;lang=en_US&amp;offset=0&amp;query=any,contains,991005253369702656","Catalog Record")</f>
        <v/>
      </c>
      <c r="AT216">
        <f>HYPERLINK("http://www.worldcat.org/oclc/2072400","WorldCat Record")</f>
        <v/>
      </c>
      <c r="AU216" t="inlineStr">
        <is>
          <t>3372717567:eng</t>
        </is>
      </c>
      <c r="AV216" t="inlineStr">
        <is>
          <t>2072400</t>
        </is>
      </c>
      <c r="AW216" t="inlineStr">
        <is>
          <t>991005253369702656</t>
        </is>
      </c>
      <c r="AX216" t="inlineStr">
        <is>
          <t>991005253369702656</t>
        </is>
      </c>
      <c r="AY216" t="inlineStr">
        <is>
          <t>2255048260002656</t>
        </is>
      </c>
      <c r="AZ216" t="inlineStr">
        <is>
          <t>BOOK</t>
        </is>
      </c>
      <c r="BB216" t="inlineStr">
        <is>
          <t>9780916154103</t>
        </is>
      </c>
      <c r="BC216" t="inlineStr">
        <is>
          <t>32285001069334</t>
        </is>
      </c>
      <c r="BD216" t="inlineStr">
        <is>
          <t>893248606</t>
        </is>
      </c>
    </row>
    <row r="217">
      <c r="A217" t="inlineStr">
        <is>
          <t>No</t>
        </is>
      </c>
      <c r="B217" t="inlineStr">
        <is>
          <t>RJ500.2 .C48 1984</t>
        </is>
      </c>
      <c r="C217" t="inlineStr">
        <is>
          <t>0                      RJ 0500200C  48          1984</t>
        </is>
      </c>
      <c r="D217" t="inlineStr">
        <is>
          <t>Children in families under stress / Anna-Beth Doyle, Dolores Gold, Debbie S. Moskowitz, editors.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San Francisco : Jossey-Bass, 1984.</t>
        </is>
      </c>
      <c r="M217" t="inlineStr">
        <is>
          <t>1984</t>
        </is>
      </c>
      <c r="O217" t="inlineStr">
        <is>
          <t>eng</t>
        </is>
      </c>
      <c r="P217" t="inlineStr">
        <is>
          <t>cau</t>
        </is>
      </c>
      <c r="Q217" t="inlineStr">
        <is>
          <t>New directions for child development, 0195-2269 ; no. 24 (June 1984</t>
        </is>
      </c>
      <c r="R217" t="inlineStr">
        <is>
          <t xml:space="preserve">RJ </t>
        </is>
      </c>
      <c r="S217" t="n">
        <v>5</v>
      </c>
      <c r="T217" t="n">
        <v>5</v>
      </c>
      <c r="U217" t="inlineStr">
        <is>
          <t>1994-04-23</t>
        </is>
      </c>
      <c r="V217" t="inlineStr">
        <is>
          <t>1994-04-23</t>
        </is>
      </c>
      <c r="W217" t="inlineStr">
        <is>
          <t>1993-02-25</t>
        </is>
      </c>
      <c r="X217" t="inlineStr">
        <is>
          <t>1993-02-25</t>
        </is>
      </c>
      <c r="Y217" t="n">
        <v>415</v>
      </c>
      <c r="Z217" t="n">
        <v>347</v>
      </c>
      <c r="AA217" t="n">
        <v>351</v>
      </c>
      <c r="AB217" t="n">
        <v>2</v>
      </c>
      <c r="AC217" t="n">
        <v>2</v>
      </c>
      <c r="AD217" t="n">
        <v>13</v>
      </c>
      <c r="AE217" t="n">
        <v>13</v>
      </c>
      <c r="AF217" t="n">
        <v>4</v>
      </c>
      <c r="AG217" t="n">
        <v>4</v>
      </c>
      <c r="AH217" t="n">
        <v>3</v>
      </c>
      <c r="AI217" t="n">
        <v>3</v>
      </c>
      <c r="AJ217" t="n">
        <v>10</v>
      </c>
      <c r="AK217" t="n">
        <v>10</v>
      </c>
      <c r="AL217" t="n">
        <v>1</v>
      </c>
      <c r="AM217" t="n">
        <v>1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HYPERLINK("http://catalog.hathitrust.org/Record/000206200","HathiTrust Record")</f>
        <v/>
      </c>
      <c r="AS217">
        <f>HYPERLINK("https://creighton-primo.hosted.exlibrisgroup.com/primo-explore/search?tab=default_tab&amp;search_scope=EVERYTHING&amp;vid=01CRU&amp;lang=en_US&amp;offset=0&amp;query=any,contains,991000468329702656","Catalog Record")</f>
        <v/>
      </c>
      <c r="AT217">
        <f>HYPERLINK("http://www.worldcat.org/oclc/10994399","WorldCat Record")</f>
        <v/>
      </c>
      <c r="AU217" t="inlineStr">
        <is>
          <t>355703908:eng</t>
        </is>
      </c>
      <c r="AV217" t="inlineStr">
        <is>
          <t>10994399</t>
        </is>
      </c>
      <c r="AW217" t="inlineStr">
        <is>
          <t>991000468329702656</t>
        </is>
      </c>
      <c r="AX217" t="inlineStr">
        <is>
          <t>991000468329702656</t>
        </is>
      </c>
      <c r="AY217" t="inlineStr">
        <is>
          <t>2263451270002656</t>
        </is>
      </c>
      <c r="AZ217" t="inlineStr">
        <is>
          <t>BOOK</t>
        </is>
      </c>
      <c r="BB217" t="inlineStr">
        <is>
          <t>9780875899848</t>
        </is>
      </c>
      <c r="BC217" t="inlineStr">
        <is>
          <t>32285001529287</t>
        </is>
      </c>
      <c r="BD217" t="inlineStr">
        <is>
          <t>893689717</t>
        </is>
      </c>
    </row>
    <row r="218">
      <c r="A218" t="inlineStr">
        <is>
          <t>No</t>
        </is>
      </c>
      <c r="B218" t="inlineStr">
        <is>
          <t>RJ502.5 .F76 1983</t>
        </is>
      </c>
      <c r="C218" t="inlineStr">
        <is>
          <t>0                      RJ 0502500F  76          1983</t>
        </is>
      </c>
      <c r="D218" t="inlineStr">
        <is>
          <t>Frontiers of infant psychiatry / Justin D. Call, Eleanor Galenson, Robert L. Tyson, editors.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New York : Basic Books, c1983.</t>
        </is>
      </c>
      <c r="M218" t="inlineStr">
        <is>
          <t>1982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RJ </t>
        </is>
      </c>
      <c r="S218" t="n">
        <v>3</v>
      </c>
      <c r="T218" t="n">
        <v>3</v>
      </c>
      <c r="U218" t="inlineStr">
        <is>
          <t>1998-09-21</t>
        </is>
      </c>
      <c r="V218" t="inlineStr">
        <is>
          <t>1998-09-21</t>
        </is>
      </c>
      <c r="W218" t="inlineStr">
        <is>
          <t>1993-02-25</t>
        </is>
      </c>
      <c r="X218" t="inlineStr">
        <is>
          <t>1993-02-25</t>
        </is>
      </c>
      <c r="Y218" t="n">
        <v>295</v>
      </c>
      <c r="Z218" t="n">
        <v>243</v>
      </c>
      <c r="AA218" t="n">
        <v>253</v>
      </c>
      <c r="AB218" t="n">
        <v>3</v>
      </c>
      <c r="AC218" t="n">
        <v>3</v>
      </c>
      <c r="AD218" t="n">
        <v>13</v>
      </c>
      <c r="AE218" t="n">
        <v>14</v>
      </c>
      <c r="AF218" t="n">
        <v>4</v>
      </c>
      <c r="AG218" t="n">
        <v>5</v>
      </c>
      <c r="AH218" t="n">
        <v>1</v>
      </c>
      <c r="AI218" t="n">
        <v>1</v>
      </c>
      <c r="AJ218" t="n">
        <v>8</v>
      </c>
      <c r="AK218" t="n">
        <v>9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HYPERLINK("http://catalog.hathitrust.org/Record/000203122","HathiTrust Record")</f>
        <v/>
      </c>
      <c r="AS218">
        <f>HYPERLINK("https://creighton-primo.hosted.exlibrisgroup.com/primo-explore/search?tab=default_tab&amp;search_scope=EVERYTHING&amp;vid=01CRU&amp;lang=en_US&amp;offset=0&amp;query=any,contains,991000015919702656","Catalog Record")</f>
        <v/>
      </c>
      <c r="AT218">
        <f>HYPERLINK("http://www.worldcat.org/oclc/8552965","WorldCat Record")</f>
        <v/>
      </c>
      <c r="AU218" t="inlineStr">
        <is>
          <t>774099011:eng</t>
        </is>
      </c>
      <c r="AV218" t="inlineStr">
        <is>
          <t>8552965</t>
        </is>
      </c>
      <c r="AW218" t="inlineStr">
        <is>
          <t>991000015919702656</t>
        </is>
      </c>
      <c r="AX218" t="inlineStr">
        <is>
          <t>991000015919702656</t>
        </is>
      </c>
      <c r="AY218" t="inlineStr">
        <is>
          <t>2257515240002656</t>
        </is>
      </c>
      <c r="AZ218" t="inlineStr">
        <is>
          <t>BOOK</t>
        </is>
      </c>
      <c r="BB218" t="inlineStr">
        <is>
          <t>9780465025855</t>
        </is>
      </c>
      <c r="BC218" t="inlineStr">
        <is>
          <t>32285001529303</t>
        </is>
      </c>
      <c r="BD218" t="inlineStr">
        <is>
          <t>893339188</t>
        </is>
      </c>
    </row>
    <row r="219">
      <c r="A219" t="inlineStr">
        <is>
          <t>No</t>
        </is>
      </c>
      <c r="B219" t="inlineStr">
        <is>
          <t>RJ502.5 .G73 1981</t>
        </is>
      </c>
      <c r="C219" t="inlineStr">
        <is>
          <t>0                      RJ 0502500G  73          1981</t>
        </is>
      </c>
      <c r="D219" t="inlineStr">
        <is>
          <t>Psychopathology and adaptation in infancy and early childhood : principles of clinical diagnosis and preventive intervention / by Stanley I. Greenspan.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Greenspan, Stanley I.</t>
        </is>
      </c>
      <c r="L219" t="inlineStr">
        <is>
          <t>New York : International Universities Press, c1981.</t>
        </is>
      </c>
      <c r="M219" t="inlineStr">
        <is>
          <t>1981</t>
        </is>
      </c>
      <c r="O219" t="inlineStr">
        <is>
          <t>eng</t>
        </is>
      </c>
      <c r="P219" t="inlineStr">
        <is>
          <t>nyu</t>
        </is>
      </c>
      <c r="Q219" t="inlineStr">
        <is>
          <t>Clinical infant reports</t>
        </is>
      </c>
      <c r="R219" t="inlineStr">
        <is>
          <t xml:space="preserve">RJ </t>
        </is>
      </c>
      <c r="S219" t="n">
        <v>3</v>
      </c>
      <c r="T219" t="n">
        <v>3</v>
      </c>
      <c r="U219" t="inlineStr">
        <is>
          <t>2007-08-31</t>
        </is>
      </c>
      <c r="V219" t="inlineStr">
        <is>
          <t>2007-08-31</t>
        </is>
      </c>
      <c r="W219" t="inlineStr">
        <is>
          <t>1993-02-25</t>
        </is>
      </c>
      <c r="X219" t="inlineStr">
        <is>
          <t>1993-02-25</t>
        </is>
      </c>
      <c r="Y219" t="n">
        <v>255</v>
      </c>
      <c r="Z219" t="n">
        <v>221</v>
      </c>
      <c r="AA219" t="n">
        <v>223</v>
      </c>
      <c r="AB219" t="n">
        <v>2</v>
      </c>
      <c r="AC219" t="n">
        <v>2</v>
      </c>
      <c r="AD219" t="n">
        <v>7</v>
      </c>
      <c r="AE219" t="n">
        <v>7</v>
      </c>
      <c r="AF219" t="n">
        <v>1</v>
      </c>
      <c r="AG219" t="n">
        <v>1</v>
      </c>
      <c r="AH219" t="n">
        <v>1</v>
      </c>
      <c r="AI219" t="n">
        <v>1</v>
      </c>
      <c r="AJ219" t="n">
        <v>5</v>
      </c>
      <c r="AK219" t="n">
        <v>5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HYPERLINK("http://catalog.hathitrust.org/Record/005288831","HathiTrust Record")</f>
        <v/>
      </c>
      <c r="AS219">
        <f>HYPERLINK("https://creighton-primo.hosted.exlibrisgroup.com/primo-explore/search?tab=default_tab&amp;search_scope=EVERYTHING&amp;vid=01CRU&amp;lang=en_US&amp;offset=0&amp;query=any,contains,991005183209702656","Catalog Record")</f>
        <v/>
      </c>
      <c r="AT219">
        <f>HYPERLINK("http://www.worldcat.org/oclc/7947714","WorldCat Record")</f>
        <v/>
      </c>
      <c r="AU219" t="inlineStr">
        <is>
          <t>427656071:eng</t>
        </is>
      </c>
      <c r="AV219" t="inlineStr">
        <is>
          <t>7947714</t>
        </is>
      </c>
      <c r="AW219" t="inlineStr">
        <is>
          <t>991005183209702656</t>
        </is>
      </c>
      <c r="AX219" t="inlineStr">
        <is>
          <t>991005183209702656</t>
        </is>
      </c>
      <c r="AY219" t="inlineStr">
        <is>
          <t>2270140250002656</t>
        </is>
      </c>
      <c r="AZ219" t="inlineStr">
        <is>
          <t>BOOK</t>
        </is>
      </c>
      <c r="BB219" t="inlineStr">
        <is>
          <t>9780823656608</t>
        </is>
      </c>
      <c r="BC219" t="inlineStr">
        <is>
          <t>32285001529311</t>
        </is>
      </c>
      <c r="BD219" t="inlineStr">
        <is>
          <t>893883466</t>
        </is>
      </c>
    </row>
    <row r="220">
      <c r="A220" t="inlineStr">
        <is>
          <t>No</t>
        </is>
      </c>
      <c r="B220" t="inlineStr">
        <is>
          <t>RJ502.5 .H36 1993</t>
        </is>
      </c>
      <c r="C220" t="inlineStr">
        <is>
          <t>0                      RJ 0502500H  36          1993</t>
        </is>
      </c>
      <c r="D220" t="inlineStr">
        <is>
          <t>Handbook of infant mental health / edited by Charles H. Zeanah, Jr.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Yes</t>
        </is>
      </c>
      <c r="J220" t="inlineStr">
        <is>
          <t>0</t>
        </is>
      </c>
      <c r="L220" t="inlineStr">
        <is>
          <t>New York : Guilford Press, 1993.</t>
        </is>
      </c>
      <c r="M220" t="inlineStr">
        <is>
          <t>1993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RJ </t>
        </is>
      </c>
      <c r="S220" t="n">
        <v>9</v>
      </c>
      <c r="T220" t="n">
        <v>9</v>
      </c>
      <c r="U220" t="inlineStr">
        <is>
          <t>2008-10-27</t>
        </is>
      </c>
      <c r="V220" t="inlineStr">
        <is>
          <t>2008-10-27</t>
        </is>
      </c>
      <c r="W220" t="inlineStr">
        <is>
          <t>1996-11-25</t>
        </is>
      </c>
      <c r="X220" t="inlineStr">
        <is>
          <t>1996-11-25</t>
        </is>
      </c>
      <c r="Y220" t="n">
        <v>408</v>
      </c>
      <c r="Z220" t="n">
        <v>308</v>
      </c>
      <c r="AA220" t="n">
        <v>813</v>
      </c>
      <c r="AB220" t="n">
        <v>4</v>
      </c>
      <c r="AC220" t="n">
        <v>9</v>
      </c>
      <c r="AD220" t="n">
        <v>14</v>
      </c>
      <c r="AE220" t="n">
        <v>38</v>
      </c>
      <c r="AF220" t="n">
        <v>4</v>
      </c>
      <c r="AG220" t="n">
        <v>16</v>
      </c>
      <c r="AH220" t="n">
        <v>5</v>
      </c>
      <c r="AI220" t="n">
        <v>7</v>
      </c>
      <c r="AJ220" t="n">
        <v>6</v>
      </c>
      <c r="AK220" t="n">
        <v>18</v>
      </c>
      <c r="AL220" t="n">
        <v>3</v>
      </c>
      <c r="AM220" t="n">
        <v>7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HYPERLINK("https://creighton-primo.hosted.exlibrisgroup.com/primo-explore/search?tab=default_tab&amp;search_scope=EVERYTHING&amp;vid=01CRU&amp;lang=en_US&amp;offset=0&amp;query=any,contains,991002152729702656","Catalog Record")</f>
        <v/>
      </c>
      <c r="AT220">
        <f>HYPERLINK("http://www.worldcat.org/oclc/27728604","WorldCat Record")</f>
        <v/>
      </c>
      <c r="AU220" t="inlineStr">
        <is>
          <t>1072124247:eng</t>
        </is>
      </c>
      <c r="AV220" t="inlineStr">
        <is>
          <t>27728604</t>
        </is>
      </c>
      <c r="AW220" t="inlineStr">
        <is>
          <t>991002152729702656</t>
        </is>
      </c>
      <c r="AX220" t="inlineStr">
        <is>
          <t>991002152729702656</t>
        </is>
      </c>
      <c r="AY220" t="inlineStr">
        <is>
          <t>2265947400002656</t>
        </is>
      </c>
      <c r="AZ220" t="inlineStr">
        <is>
          <t>BOOK</t>
        </is>
      </c>
      <c r="BB220" t="inlineStr">
        <is>
          <t>9780898629965</t>
        </is>
      </c>
      <c r="BC220" t="inlineStr">
        <is>
          <t>32285002385671</t>
        </is>
      </c>
      <c r="BD220" t="inlineStr">
        <is>
          <t>893316451</t>
        </is>
      </c>
    </row>
    <row r="221">
      <c r="A221" t="inlineStr">
        <is>
          <t>No</t>
        </is>
      </c>
      <c r="B221" t="inlineStr">
        <is>
          <t>RJ502.5 .M55 1986</t>
        </is>
      </c>
      <c r="C221" t="inlineStr">
        <is>
          <t>0                      RJ 0502500M  55          1986</t>
        </is>
      </c>
      <c r="D221" t="inlineStr">
        <is>
          <t>Infant psychiatry : an introductory textbook / by Klaus Minde, Regina Minde.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Minde, Klaus, 1933-</t>
        </is>
      </c>
      <c r="L221" t="inlineStr">
        <is>
          <t>Beverly Hills : Sage Publications, c1986.</t>
        </is>
      </c>
      <c r="M221" t="inlineStr">
        <is>
          <t>1986</t>
        </is>
      </c>
      <c r="O221" t="inlineStr">
        <is>
          <t>eng</t>
        </is>
      </c>
      <c r="P221" t="inlineStr">
        <is>
          <t>cau</t>
        </is>
      </c>
      <c r="Q221" t="inlineStr">
        <is>
          <t>Developmental clinical psychology and psychiatry ; v. 4</t>
        </is>
      </c>
      <c r="R221" t="inlineStr">
        <is>
          <t xml:space="preserve">RJ </t>
        </is>
      </c>
      <c r="S221" t="n">
        <v>2</v>
      </c>
      <c r="T221" t="n">
        <v>2</v>
      </c>
      <c r="U221" t="inlineStr">
        <is>
          <t>1998-09-28</t>
        </is>
      </c>
      <c r="V221" t="inlineStr">
        <is>
          <t>1998-09-28</t>
        </is>
      </c>
      <c r="W221" t="inlineStr">
        <is>
          <t>1993-02-25</t>
        </is>
      </c>
      <c r="X221" t="inlineStr">
        <is>
          <t>1993-02-25</t>
        </is>
      </c>
      <c r="Y221" t="n">
        <v>231</v>
      </c>
      <c r="Z221" t="n">
        <v>189</v>
      </c>
      <c r="AA221" t="n">
        <v>191</v>
      </c>
      <c r="AB221" t="n">
        <v>4</v>
      </c>
      <c r="AC221" t="n">
        <v>4</v>
      </c>
      <c r="AD221" t="n">
        <v>10</v>
      </c>
      <c r="AE221" t="n">
        <v>10</v>
      </c>
      <c r="AF221" t="n">
        <v>1</v>
      </c>
      <c r="AG221" t="n">
        <v>1</v>
      </c>
      <c r="AH221" t="n">
        <v>2</v>
      </c>
      <c r="AI221" t="n">
        <v>2</v>
      </c>
      <c r="AJ221" t="n">
        <v>6</v>
      </c>
      <c r="AK221" t="n">
        <v>6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HYPERLINK("http://catalog.hathitrust.org/Record/000824529","HathiTrust Record")</f>
        <v/>
      </c>
      <c r="AS221">
        <f>HYPERLINK("https://creighton-primo.hosted.exlibrisgroup.com/primo-explore/search?tab=default_tab&amp;search_scope=EVERYTHING&amp;vid=01CRU&amp;lang=en_US&amp;offset=0&amp;query=any,contains,991000657699702656","Catalog Record")</f>
        <v/>
      </c>
      <c r="AT221">
        <f>HYPERLINK("http://www.worldcat.org/oclc/12217139","WorldCat Record")</f>
        <v/>
      </c>
      <c r="AU221" t="inlineStr">
        <is>
          <t>4962589:eng</t>
        </is>
      </c>
      <c r="AV221" t="inlineStr">
        <is>
          <t>12217139</t>
        </is>
      </c>
      <c r="AW221" t="inlineStr">
        <is>
          <t>991000657699702656</t>
        </is>
      </c>
      <c r="AX221" t="inlineStr">
        <is>
          <t>991000657699702656</t>
        </is>
      </c>
      <c r="AY221" t="inlineStr">
        <is>
          <t>2267853590002656</t>
        </is>
      </c>
      <c r="AZ221" t="inlineStr">
        <is>
          <t>BOOK</t>
        </is>
      </c>
      <c r="BB221" t="inlineStr">
        <is>
          <t>9780803925205</t>
        </is>
      </c>
      <c r="BC221" t="inlineStr">
        <is>
          <t>32285001529337</t>
        </is>
      </c>
      <c r="BD221" t="inlineStr">
        <is>
          <t>893884614</t>
        </is>
      </c>
    </row>
    <row r="222">
      <c r="A222" t="inlineStr">
        <is>
          <t>No</t>
        </is>
      </c>
      <c r="B222" t="inlineStr">
        <is>
          <t>RJ503 .A314 1984</t>
        </is>
      </c>
      <c r="C222" t="inlineStr">
        <is>
          <t>0                      RJ 0503000A  314         1984</t>
        </is>
      </c>
      <c r="D222" t="inlineStr">
        <is>
          <t>Adolescent behavior disorders : foundations and contemporary concerns / edited by Paul Karoly, John J. Steffen.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Lexington, Mass. : Lexington Books, c1984.</t>
        </is>
      </c>
      <c r="M222" t="inlineStr">
        <is>
          <t>1984</t>
        </is>
      </c>
      <c r="O222" t="inlineStr">
        <is>
          <t>eng</t>
        </is>
      </c>
      <c r="P222" t="inlineStr">
        <is>
          <t>mau</t>
        </is>
      </c>
      <c r="Q222" t="inlineStr">
        <is>
          <t>Advances in child behavioral analysis and therapy ; v. 3</t>
        </is>
      </c>
      <c r="R222" t="inlineStr">
        <is>
          <t xml:space="preserve">RJ </t>
        </is>
      </c>
      <c r="S222" t="n">
        <v>6</v>
      </c>
      <c r="T222" t="n">
        <v>6</v>
      </c>
      <c r="U222" t="inlineStr">
        <is>
          <t>1997-06-11</t>
        </is>
      </c>
      <c r="V222" t="inlineStr">
        <is>
          <t>1997-06-11</t>
        </is>
      </c>
      <c r="W222" t="inlineStr">
        <is>
          <t>1993-02-25</t>
        </is>
      </c>
      <c r="X222" t="inlineStr">
        <is>
          <t>1993-02-25</t>
        </is>
      </c>
      <c r="Y222" t="n">
        <v>297</v>
      </c>
      <c r="Z222" t="n">
        <v>235</v>
      </c>
      <c r="AA222" t="n">
        <v>236</v>
      </c>
      <c r="AB222" t="n">
        <v>1</v>
      </c>
      <c r="AC222" t="n">
        <v>1</v>
      </c>
      <c r="AD222" t="n">
        <v>12</v>
      </c>
      <c r="AE222" t="n">
        <v>12</v>
      </c>
      <c r="AF222" t="n">
        <v>6</v>
      </c>
      <c r="AG222" t="n">
        <v>6</v>
      </c>
      <c r="AH222" t="n">
        <v>4</v>
      </c>
      <c r="AI222" t="n">
        <v>4</v>
      </c>
      <c r="AJ222" t="n">
        <v>7</v>
      </c>
      <c r="AK222" t="n">
        <v>7</v>
      </c>
      <c r="AL222" t="n">
        <v>0</v>
      </c>
      <c r="AM222" t="n">
        <v>0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HYPERLINK("https://creighton-primo.hosted.exlibrisgroup.com/primo-explore/search?tab=default_tab&amp;search_scope=EVERYTHING&amp;vid=01CRU&amp;lang=en_US&amp;offset=0&amp;query=any,contains,991000343139702656","Catalog Record")</f>
        <v/>
      </c>
      <c r="AT222">
        <f>HYPERLINK("http://www.worldcat.org/oclc/10275671","WorldCat Record")</f>
        <v/>
      </c>
      <c r="AU222" t="inlineStr">
        <is>
          <t>836647840:eng</t>
        </is>
      </c>
      <c r="AV222" t="inlineStr">
        <is>
          <t>10275671</t>
        </is>
      </c>
      <c r="AW222" t="inlineStr">
        <is>
          <t>991000343139702656</t>
        </is>
      </c>
      <c r="AX222" t="inlineStr">
        <is>
          <t>991000343139702656</t>
        </is>
      </c>
      <c r="AY222" t="inlineStr">
        <is>
          <t>2269111780002656</t>
        </is>
      </c>
      <c r="AZ222" t="inlineStr">
        <is>
          <t>BOOK</t>
        </is>
      </c>
      <c r="BB222" t="inlineStr">
        <is>
          <t>9780669056419</t>
        </is>
      </c>
      <c r="BC222" t="inlineStr">
        <is>
          <t>32285001529345</t>
        </is>
      </c>
      <c r="BD222" t="inlineStr">
        <is>
          <t>893784144</t>
        </is>
      </c>
    </row>
    <row r="223">
      <c r="A223" t="inlineStr">
        <is>
          <t>No</t>
        </is>
      </c>
      <c r="B223" t="inlineStr">
        <is>
          <t>RJ503 .B36 1988</t>
        </is>
      </c>
      <c r="C223" t="inlineStr">
        <is>
          <t>0                      RJ 0503000B  36          1988</t>
        </is>
      </c>
      <c r="D223" t="inlineStr">
        <is>
          <t>Behavior disorders of adolescence : research, intervention, and policy in clinical and school settings / edited by Robert J. McMahon and Ray DeV. Peters.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Banff International Conference on Behavioural Science (20th : 1988 : Banff, Alta.)</t>
        </is>
      </c>
      <c r="L223" t="inlineStr">
        <is>
          <t>New York : Plenum Press, c1990.</t>
        </is>
      </c>
      <c r="M223" t="inlineStr">
        <is>
          <t>1990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RJ </t>
        </is>
      </c>
      <c r="S223" t="n">
        <v>20</v>
      </c>
      <c r="T223" t="n">
        <v>20</v>
      </c>
      <c r="U223" t="inlineStr">
        <is>
          <t>2006-03-21</t>
        </is>
      </c>
      <c r="V223" t="inlineStr">
        <is>
          <t>2006-03-21</t>
        </is>
      </c>
      <c r="W223" t="inlineStr">
        <is>
          <t>1992-04-30</t>
        </is>
      </c>
      <c r="X223" t="inlineStr">
        <is>
          <t>1992-04-30</t>
        </is>
      </c>
      <c r="Y223" t="n">
        <v>183</v>
      </c>
      <c r="Z223" t="n">
        <v>129</v>
      </c>
      <c r="AA223" t="n">
        <v>157</v>
      </c>
      <c r="AB223" t="n">
        <v>2</v>
      </c>
      <c r="AC223" t="n">
        <v>2</v>
      </c>
      <c r="AD223" t="n">
        <v>8</v>
      </c>
      <c r="AE223" t="n">
        <v>10</v>
      </c>
      <c r="AF223" t="n">
        <v>3</v>
      </c>
      <c r="AG223" t="n">
        <v>5</v>
      </c>
      <c r="AH223" t="n">
        <v>1</v>
      </c>
      <c r="AI223" t="n">
        <v>1</v>
      </c>
      <c r="AJ223" t="n">
        <v>5</v>
      </c>
      <c r="AK223" t="n">
        <v>6</v>
      </c>
      <c r="AL223" t="n">
        <v>1</v>
      </c>
      <c r="AM223" t="n">
        <v>1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HYPERLINK("http://catalog.hathitrust.org/Record/002461523","HathiTrust Record")</f>
        <v/>
      </c>
      <c r="AS223">
        <f>HYPERLINK("https://creighton-primo.hosted.exlibrisgroup.com/primo-explore/search?tab=default_tab&amp;search_scope=EVERYTHING&amp;vid=01CRU&amp;lang=en_US&amp;offset=0&amp;query=any,contains,991001831559702656","Catalog Record")</f>
        <v/>
      </c>
      <c r="AT223">
        <f>HYPERLINK("http://www.worldcat.org/oclc/23015307","WorldCat Record")</f>
        <v/>
      </c>
      <c r="AU223" t="inlineStr">
        <is>
          <t>24220007:eng</t>
        </is>
      </c>
      <c r="AV223" t="inlineStr">
        <is>
          <t>23015307</t>
        </is>
      </c>
      <c r="AW223" t="inlineStr">
        <is>
          <t>991001831559702656</t>
        </is>
      </c>
      <c r="AX223" t="inlineStr">
        <is>
          <t>991001831559702656</t>
        </is>
      </c>
      <c r="AY223" t="inlineStr">
        <is>
          <t>2262596670002656</t>
        </is>
      </c>
      <c r="AZ223" t="inlineStr">
        <is>
          <t>BOOK</t>
        </is>
      </c>
      <c r="BB223" t="inlineStr">
        <is>
          <t>9780306438134</t>
        </is>
      </c>
      <c r="BC223" t="inlineStr">
        <is>
          <t>32285001037398</t>
        </is>
      </c>
      <c r="BD223" t="inlineStr">
        <is>
          <t>893503738</t>
        </is>
      </c>
    </row>
    <row r="224">
      <c r="A224" t="inlineStr">
        <is>
          <t>No</t>
        </is>
      </c>
      <c r="B224" t="inlineStr">
        <is>
          <t>RJ503 .B64 2007</t>
        </is>
      </c>
      <c r="C224" t="inlineStr">
        <is>
          <t>0                      RJ 0503000B  64          2007</t>
        </is>
      </c>
      <c r="D224" t="inlineStr">
        <is>
          <t>When to worry : how to tell if your teen needs help--and what to do about it / Lisa Boesky.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Boesky, Lisa Melanie.</t>
        </is>
      </c>
      <c r="L224" t="inlineStr">
        <is>
          <t>New York : AMACOM, c2007.</t>
        </is>
      </c>
      <c r="M224" t="inlineStr">
        <is>
          <t>2007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RJ </t>
        </is>
      </c>
      <c r="S224" t="n">
        <v>2</v>
      </c>
      <c r="T224" t="n">
        <v>2</v>
      </c>
      <c r="U224" t="inlineStr">
        <is>
          <t>2007-08-08</t>
        </is>
      </c>
      <c r="V224" t="inlineStr">
        <is>
          <t>2007-08-08</t>
        </is>
      </c>
      <c r="W224" t="inlineStr">
        <is>
          <t>2007-07-23</t>
        </is>
      </c>
      <c r="X224" t="inlineStr">
        <is>
          <t>2007-07-23</t>
        </is>
      </c>
      <c r="Y224" t="n">
        <v>289</v>
      </c>
      <c r="Z224" t="n">
        <v>223</v>
      </c>
      <c r="AA224" t="n">
        <v>810</v>
      </c>
      <c r="AB224" t="n">
        <v>3</v>
      </c>
      <c r="AC224" t="n">
        <v>14</v>
      </c>
      <c r="AD224" t="n">
        <v>4</v>
      </c>
      <c r="AE224" t="n">
        <v>18</v>
      </c>
      <c r="AF224" t="n">
        <v>1</v>
      </c>
      <c r="AG224" t="n">
        <v>8</v>
      </c>
      <c r="AH224" t="n">
        <v>1</v>
      </c>
      <c r="AI224" t="n">
        <v>2</v>
      </c>
      <c r="AJ224" t="n">
        <v>2</v>
      </c>
      <c r="AK224" t="n">
        <v>4</v>
      </c>
      <c r="AL224" t="n">
        <v>1</v>
      </c>
      <c r="AM224" t="n">
        <v>8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HYPERLINK("https://creighton-primo.hosted.exlibrisgroup.com/primo-explore/search?tab=default_tab&amp;search_scope=EVERYTHING&amp;vid=01CRU&amp;lang=en_US&amp;offset=0&amp;query=any,contains,991005102889702656","Catalog Record")</f>
        <v/>
      </c>
      <c r="AT224">
        <f>HYPERLINK("http://www.worldcat.org/oclc/78070791","WorldCat Record")</f>
        <v/>
      </c>
      <c r="AU224" t="inlineStr">
        <is>
          <t>802980490:eng</t>
        </is>
      </c>
      <c r="AV224" t="inlineStr">
        <is>
          <t>78070791</t>
        </is>
      </c>
      <c r="AW224" t="inlineStr">
        <is>
          <t>991005102889702656</t>
        </is>
      </c>
      <c r="AX224" t="inlineStr">
        <is>
          <t>991005102889702656</t>
        </is>
      </c>
      <c r="AY224" t="inlineStr">
        <is>
          <t>2268705310002656</t>
        </is>
      </c>
      <c r="AZ224" t="inlineStr">
        <is>
          <t>BOOK</t>
        </is>
      </c>
      <c r="BB224" t="inlineStr">
        <is>
          <t>9780814473634</t>
        </is>
      </c>
      <c r="BC224" t="inlineStr">
        <is>
          <t>32285005321434</t>
        </is>
      </c>
      <c r="BD224" t="inlineStr">
        <is>
          <t>893418372</t>
        </is>
      </c>
    </row>
    <row r="225">
      <c r="A225" t="inlineStr">
        <is>
          <t>No</t>
        </is>
      </c>
      <c r="B225" t="inlineStr">
        <is>
          <t>RJ503 .E17</t>
        </is>
      </c>
      <c r="C225" t="inlineStr">
        <is>
          <t>0                      RJ 0503000E  17</t>
        </is>
      </c>
      <c r="D225" t="inlineStr">
        <is>
          <t>The severely disturbed adolescent; inpatient, residential, and hospital treatment [by] William M. Easson. --</t>
        </is>
      </c>
      <c r="F225" t="inlineStr">
        <is>
          <t>No</t>
        </is>
      </c>
      <c r="G225" t="inlineStr">
        <is>
          <t>1</t>
        </is>
      </c>
      <c r="H225" t="inlineStr">
        <is>
          <t>Yes</t>
        </is>
      </c>
      <c r="I225" t="inlineStr">
        <is>
          <t>No</t>
        </is>
      </c>
      <c r="J225" t="inlineStr">
        <is>
          <t>0</t>
        </is>
      </c>
      <c r="K225" t="inlineStr">
        <is>
          <t>Easson, William M., 1931-</t>
        </is>
      </c>
      <c r="L225" t="inlineStr">
        <is>
          <t>[New York, International Universities Press, 1969]</t>
        </is>
      </c>
      <c r="M225" t="inlineStr">
        <is>
          <t>1969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RJ </t>
        </is>
      </c>
      <c r="S225" t="n">
        <v>3</v>
      </c>
      <c r="T225" t="n">
        <v>4</v>
      </c>
      <c r="U225" t="inlineStr">
        <is>
          <t>1994-03-21</t>
        </is>
      </c>
      <c r="V225" t="inlineStr">
        <is>
          <t>1994-03-21</t>
        </is>
      </c>
      <c r="W225" t="inlineStr">
        <is>
          <t>1993-03-03</t>
        </is>
      </c>
      <c r="X225" t="inlineStr">
        <is>
          <t>1993-03-03</t>
        </is>
      </c>
      <c r="Y225" t="n">
        <v>421</v>
      </c>
      <c r="Z225" t="n">
        <v>368</v>
      </c>
      <c r="AA225" t="n">
        <v>372</v>
      </c>
      <c r="AB225" t="n">
        <v>5</v>
      </c>
      <c r="AC225" t="n">
        <v>5</v>
      </c>
      <c r="AD225" t="n">
        <v>12</v>
      </c>
      <c r="AE225" t="n">
        <v>12</v>
      </c>
      <c r="AF225" t="n">
        <v>2</v>
      </c>
      <c r="AG225" t="n">
        <v>2</v>
      </c>
      <c r="AH225" t="n">
        <v>2</v>
      </c>
      <c r="AI225" t="n">
        <v>2</v>
      </c>
      <c r="AJ225" t="n">
        <v>7</v>
      </c>
      <c r="AK225" t="n">
        <v>7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HYPERLINK("http://catalog.hathitrust.org/Record/001570933","HathiTrust Record")</f>
        <v/>
      </c>
      <c r="AS225">
        <f>HYPERLINK("https://creighton-primo.hosted.exlibrisgroup.com/primo-explore/search?tab=default_tab&amp;search_scope=EVERYTHING&amp;vid=01CRU&amp;lang=en_US&amp;offset=0&amp;query=any,contains,991001761179702656","Catalog Record")</f>
        <v/>
      </c>
      <c r="AT225">
        <f>HYPERLINK("http://www.worldcat.org/oclc/23694","WorldCat Record")</f>
        <v/>
      </c>
      <c r="AU225" t="inlineStr">
        <is>
          <t>1145906:eng</t>
        </is>
      </c>
      <c r="AV225" t="inlineStr">
        <is>
          <t>23694</t>
        </is>
      </c>
      <c r="AW225" t="inlineStr">
        <is>
          <t>991001761179702656</t>
        </is>
      </c>
      <c r="AX225" t="inlineStr">
        <is>
          <t>991001761179702656</t>
        </is>
      </c>
      <c r="AY225" t="inlineStr">
        <is>
          <t>2267666420002656</t>
        </is>
      </c>
      <c r="AZ225" t="inlineStr">
        <is>
          <t>BOOK</t>
        </is>
      </c>
      <c r="BC225" t="inlineStr">
        <is>
          <t>32285001529378</t>
        </is>
      </c>
      <c r="BD225" t="inlineStr">
        <is>
          <t>893879148</t>
        </is>
      </c>
    </row>
    <row r="226">
      <c r="A226" t="inlineStr">
        <is>
          <t>No</t>
        </is>
      </c>
      <c r="B226" t="inlineStr">
        <is>
          <t>RJ503 .H25</t>
        </is>
      </c>
      <c r="C226" t="inlineStr">
        <is>
          <t>0                      RJ 0503000H  25</t>
        </is>
      </c>
      <c r="D226" t="inlineStr">
        <is>
          <t>Leaving home : the therapy of disturbed young people / Jay Haley.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Haley, Jay, 1923-2007.</t>
        </is>
      </c>
      <c r="L226" t="inlineStr">
        <is>
          <t>New York : McGraw-Hill, c1980.</t>
        </is>
      </c>
      <c r="M226" t="inlineStr">
        <is>
          <t>1980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RJ </t>
        </is>
      </c>
      <c r="S226" t="n">
        <v>8</v>
      </c>
      <c r="T226" t="n">
        <v>8</v>
      </c>
      <c r="U226" t="inlineStr">
        <is>
          <t>1994-04-26</t>
        </is>
      </c>
      <c r="V226" t="inlineStr">
        <is>
          <t>1994-04-26</t>
        </is>
      </c>
      <c r="W226" t="inlineStr">
        <is>
          <t>1992-01-03</t>
        </is>
      </c>
      <c r="X226" t="inlineStr">
        <is>
          <t>1992-01-03</t>
        </is>
      </c>
      <c r="Y226" t="n">
        <v>831</v>
      </c>
      <c r="Z226" t="n">
        <v>687</v>
      </c>
      <c r="AA226" t="n">
        <v>794</v>
      </c>
      <c r="AB226" t="n">
        <v>5</v>
      </c>
      <c r="AC226" t="n">
        <v>5</v>
      </c>
      <c r="AD226" t="n">
        <v>23</v>
      </c>
      <c r="AE226" t="n">
        <v>32</v>
      </c>
      <c r="AF226" t="n">
        <v>9</v>
      </c>
      <c r="AG226" t="n">
        <v>12</v>
      </c>
      <c r="AH226" t="n">
        <v>4</v>
      </c>
      <c r="AI226" t="n">
        <v>7</v>
      </c>
      <c r="AJ226" t="n">
        <v>14</v>
      </c>
      <c r="AK226" t="n">
        <v>19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HYPERLINK("http://catalog.hathitrust.org/Record/000709460","HathiTrust Record")</f>
        <v/>
      </c>
      <c r="AS226">
        <f>HYPERLINK("https://creighton-primo.hosted.exlibrisgroup.com/primo-explore/search?tab=default_tab&amp;search_scope=EVERYTHING&amp;vid=01CRU&amp;lang=en_US&amp;offset=0&amp;query=any,contains,991004840099702656","Catalog Record")</f>
        <v/>
      </c>
      <c r="AT226">
        <f>HYPERLINK("http://www.worldcat.org/oclc/5496301","WorldCat Record")</f>
        <v/>
      </c>
      <c r="AU226" t="inlineStr">
        <is>
          <t>34548238:eng</t>
        </is>
      </c>
      <c r="AV226" t="inlineStr">
        <is>
          <t>5496301</t>
        </is>
      </c>
      <c r="AW226" t="inlineStr">
        <is>
          <t>991004840099702656</t>
        </is>
      </c>
      <c r="AX226" t="inlineStr">
        <is>
          <t>991004840099702656</t>
        </is>
      </c>
      <c r="AY226" t="inlineStr">
        <is>
          <t>2266183220002656</t>
        </is>
      </c>
      <c r="AZ226" t="inlineStr">
        <is>
          <t>BOOK</t>
        </is>
      </c>
      <c r="BB226" t="inlineStr">
        <is>
          <t>9780070255708</t>
        </is>
      </c>
      <c r="BC226" t="inlineStr">
        <is>
          <t>32285000882497</t>
        </is>
      </c>
      <c r="BD226" t="inlineStr">
        <is>
          <t>893235975</t>
        </is>
      </c>
    </row>
    <row r="227">
      <c r="A227" t="inlineStr">
        <is>
          <t>No</t>
        </is>
      </c>
      <c r="B227" t="inlineStr">
        <is>
          <t>RJ503 .J662</t>
        </is>
      </c>
      <c r="C227" t="inlineStr">
        <is>
          <t>0                      RJ 0503000J  662</t>
        </is>
      </c>
      <c r="D227" t="inlineStr">
        <is>
          <t>Adolescents with behavior problems : strategies for teaching, counseling, and parent involvement / Vernon F. Jones.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Jones, Vernon F., 1945-</t>
        </is>
      </c>
      <c r="L227" t="inlineStr">
        <is>
          <t>Boston : Allyn and Bacon, c1980.</t>
        </is>
      </c>
      <c r="M227" t="inlineStr">
        <is>
          <t>1980</t>
        </is>
      </c>
      <c r="N227" t="inlineStr">
        <is>
          <t>Abridged ed.</t>
        </is>
      </c>
      <c r="O227" t="inlineStr">
        <is>
          <t>eng</t>
        </is>
      </c>
      <c r="P227" t="inlineStr">
        <is>
          <t>mau</t>
        </is>
      </c>
      <c r="R227" t="inlineStr">
        <is>
          <t xml:space="preserve">RJ </t>
        </is>
      </c>
      <c r="S227" t="n">
        <v>8</v>
      </c>
      <c r="T227" t="n">
        <v>8</v>
      </c>
      <c r="U227" t="inlineStr">
        <is>
          <t>1998-02-17</t>
        </is>
      </c>
      <c r="V227" t="inlineStr">
        <is>
          <t>1998-02-17</t>
        </is>
      </c>
      <c r="W227" t="inlineStr">
        <is>
          <t>1991-11-08</t>
        </is>
      </c>
      <c r="X227" t="inlineStr">
        <is>
          <t>1991-11-08</t>
        </is>
      </c>
      <c r="Y227" t="n">
        <v>229</v>
      </c>
      <c r="Z227" t="n">
        <v>187</v>
      </c>
      <c r="AA227" t="n">
        <v>438</v>
      </c>
      <c r="AB227" t="n">
        <v>3</v>
      </c>
      <c r="AC227" t="n">
        <v>5</v>
      </c>
      <c r="AD227" t="n">
        <v>11</v>
      </c>
      <c r="AE227" t="n">
        <v>19</v>
      </c>
      <c r="AF227" t="n">
        <v>4</v>
      </c>
      <c r="AG227" t="n">
        <v>7</v>
      </c>
      <c r="AH227" t="n">
        <v>2</v>
      </c>
      <c r="AI227" t="n">
        <v>4</v>
      </c>
      <c r="AJ227" t="n">
        <v>6</v>
      </c>
      <c r="AK227" t="n">
        <v>11</v>
      </c>
      <c r="AL227" t="n">
        <v>2</v>
      </c>
      <c r="AM227" t="n">
        <v>3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HYPERLINK("http://catalog.hathitrust.org/Record/009913453","HathiTrust Record")</f>
        <v/>
      </c>
      <c r="AS227">
        <f>HYPERLINK("https://creighton-primo.hosted.exlibrisgroup.com/primo-explore/search?tab=default_tab&amp;search_scope=EVERYTHING&amp;vid=01CRU&amp;lang=en_US&amp;offset=0&amp;query=any,contains,991004815639702656","Catalog Record")</f>
        <v/>
      </c>
      <c r="AT227">
        <f>HYPERLINK("http://www.worldcat.org/oclc/5309875","WorldCat Record")</f>
        <v/>
      </c>
      <c r="AU227" t="inlineStr">
        <is>
          <t>17266493:eng</t>
        </is>
      </c>
      <c r="AV227" t="inlineStr">
        <is>
          <t>5309875</t>
        </is>
      </c>
      <c r="AW227" t="inlineStr">
        <is>
          <t>991004815639702656</t>
        </is>
      </c>
      <c r="AX227" t="inlineStr">
        <is>
          <t>991004815639702656</t>
        </is>
      </c>
      <c r="AY227" t="inlineStr">
        <is>
          <t>2258077220002656</t>
        </is>
      </c>
      <c r="AZ227" t="inlineStr">
        <is>
          <t>BOOK</t>
        </is>
      </c>
      <c r="BB227" t="inlineStr">
        <is>
          <t>9780205068241</t>
        </is>
      </c>
      <c r="BC227" t="inlineStr">
        <is>
          <t>32285000821081</t>
        </is>
      </c>
      <c r="BD227" t="inlineStr">
        <is>
          <t>893782692</t>
        </is>
      </c>
    </row>
    <row r="228">
      <c r="A228" t="inlineStr">
        <is>
          <t>No</t>
        </is>
      </c>
      <c r="B228" t="inlineStr">
        <is>
          <t>RJ503 .L48 1984</t>
        </is>
      </c>
      <c r="C228" t="inlineStr">
        <is>
          <t>0                      RJ 0503000L  48          1984</t>
        </is>
      </c>
      <c r="D228" t="inlineStr">
        <is>
          <t>Adolescent crisis : family counseling approaches / Eva Leveton.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Leveton, Eva.</t>
        </is>
      </c>
      <c r="L228" t="inlineStr">
        <is>
          <t>New York : Springer Pub. Co., c1984.</t>
        </is>
      </c>
      <c r="M228" t="inlineStr">
        <is>
          <t>1984</t>
        </is>
      </c>
      <c r="O228" t="inlineStr">
        <is>
          <t>eng</t>
        </is>
      </c>
      <c r="P228" t="inlineStr">
        <is>
          <t>nyu</t>
        </is>
      </c>
      <c r="R228" t="inlineStr">
        <is>
          <t xml:space="preserve">RJ </t>
        </is>
      </c>
      <c r="S228" t="n">
        <v>8</v>
      </c>
      <c r="T228" t="n">
        <v>8</v>
      </c>
      <c r="U228" t="inlineStr">
        <is>
          <t>2008-10-06</t>
        </is>
      </c>
      <c r="V228" t="inlineStr">
        <is>
          <t>2008-10-06</t>
        </is>
      </c>
      <c r="W228" t="inlineStr">
        <is>
          <t>1993-03-03</t>
        </is>
      </c>
      <c r="X228" t="inlineStr">
        <is>
          <t>1993-03-03</t>
        </is>
      </c>
      <c r="Y228" t="n">
        <v>350</v>
      </c>
      <c r="Z228" t="n">
        <v>295</v>
      </c>
      <c r="AA228" t="n">
        <v>302</v>
      </c>
      <c r="AB228" t="n">
        <v>2</v>
      </c>
      <c r="AC228" t="n">
        <v>2</v>
      </c>
      <c r="AD228" t="n">
        <v>12</v>
      </c>
      <c r="AE228" t="n">
        <v>12</v>
      </c>
      <c r="AF228" t="n">
        <v>3</v>
      </c>
      <c r="AG228" t="n">
        <v>3</v>
      </c>
      <c r="AH228" t="n">
        <v>2</v>
      </c>
      <c r="AI228" t="n">
        <v>2</v>
      </c>
      <c r="AJ228" t="n">
        <v>8</v>
      </c>
      <c r="AK228" t="n">
        <v>8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HYPERLINK("http://catalog.hathitrust.org/Record/000246938","HathiTrust Record")</f>
        <v/>
      </c>
      <c r="AS228">
        <f>HYPERLINK("https://creighton-primo.hosted.exlibrisgroup.com/primo-explore/search?tab=default_tab&amp;search_scope=EVERYTHING&amp;vid=01CRU&amp;lang=en_US&amp;offset=0&amp;query=any,contains,991000432889702656","Catalog Record")</f>
        <v/>
      </c>
      <c r="AT228">
        <f>HYPERLINK("http://www.worldcat.org/oclc/10780058","WorldCat Record")</f>
        <v/>
      </c>
      <c r="AU228" t="inlineStr">
        <is>
          <t>967136:eng</t>
        </is>
      </c>
      <c r="AV228" t="inlineStr">
        <is>
          <t>10780058</t>
        </is>
      </c>
      <c r="AW228" t="inlineStr">
        <is>
          <t>991000432889702656</t>
        </is>
      </c>
      <c r="AX228" t="inlineStr">
        <is>
          <t>991000432889702656</t>
        </is>
      </c>
      <c r="AY228" t="inlineStr">
        <is>
          <t>2255292850002656</t>
        </is>
      </c>
      <c r="AZ228" t="inlineStr">
        <is>
          <t>BOOK</t>
        </is>
      </c>
      <c r="BB228" t="inlineStr">
        <is>
          <t>9780826145000</t>
        </is>
      </c>
      <c r="BC228" t="inlineStr">
        <is>
          <t>32285001529394</t>
        </is>
      </c>
      <c r="BD228" t="inlineStr">
        <is>
          <t>893714578</t>
        </is>
      </c>
    </row>
    <row r="229">
      <c r="A229" t="inlineStr">
        <is>
          <t>No</t>
        </is>
      </c>
      <c r="B229" t="inlineStr">
        <is>
          <t>RJ503 .L56</t>
        </is>
      </c>
      <c r="C229" t="inlineStr">
        <is>
          <t>0                      RJ 0503000L  56</t>
        </is>
      </c>
      <c r="D229" t="inlineStr">
        <is>
          <t>Children of the asylum : the adolescent perspective on residential psychiatric treatment / by Duncan Lindsey. --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Lindsey, Duncan, 1947-</t>
        </is>
      </c>
      <c r="L229" t="inlineStr">
        <is>
          <t>Oceanside, N.Y. : Dabor Science Publications, 1977.</t>
        </is>
      </c>
      <c r="M229" t="inlineStr">
        <is>
          <t>1977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RJ </t>
        </is>
      </c>
      <c r="S229" t="n">
        <v>1</v>
      </c>
      <c r="T229" t="n">
        <v>1</v>
      </c>
      <c r="U229" t="inlineStr">
        <is>
          <t>2004-02-24</t>
        </is>
      </c>
      <c r="V229" t="inlineStr">
        <is>
          <t>2004-02-24</t>
        </is>
      </c>
      <c r="W229" t="inlineStr">
        <is>
          <t>1993-03-03</t>
        </is>
      </c>
      <c r="X229" t="inlineStr">
        <is>
          <t>1993-03-03</t>
        </is>
      </c>
      <c r="Y229" t="n">
        <v>112</v>
      </c>
      <c r="Z229" t="n">
        <v>96</v>
      </c>
      <c r="AA229" t="n">
        <v>96</v>
      </c>
      <c r="AB229" t="n">
        <v>2</v>
      </c>
      <c r="AC229" t="n">
        <v>2</v>
      </c>
      <c r="AD229" t="n">
        <v>3</v>
      </c>
      <c r="AE229" t="n">
        <v>3</v>
      </c>
      <c r="AF229" t="n">
        <v>1</v>
      </c>
      <c r="AG229" t="n">
        <v>1</v>
      </c>
      <c r="AH229" t="n">
        <v>0</v>
      </c>
      <c r="AI229" t="n">
        <v>0</v>
      </c>
      <c r="AJ229" t="n">
        <v>3</v>
      </c>
      <c r="AK229" t="n">
        <v>3</v>
      </c>
      <c r="AL229" t="n">
        <v>0</v>
      </c>
      <c r="AM229" t="n">
        <v>0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HYPERLINK("https://creighton-primo.hosted.exlibrisgroup.com/primo-explore/search?tab=default_tab&amp;search_scope=EVERYTHING&amp;vid=01CRU&amp;lang=en_US&amp;offset=0&amp;query=any,contains,991004429029702656","Catalog Record")</f>
        <v/>
      </c>
      <c r="AT229">
        <f>HYPERLINK("http://www.worldcat.org/oclc/3414562","WorldCat Record")</f>
        <v/>
      </c>
      <c r="AU229" t="inlineStr">
        <is>
          <t>916514378:eng</t>
        </is>
      </c>
      <c r="AV229" t="inlineStr">
        <is>
          <t>3414562</t>
        </is>
      </c>
      <c r="AW229" t="inlineStr">
        <is>
          <t>991004429029702656</t>
        </is>
      </c>
      <c r="AX229" t="inlineStr">
        <is>
          <t>991004429029702656</t>
        </is>
      </c>
      <c r="AY229" t="inlineStr">
        <is>
          <t>2260119900002656</t>
        </is>
      </c>
      <c r="AZ229" t="inlineStr">
        <is>
          <t>BOOK</t>
        </is>
      </c>
      <c r="BB229" t="inlineStr">
        <is>
          <t>9780895610416</t>
        </is>
      </c>
      <c r="BC229" t="inlineStr">
        <is>
          <t>32285001529402</t>
        </is>
      </c>
      <c r="BD229" t="inlineStr">
        <is>
          <t>893782230</t>
        </is>
      </c>
    </row>
    <row r="230">
      <c r="A230" t="inlineStr">
        <is>
          <t>No</t>
        </is>
      </c>
      <c r="B230" t="inlineStr">
        <is>
          <t>RJ503 .M3 1984</t>
        </is>
      </c>
      <c r="C230" t="inlineStr">
        <is>
          <t>0                      RJ 0503000M  3           1984</t>
        </is>
      </c>
      <c r="D230" t="inlineStr">
        <is>
          <t>The psychiatric dilemma of adolescence / James F. Masterson, Jr.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Masterson, James F.</t>
        </is>
      </c>
      <c r="L230" t="inlineStr">
        <is>
          <t>New York : Brunner/Mazel, c1984.</t>
        </is>
      </c>
      <c r="M230" t="inlineStr">
        <is>
          <t>1984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RJ </t>
        </is>
      </c>
      <c r="S230" t="n">
        <v>3</v>
      </c>
      <c r="T230" t="n">
        <v>3</v>
      </c>
      <c r="U230" t="inlineStr">
        <is>
          <t>2000-08-15</t>
        </is>
      </c>
      <c r="V230" t="inlineStr">
        <is>
          <t>2000-08-15</t>
        </is>
      </c>
      <c r="W230" t="inlineStr">
        <is>
          <t>1993-03-03</t>
        </is>
      </c>
      <c r="X230" t="inlineStr">
        <is>
          <t>1993-03-03</t>
        </is>
      </c>
      <c r="Y230" t="n">
        <v>91</v>
      </c>
      <c r="Z230" t="n">
        <v>79</v>
      </c>
      <c r="AA230" t="n">
        <v>306</v>
      </c>
      <c r="AB230" t="n">
        <v>1</v>
      </c>
      <c r="AC230" t="n">
        <v>2</v>
      </c>
      <c r="AD230" t="n">
        <v>1</v>
      </c>
      <c r="AE230" t="n">
        <v>9</v>
      </c>
      <c r="AF230" t="n">
        <v>0</v>
      </c>
      <c r="AG230" t="n">
        <v>2</v>
      </c>
      <c r="AH230" t="n">
        <v>0</v>
      </c>
      <c r="AI230" t="n">
        <v>1</v>
      </c>
      <c r="AJ230" t="n">
        <v>1</v>
      </c>
      <c r="AK230" t="n">
        <v>7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HYPERLINK("https://creighton-primo.hosted.exlibrisgroup.com/primo-explore/search?tab=default_tab&amp;search_scope=EVERYTHING&amp;vid=01CRU&amp;lang=en_US&amp;offset=0&amp;query=any,contains,991000328669702656","Catalog Record")</f>
        <v/>
      </c>
      <c r="AT230">
        <f>HYPERLINK("http://www.worldcat.org/oclc/10185352","WorldCat Record")</f>
        <v/>
      </c>
      <c r="AU230" t="inlineStr">
        <is>
          <t>2032289:eng</t>
        </is>
      </c>
      <c r="AV230" t="inlineStr">
        <is>
          <t>10185352</t>
        </is>
      </c>
      <c r="AW230" t="inlineStr">
        <is>
          <t>991000328669702656</t>
        </is>
      </c>
      <c r="AX230" t="inlineStr">
        <is>
          <t>991000328669702656</t>
        </is>
      </c>
      <c r="AY230" t="inlineStr">
        <is>
          <t>2267589330002656</t>
        </is>
      </c>
      <c r="AZ230" t="inlineStr">
        <is>
          <t>BOOK</t>
        </is>
      </c>
      <c r="BB230" t="inlineStr">
        <is>
          <t>9780876303566</t>
        </is>
      </c>
      <c r="BC230" t="inlineStr">
        <is>
          <t>32285001529410</t>
        </is>
      </c>
      <c r="BD230" t="inlineStr">
        <is>
          <t>893877954</t>
        </is>
      </c>
    </row>
    <row r="231">
      <c r="A231" t="inlineStr">
        <is>
          <t>No</t>
        </is>
      </c>
      <c r="B231" t="inlineStr">
        <is>
          <t>RJ503 .M32</t>
        </is>
      </c>
      <c r="C231" t="inlineStr">
        <is>
          <t>0                      RJ 0503000M  32</t>
        </is>
      </c>
      <c r="D231" t="inlineStr">
        <is>
          <t>Treatment of the borderline adolescent; a developmental approach [by] James F. Masterson.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Masterson, James F.</t>
        </is>
      </c>
      <c r="L231" t="inlineStr">
        <is>
          <t>New York, Wiley-Interscience [1972]</t>
        </is>
      </c>
      <c r="M231" t="inlineStr">
        <is>
          <t>1972</t>
        </is>
      </c>
      <c r="O231" t="inlineStr">
        <is>
          <t>eng</t>
        </is>
      </c>
      <c r="P231" t="inlineStr">
        <is>
          <t>nyu</t>
        </is>
      </c>
      <c r="Q231" t="inlineStr">
        <is>
          <t>Wiley series on psychological disorders</t>
        </is>
      </c>
      <c r="R231" t="inlineStr">
        <is>
          <t xml:space="preserve">RJ </t>
        </is>
      </c>
      <c r="S231" t="n">
        <v>3</v>
      </c>
      <c r="T231" t="n">
        <v>3</v>
      </c>
      <c r="U231" t="inlineStr">
        <is>
          <t>2000-08-15</t>
        </is>
      </c>
      <c r="V231" t="inlineStr">
        <is>
          <t>2000-08-15</t>
        </is>
      </c>
      <c r="W231" t="inlineStr">
        <is>
          <t>1997-08-12</t>
        </is>
      </c>
      <c r="X231" t="inlineStr">
        <is>
          <t>1997-08-12</t>
        </is>
      </c>
      <c r="Y231" t="n">
        <v>472</v>
      </c>
      <c r="Z231" t="n">
        <v>368</v>
      </c>
      <c r="AA231" t="n">
        <v>469</v>
      </c>
      <c r="AB231" t="n">
        <v>4</v>
      </c>
      <c r="AC231" t="n">
        <v>4</v>
      </c>
      <c r="AD231" t="n">
        <v>16</v>
      </c>
      <c r="AE231" t="n">
        <v>18</v>
      </c>
      <c r="AF231" t="n">
        <v>5</v>
      </c>
      <c r="AG231" t="n">
        <v>6</v>
      </c>
      <c r="AH231" t="n">
        <v>2</v>
      </c>
      <c r="AI231" t="n">
        <v>3</v>
      </c>
      <c r="AJ231" t="n">
        <v>11</v>
      </c>
      <c r="AK231" t="n">
        <v>13</v>
      </c>
      <c r="AL231" t="n">
        <v>2</v>
      </c>
      <c r="AM231" t="n">
        <v>2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HYPERLINK("http://catalog.hathitrust.org/Record/001571030","HathiTrust Record")</f>
        <v/>
      </c>
      <c r="AS231">
        <f>HYPERLINK("https://creighton-primo.hosted.exlibrisgroup.com/primo-explore/search?tab=default_tab&amp;search_scope=EVERYTHING&amp;vid=01CRU&amp;lang=en_US&amp;offset=0&amp;query=any,contains,991001908309702656","Catalog Record")</f>
        <v/>
      </c>
      <c r="AT231">
        <f>HYPERLINK("http://www.worldcat.org/oclc/241381","WorldCat Record")</f>
        <v/>
      </c>
      <c r="AU231" t="inlineStr">
        <is>
          <t>1386603:eng</t>
        </is>
      </c>
      <c r="AV231" t="inlineStr">
        <is>
          <t>241381</t>
        </is>
      </c>
      <c r="AW231" t="inlineStr">
        <is>
          <t>991001908309702656</t>
        </is>
      </c>
      <c r="AX231" t="inlineStr">
        <is>
          <t>991001908309702656</t>
        </is>
      </c>
      <c r="AY231" t="inlineStr">
        <is>
          <t>2269972540002656</t>
        </is>
      </c>
      <c r="AZ231" t="inlineStr">
        <is>
          <t>BOOK</t>
        </is>
      </c>
      <c r="BB231" t="inlineStr">
        <is>
          <t>9780471576150</t>
        </is>
      </c>
      <c r="BC231" t="inlineStr">
        <is>
          <t>32285003093910</t>
        </is>
      </c>
      <c r="BD231" t="inlineStr">
        <is>
          <t>893691018</t>
        </is>
      </c>
    </row>
    <row r="232">
      <c r="A232" t="inlineStr">
        <is>
          <t>No</t>
        </is>
      </c>
      <c r="B232" t="inlineStr">
        <is>
          <t>RJ503 .M495 1998</t>
        </is>
      </c>
      <c r="C232" t="inlineStr">
        <is>
          <t>0                      RJ 0503000M  495         1998</t>
        </is>
      </c>
      <c r="D232" t="inlineStr">
        <is>
          <t>The adolescent in family therapy : breaking the cycle of conflict and control / Joseph A. Micucci.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Micucci, Joseph A.</t>
        </is>
      </c>
      <c r="L232" t="inlineStr">
        <is>
          <t>New York : Guildford Press, c1998.</t>
        </is>
      </c>
      <c r="M232" t="inlineStr">
        <is>
          <t>1998</t>
        </is>
      </c>
      <c r="O232" t="inlineStr">
        <is>
          <t>eng</t>
        </is>
      </c>
      <c r="P232" t="inlineStr">
        <is>
          <t>nyu</t>
        </is>
      </c>
      <c r="Q232" t="inlineStr">
        <is>
          <t>The Guilford family therapy series</t>
        </is>
      </c>
      <c r="R232" t="inlineStr">
        <is>
          <t xml:space="preserve">RJ </t>
        </is>
      </c>
      <c r="S232" t="n">
        <v>1</v>
      </c>
      <c r="T232" t="n">
        <v>1</v>
      </c>
      <c r="U232" t="inlineStr">
        <is>
          <t>2006-04-23</t>
        </is>
      </c>
      <c r="V232" t="inlineStr">
        <is>
          <t>2006-04-23</t>
        </is>
      </c>
      <c r="W232" t="inlineStr">
        <is>
          <t>1999-08-31</t>
        </is>
      </c>
      <c r="X232" t="inlineStr">
        <is>
          <t>1999-08-31</t>
        </is>
      </c>
      <c r="Y232" t="n">
        <v>528</v>
      </c>
      <c r="Z232" t="n">
        <v>454</v>
      </c>
      <c r="AA232" t="n">
        <v>477</v>
      </c>
      <c r="AB232" t="n">
        <v>3</v>
      </c>
      <c r="AC232" t="n">
        <v>3</v>
      </c>
      <c r="AD232" t="n">
        <v>21</v>
      </c>
      <c r="AE232" t="n">
        <v>22</v>
      </c>
      <c r="AF232" t="n">
        <v>9</v>
      </c>
      <c r="AG232" t="n">
        <v>10</v>
      </c>
      <c r="AH232" t="n">
        <v>4</v>
      </c>
      <c r="AI232" t="n">
        <v>4</v>
      </c>
      <c r="AJ232" t="n">
        <v>11</v>
      </c>
      <c r="AK232" t="n">
        <v>11</v>
      </c>
      <c r="AL232" t="n">
        <v>2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HYPERLINK("https://creighton-primo.hosted.exlibrisgroup.com/primo-explore/search?tab=default_tab&amp;search_scope=EVERYTHING&amp;vid=01CRU&amp;lang=en_US&amp;offset=0&amp;query=any,contains,991002961819702656","Catalog Record")</f>
        <v/>
      </c>
      <c r="AT232">
        <f>HYPERLINK("http://www.worldcat.org/oclc/39625088","WorldCat Record")</f>
        <v/>
      </c>
      <c r="AU232" t="inlineStr">
        <is>
          <t>836975265:eng</t>
        </is>
      </c>
      <c r="AV232" t="inlineStr">
        <is>
          <t>39625088</t>
        </is>
      </c>
      <c r="AW232" t="inlineStr">
        <is>
          <t>991002961819702656</t>
        </is>
      </c>
      <c r="AX232" t="inlineStr">
        <is>
          <t>991002961819702656</t>
        </is>
      </c>
      <c r="AY232" t="inlineStr">
        <is>
          <t>2264182330002656</t>
        </is>
      </c>
      <c r="AZ232" t="inlineStr">
        <is>
          <t>BOOK</t>
        </is>
      </c>
      <c r="BB232" t="inlineStr">
        <is>
          <t>9781572303898</t>
        </is>
      </c>
      <c r="BC232" t="inlineStr">
        <is>
          <t>32285003585451</t>
        </is>
      </c>
      <c r="BD232" t="inlineStr">
        <is>
          <t>893329772</t>
        </is>
      </c>
    </row>
    <row r="233">
      <c r="A233" t="inlineStr">
        <is>
          <t>No</t>
        </is>
      </c>
      <c r="B233" t="inlineStr">
        <is>
          <t>RJ503 .M57 1986</t>
        </is>
      </c>
      <c r="C233" t="inlineStr">
        <is>
          <t>0                      RJ 0503000M  57          1986</t>
        </is>
      </c>
      <c r="D233" t="inlineStr">
        <is>
          <t>Clinical work with adolescents / Judith Marks Mishne.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Mishne, Judith Marks.</t>
        </is>
      </c>
      <c r="L233" t="inlineStr">
        <is>
          <t>New York : Free Press ; London : Collier Macmillan Publishers, c1986.</t>
        </is>
      </c>
      <c r="M233" t="inlineStr">
        <is>
          <t>1986</t>
        </is>
      </c>
      <c r="O233" t="inlineStr">
        <is>
          <t>eng</t>
        </is>
      </c>
      <c r="P233" t="inlineStr">
        <is>
          <t>nyu</t>
        </is>
      </c>
      <c r="R233" t="inlineStr">
        <is>
          <t xml:space="preserve">RJ </t>
        </is>
      </c>
      <c r="S233" t="n">
        <v>6</v>
      </c>
      <c r="T233" t="n">
        <v>6</v>
      </c>
      <c r="U233" t="inlineStr">
        <is>
          <t>1996-04-22</t>
        </is>
      </c>
      <c r="V233" t="inlineStr">
        <is>
          <t>1996-04-22</t>
        </is>
      </c>
      <c r="W233" t="inlineStr">
        <is>
          <t>1992-04-20</t>
        </is>
      </c>
      <c r="X233" t="inlineStr">
        <is>
          <t>1992-04-20</t>
        </is>
      </c>
      <c r="Y233" t="n">
        <v>457</v>
      </c>
      <c r="Z233" t="n">
        <v>396</v>
      </c>
      <c r="AA233" t="n">
        <v>415</v>
      </c>
      <c r="AB233" t="n">
        <v>3</v>
      </c>
      <c r="AC233" t="n">
        <v>3</v>
      </c>
      <c r="AD233" t="n">
        <v>16</v>
      </c>
      <c r="AE233" t="n">
        <v>16</v>
      </c>
      <c r="AF233" t="n">
        <v>5</v>
      </c>
      <c r="AG233" t="n">
        <v>5</v>
      </c>
      <c r="AH233" t="n">
        <v>5</v>
      </c>
      <c r="AI233" t="n">
        <v>5</v>
      </c>
      <c r="AJ233" t="n">
        <v>9</v>
      </c>
      <c r="AK233" t="n">
        <v>9</v>
      </c>
      <c r="AL233" t="n">
        <v>2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HYPERLINK("http://catalog.hathitrust.org/Record/002969423","HathiTrust Record")</f>
        <v/>
      </c>
      <c r="AS233">
        <f>HYPERLINK("https://creighton-primo.hosted.exlibrisgroup.com/primo-explore/search?tab=default_tab&amp;search_scope=EVERYTHING&amp;vid=01CRU&amp;lang=en_US&amp;offset=0&amp;query=any,contains,991000880499702656","Catalog Record")</f>
        <v/>
      </c>
      <c r="AT233">
        <f>HYPERLINK("http://www.worldcat.org/oclc/13823544","WorldCat Record")</f>
        <v/>
      </c>
      <c r="AU233" t="inlineStr">
        <is>
          <t>7356523:eng</t>
        </is>
      </c>
      <c r="AV233" t="inlineStr">
        <is>
          <t>13823544</t>
        </is>
      </c>
      <c r="AW233" t="inlineStr">
        <is>
          <t>991000880499702656</t>
        </is>
      </c>
      <c r="AX233" t="inlineStr">
        <is>
          <t>991000880499702656</t>
        </is>
      </c>
      <c r="AY233" t="inlineStr">
        <is>
          <t>2265513820002656</t>
        </is>
      </c>
      <c r="AZ233" t="inlineStr">
        <is>
          <t>BOOK</t>
        </is>
      </c>
      <c r="BB233" t="inlineStr">
        <is>
          <t>9780029212608</t>
        </is>
      </c>
      <c r="BC233" t="inlineStr">
        <is>
          <t>32285001044360</t>
        </is>
      </c>
      <c r="BD233" t="inlineStr">
        <is>
          <t>893790945</t>
        </is>
      </c>
    </row>
    <row r="234">
      <c r="A234" t="inlineStr">
        <is>
          <t>No</t>
        </is>
      </c>
      <c r="B234" t="inlineStr">
        <is>
          <t>RJ503 .N53 1983</t>
        </is>
      </c>
      <c r="C234" t="inlineStr">
        <is>
          <t>0                      RJ 0503000N  53          1983</t>
        </is>
      </c>
      <c r="D234" t="inlineStr">
        <is>
          <t>Borderline and acting-out adolescents : a developmental approach / Gary Nielsen.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Nielsen, Gary E., 1939-</t>
        </is>
      </c>
      <c r="L234" t="inlineStr">
        <is>
          <t>New York, N.Y. : Human Sciences Press,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RJ </t>
        </is>
      </c>
      <c r="S234" t="n">
        <v>2</v>
      </c>
      <c r="T234" t="n">
        <v>2</v>
      </c>
      <c r="U234" t="inlineStr">
        <is>
          <t>1998-10-31</t>
        </is>
      </c>
      <c r="V234" t="inlineStr">
        <is>
          <t>1998-10-31</t>
        </is>
      </c>
      <c r="W234" t="inlineStr">
        <is>
          <t>1992-10-23</t>
        </is>
      </c>
      <c r="X234" t="inlineStr">
        <is>
          <t>1992-10-23</t>
        </is>
      </c>
      <c r="Y234" t="n">
        <v>357</v>
      </c>
      <c r="Z234" t="n">
        <v>319</v>
      </c>
      <c r="AA234" t="n">
        <v>325</v>
      </c>
      <c r="AB234" t="n">
        <v>2</v>
      </c>
      <c r="AC234" t="n">
        <v>2</v>
      </c>
      <c r="AD234" t="n">
        <v>13</v>
      </c>
      <c r="AE234" t="n">
        <v>13</v>
      </c>
      <c r="AF234" t="n">
        <v>6</v>
      </c>
      <c r="AG234" t="n">
        <v>6</v>
      </c>
      <c r="AH234" t="n">
        <v>2</v>
      </c>
      <c r="AI234" t="n">
        <v>2</v>
      </c>
      <c r="AJ234" t="n">
        <v>8</v>
      </c>
      <c r="AK234" t="n">
        <v>8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HYPERLINK("http://catalog.hathitrust.org/Record/007480391","HathiTrust Record")</f>
        <v/>
      </c>
      <c r="AS234">
        <f>HYPERLINK("https://creighton-primo.hosted.exlibrisgroup.com/primo-explore/search?tab=default_tab&amp;search_scope=EVERYTHING&amp;vid=01CRU&amp;lang=en_US&amp;offset=0&amp;query=any,contains,991005194069702656","Catalog Record")</f>
        <v/>
      </c>
      <c r="AT234">
        <f>HYPERLINK("http://www.worldcat.org/oclc/8033439","WorldCat Record")</f>
        <v/>
      </c>
      <c r="AU234" t="inlineStr">
        <is>
          <t>917101292:eng</t>
        </is>
      </c>
      <c r="AV234" t="inlineStr">
        <is>
          <t>8033439</t>
        </is>
      </c>
      <c r="AW234" t="inlineStr">
        <is>
          <t>991005194069702656</t>
        </is>
      </c>
      <c r="AX234" t="inlineStr">
        <is>
          <t>991005194069702656</t>
        </is>
      </c>
      <c r="AY234" t="inlineStr">
        <is>
          <t>2269574380002656</t>
        </is>
      </c>
      <c r="AZ234" t="inlineStr">
        <is>
          <t>BOOK</t>
        </is>
      </c>
      <c r="BB234" t="inlineStr">
        <is>
          <t>9780898851090</t>
        </is>
      </c>
      <c r="BC234" t="inlineStr">
        <is>
          <t>32285001375533</t>
        </is>
      </c>
      <c r="BD234" t="inlineStr">
        <is>
          <t>893326340</t>
        </is>
      </c>
    </row>
    <row r="235">
      <c r="A235" t="inlineStr">
        <is>
          <t>No</t>
        </is>
      </c>
      <c r="B235" t="inlineStr">
        <is>
          <t>RJ503 .R63 1989</t>
        </is>
      </c>
      <c r="C235" t="inlineStr">
        <is>
          <t>0                      RJ 0503000R  63          1989</t>
        </is>
      </c>
      <c r="D235" t="inlineStr">
        <is>
          <t>Negotiating parent-adolescent conflict : a behavioral-family systems approach / Arthur L. Robin, Sharon L. Foster ; foreword by K. Daniel O'Leary.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Robin, Arthur L.</t>
        </is>
      </c>
      <c r="L235" t="inlineStr">
        <is>
          <t>New York : Guilford Press, c1989.</t>
        </is>
      </c>
      <c r="M235" t="inlineStr">
        <is>
          <t>1989</t>
        </is>
      </c>
      <c r="O235" t="inlineStr">
        <is>
          <t>eng</t>
        </is>
      </c>
      <c r="P235" t="inlineStr">
        <is>
          <t>nyu</t>
        </is>
      </c>
      <c r="Q235" t="inlineStr">
        <is>
          <t>The Guilford family therapy series</t>
        </is>
      </c>
      <c r="R235" t="inlineStr">
        <is>
          <t xml:space="preserve">RJ </t>
        </is>
      </c>
      <c r="S235" t="n">
        <v>12</v>
      </c>
      <c r="T235" t="n">
        <v>12</v>
      </c>
      <c r="U235" t="inlineStr">
        <is>
          <t>1996-04-22</t>
        </is>
      </c>
      <c r="V235" t="inlineStr">
        <is>
          <t>1996-04-22</t>
        </is>
      </c>
      <c r="W235" t="inlineStr">
        <is>
          <t>1991-05-22</t>
        </is>
      </c>
      <c r="X235" t="inlineStr">
        <is>
          <t>1991-05-22</t>
        </is>
      </c>
      <c r="Y235" t="n">
        <v>694</v>
      </c>
      <c r="Z235" t="n">
        <v>573</v>
      </c>
      <c r="AA235" t="n">
        <v>585</v>
      </c>
      <c r="AB235" t="n">
        <v>5</v>
      </c>
      <c r="AC235" t="n">
        <v>5</v>
      </c>
      <c r="AD235" t="n">
        <v>26</v>
      </c>
      <c r="AE235" t="n">
        <v>26</v>
      </c>
      <c r="AF235" t="n">
        <v>11</v>
      </c>
      <c r="AG235" t="n">
        <v>11</v>
      </c>
      <c r="AH235" t="n">
        <v>4</v>
      </c>
      <c r="AI235" t="n">
        <v>4</v>
      </c>
      <c r="AJ235" t="n">
        <v>13</v>
      </c>
      <c r="AK235" t="n">
        <v>13</v>
      </c>
      <c r="AL235" t="n">
        <v>4</v>
      </c>
      <c r="AM235" t="n">
        <v>4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HYPERLINK("https://creighton-primo.hosted.exlibrisgroup.com/primo-explore/search?tab=default_tab&amp;search_scope=EVERYTHING&amp;vid=01CRU&amp;lang=en_US&amp;offset=0&amp;query=any,contains,991001184019702656","Catalog Record")</f>
        <v/>
      </c>
      <c r="AT235">
        <f>HYPERLINK("http://www.worldcat.org/oclc/17200123","WorldCat Record")</f>
        <v/>
      </c>
      <c r="AU235" t="inlineStr">
        <is>
          <t>889733251:eng</t>
        </is>
      </c>
      <c r="AV235" t="inlineStr">
        <is>
          <t>17200123</t>
        </is>
      </c>
      <c r="AW235" t="inlineStr">
        <is>
          <t>991001184019702656</t>
        </is>
      </c>
      <c r="AX235" t="inlineStr">
        <is>
          <t>991001184019702656</t>
        </is>
      </c>
      <c r="AY235" t="inlineStr">
        <is>
          <t>2256975610002656</t>
        </is>
      </c>
      <c r="AZ235" t="inlineStr">
        <is>
          <t>BOOK</t>
        </is>
      </c>
      <c r="BB235" t="inlineStr">
        <is>
          <t>9780898620726</t>
        </is>
      </c>
      <c r="BC235" t="inlineStr">
        <is>
          <t>32285000574615</t>
        </is>
      </c>
      <c r="BD235" t="inlineStr">
        <is>
          <t>893438947</t>
        </is>
      </c>
    </row>
    <row r="236">
      <c r="A236" t="inlineStr">
        <is>
          <t>No</t>
        </is>
      </c>
      <c r="B236" t="inlineStr">
        <is>
          <t>RJ503 .S36</t>
        </is>
      </c>
      <c r="C236" t="inlineStr">
        <is>
          <t>0                      RJ 0503000S  36</t>
        </is>
      </c>
      <c r="D236" t="inlineStr">
        <is>
          <t>Counseling the adolescent [by] Alexander A. Schneiders and contributors.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Schneiders, Alexander A. (Alexander Aloysius), 1909-1968.</t>
        </is>
      </c>
      <c r="L236" t="inlineStr">
        <is>
          <t>San Francisco, Chandler Pub. Co. [1967]</t>
        </is>
      </c>
      <c r="M236" t="inlineStr">
        <is>
          <t>1967</t>
        </is>
      </c>
      <c r="O236" t="inlineStr">
        <is>
          <t>eng</t>
        </is>
      </c>
      <c r="P236" t="inlineStr">
        <is>
          <t>cau</t>
        </is>
      </c>
      <c r="R236" t="inlineStr">
        <is>
          <t xml:space="preserve">RJ </t>
        </is>
      </c>
      <c r="S236" t="n">
        <v>4</v>
      </c>
      <c r="T236" t="n">
        <v>4</v>
      </c>
      <c r="U236" t="inlineStr">
        <is>
          <t>2008-11-07</t>
        </is>
      </c>
      <c r="V236" t="inlineStr">
        <is>
          <t>2008-11-07</t>
        </is>
      </c>
      <c r="W236" t="inlineStr">
        <is>
          <t>1997-08-12</t>
        </is>
      </c>
      <c r="X236" t="inlineStr">
        <is>
          <t>1997-08-12</t>
        </is>
      </c>
      <c r="Y236" t="n">
        <v>340</v>
      </c>
      <c r="Z236" t="n">
        <v>307</v>
      </c>
      <c r="AA236" t="n">
        <v>314</v>
      </c>
      <c r="AB236" t="n">
        <v>5</v>
      </c>
      <c r="AC236" t="n">
        <v>5</v>
      </c>
      <c r="AD236" t="n">
        <v>19</v>
      </c>
      <c r="AE236" t="n">
        <v>19</v>
      </c>
      <c r="AF236" t="n">
        <v>7</v>
      </c>
      <c r="AG236" t="n">
        <v>7</v>
      </c>
      <c r="AH236" t="n">
        <v>2</v>
      </c>
      <c r="AI236" t="n">
        <v>2</v>
      </c>
      <c r="AJ236" t="n">
        <v>11</v>
      </c>
      <c r="AK236" t="n">
        <v>11</v>
      </c>
      <c r="AL236" t="n">
        <v>4</v>
      </c>
      <c r="AM236" t="n">
        <v>4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HYPERLINK("http://catalog.hathitrust.org/Record/001570947","HathiTrust Record")</f>
        <v/>
      </c>
      <c r="AS236">
        <f>HYPERLINK("https://creighton-primo.hosted.exlibrisgroup.com/primo-explore/search?tab=default_tab&amp;search_scope=EVERYTHING&amp;vid=01CRU&amp;lang=en_US&amp;offset=0&amp;query=any,contains,991003051489702656","Catalog Record")</f>
        <v/>
      </c>
      <c r="AT236">
        <f>HYPERLINK("http://www.worldcat.org/oclc/611036","WorldCat Record")</f>
        <v/>
      </c>
      <c r="AU236" t="inlineStr">
        <is>
          <t>1645135:eng</t>
        </is>
      </c>
      <c r="AV236" t="inlineStr">
        <is>
          <t>611036</t>
        </is>
      </c>
      <c r="AW236" t="inlineStr">
        <is>
          <t>991003051489702656</t>
        </is>
      </c>
      <c r="AX236" t="inlineStr">
        <is>
          <t>991003051489702656</t>
        </is>
      </c>
      <c r="AY236" t="inlineStr">
        <is>
          <t>2265282080002656</t>
        </is>
      </c>
      <c r="AZ236" t="inlineStr">
        <is>
          <t>BOOK</t>
        </is>
      </c>
      <c r="BC236" t="inlineStr">
        <is>
          <t>32285003093928</t>
        </is>
      </c>
      <c r="BD236" t="inlineStr">
        <is>
          <t>893786922</t>
        </is>
      </c>
    </row>
    <row r="237">
      <c r="A237" t="inlineStr">
        <is>
          <t>No</t>
        </is>
      </c>
      <c r="B237" t="inlineStr">
        <is>
          <t>RJ503 .S77 2003</t>
        </is>
      </c>
      <c r="C237" t="inlineStr">
        <is>
          <t>0                      RJ 0503000S  77          2003</t>
        </is>
      </c>
      <c r="D237" t="inlineStr">
        <is>
          <t>The primal teen : what the new discoveries about the teenage brain tell us about our kids / Barbara Strauch.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Strauch, Barbara.</t>
        </is>
      </c>
      <c r="L237" t="inlineStr">
        <is>
          <t>New York : Doubleday, 2003.</t>
        </is>
      </c>
      <c r="M237" t="inlineStr">
        <is>
          <t>2003</t>
        </is>
      </c>
      <c r="N237" t="inlineStr">
        <is>
          <t>1st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RJ </t>
        </is>
      </c>
      <c r="S237" t="n">
        <v>2</v>
      </c>
      <c r="T237" t="n">
        <v>2</v>
      </c>
      <c r="U237" t="inlineStr">
        <is>
          <t>2010-11-10</t>
        </is>
      </c>
      <c r="V237" t="inlineStr">
        <is>
          <t>2010-11-10</t>
        </is>
      </c>
      <c r="W237" t="inlineStr">
        <is>
          <t>2003-07-16</t>
        </is>
      </c>
      <c r="X237" t="inlineStr">
        <is>
          <t>2003-07-16</t>
        </is>
      </c>
      <c r="Y237" t="n">
        <v>930</v>
      </c>
      <c r="Z237" t="n">
        <v>870</v>
      </c>
      <c r="AA237" t="n">
        <v>1121</v>
      </c>
      <c r="AB237" t="n">
        <v>9</v>
      </c>
      <c r="AC237" t="n">
        <v>13</v>
      </c>
      <c r="AD237" t="n">
        <v>8</v>
      </c>
      <c r="AE237" t="n">
        <v>18</v>
      </c>
      <c r="AF237" t="n">
        <v>5</v>
      </c>
      <c r="AG237" t="n">
        <v>9</v>
      </c>
      <c r="AH237" t="n">
        <v>1</v>
      </c>
      <c r="AI237" t="n">
        <v>3</v>
      </c>
      <c r="AJ237" t="n">
        <v>1</v>
      </c>
      <c r="AK237" t="n">
        <v>2</v>
      </c>
      <c r="AL237" t="n">
        <v>2</v>
      </c>
      <c r="AM237" t="n">
        <v>5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HYPERLINK("https://creighton-primo.hosted.exlibrisgroup.com/primo-explore/search?tab=default_tab&amp;search_scope=EVERYTHING&amp;vid=01CRU&amp;lang=en_US&amp;offset=0&amp;query=any,contains,991004078439702656","Catalog Record")</f>
        <v/>
      </c>
      <c r="AT237">
        <f>HYPERLINK("http://www.worldcat.org/oclc/50960782","WorldCat Record")</f>
        <v/>
      </c>
      <c r="AU237" t="inlineStr">
        <is>
          <t>3901880649:eng</t>
        </is>
      </c>
      <c r="AV237" t="inlineStr">
        <is>
          <t>50960782</t>
        </is>
      </c>
      <c r="AW237" t="inlineStr">
        <is>
          <t>991004078439702656</t>
        </is>
      </c>
      <c r="AX237" t="inlineStr">
        <is>
          <t>991004078439702656</t>
        </is>
      </c>
      <c r="AY237" t="inlineStr">
        <is>
          <t>2256144880002656</t>
        </is>
      </c>
      <c r="AZ237" t="inlineStr">
        <is>
          <t>BOOK</t>
        </is>
      </c>
      <c r="BB237" t="inlineStr">
        <is>
          <t>9780385503396</t>
        </is>
      </c>
      <c r="BC237" t="inlineStr">
        <is>
          <t>32285004755871</t>
        </is>
      </c>
      <c r="BD237" t="inlineStr">
        <is>
          <t>893618210</t>
        </is>
      </c>
    </row>
    <row r="238">
      <c r="A238" t="inlineStr">
        <is>
          <t>No</t>
        </is>
      </c>
      <c r="B238" t="inlineStr">
        <is>
          <t>RJ503 .T44</t>
        </is>
      </c>
      <c r="C238" t="inlineStr">
        <is>
          <t>0                      RJ 0503000T  44</t>
        </is>
      </c>
      <c r="D238" t="inlineStr">
        <is>
          <t>Therapies for adolescents : current treatments for problem behaviors / Michael D. Stein, J. Kent Davis.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L238" t="inlineStr">
        <is>
          <t>San Francisco : Jossey-Bass, c1982.</t>
        </is>
      </c>
      <c r="M238" t="inlineStr">
        <is>
          <t>1982</t>
        </is>
      </c>
      <c r="N238" t="inlineStr">
        <is>
          <t>1st ed.</t>
        </is>
      </c>
      <c r="O238" t="inlineStr">
        <is>
          <t>eng</t>
        </is>
      </c>
      <c r="P238" t="inlineStr">
        <is>
          <t>cau</t>
        </is>
      </c>
      <c r="Q238" t="inlineStr">
        <is>
          <t>Guidebooks for therapeutic use</t>
        </is>
      </c>
      <c r="R238" t="inlineStr">
        <is>
          <t xml:space="preserve">RJ </t>
        </is>
      </c>
      <c r="S238" t="n">
        <v>4</v>
      </c>
      <c r="T238" t="n">
        <v>4</v>
      </c>
      <c r="U238" t="inlineStr">
        <is>
          <t>1996-04-23</t>
        </is>
      </c>
      <c r="V238" t="inlineStr">
        <is>
          <t>1996-04-23</t>
        </is>
      </c>
      <c r="W238" t="inlineStr">
        <is>
          <t>1992-04-13</t>
        </is>
      </c>
      <c r="X238" t="inlineStr">
        <is>
          <t>1992-04-13</t>
        </is>
      </c>
      <c r="Y238" t="n">
        <v>522</v>
      </c>
      <c r="Z238" t="n">
        <v>427</v>
      </c>
      <c r="AA238" t="n">
        <v>461</v>
      </c>
      <c r="AB238" t="n">
        <v>5</v>
      </c>
      <c r="AC238" t="n">
        <v>5</v>
      </c>
      <c r="AD238" t="n">
        <v>17</v>
      </c>
      <c r="AE238" t="n">
        <v>21</v>
      </c>
      <c r="AF238" t="n">
        <v>6</v>
      </c>
      <c r="AG238" t="n">
        <v>8</v>
      </c>
      <c r="AH238" t="n">
        <v>3</v>
      </c>
      <c r="AI238" t="n">
        <v>4</v>
      </c>
      <c r="AJ238" t="n">
        <v>10</v>
      </c>
      <c r="AK238" t="n">
        <v>12</v>
      </c>
      <c r="AL238" t="n">
        <v>3</v>
      </c>
      <c r="AM238" t="n">
        <v>3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HYPERLINK("http://catalog.hathitrust.org/Record/000775764","HathiTrust Record")</f>
        <v/>
      </c>
      <c r="AS238">
        <f>HYPERLINK("https://creighton-primo.hosted.exlibrisgroup.com/primo-explore/search?tab=default_tab&amp;search_scope=EVERYTHING&amp;vid=01CRU&amp;lang=en_US&amp;offset=0&amp;query=any,contains,991005194639702656","Catalog Record")</f>
        <v/>
      </c>
      <c r="AT238">
        <f>HYPERLINK("http://www.worldcat.org/oclc/8034321","WorldCat Record")</f>
        <v/>
      </c>
      <c r="AU238" t="inlineStr">
        <is>
          <t>349156268:eng</t>
        </is>
      </c>
      <c r="AV238" t="inlineStr">
        <is>
          <t>8034321</t>
        </is>
      </c>
      <c r="AW238" t="inlineStr">
        <is>
          <t>991005194639702656</t>
        </is>
      </c>
      <c r="AX238" t="inlineStr">
        <is>
          <t>991005194639702656</t>
        </is>
      </c>
      <c r="AY238" t="inlineStr">
        <is>
          <t>2266995630002656</t>
        </is>
      </c>
      <c r="AZ238" t="inlineStr">
        <is>
          <t>BOOK</t>
        </is>
      </c>
      <c r="BB238" t="inlineStr">
        <is>
          <t>9780875895130</t>
        </is>
      </c>
      <c r="BC238" t="inlineStr">
        <is>
          <t>32285001058758</t>
        </is>
      </c>
      <c r="BD238" t="inlineStr">
        <is>
          <t>893902274</t>
        </is>
      </c>
    </row>
    <row r="239">
      <c r="A239" t="inlineStr">
        <is>
          <t>No</t>
        </is>
      </c>
      <c r="B239" t="inlineStr">
        <is>
          <t>RJ503 .T74 1996</t>
        </is>
      </c>
      <c r="C239" t="inlineStr">
        <is>
          <t>0                      RJ 0503000T  74          1996</t>
        </is>
      </c>
      <c r="D239" t="inlineStr">
        <is>
          <t>Treating adolescents / Hans Steiner, editor ; Irvin D. Yalom, general editor.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San Francisco : Jossey-Bass Publishers, c1996.</t>
        </is>
      </c>
      <c r="M239" t="inlineStr">
        <is>
          <t>1996</t>
        </is>
      </c>
      <c r="N239" t="inlineStr">
        <is>
          <t>1st ed.</t>
        </is>
      </c>
      <c r="O239" t="inlineStr">
        <is>
          <t>eng</t>
        </is>
      </c>
      <c r="P239" t="inlineStr">
        <is>
          <t>cau</t>
        </is>
      </c>
      <c r="Q239" t="inlineStr">
        <is>
          <t>The Jossey-Bass library of current clinical technique</t>
        </is>
      </c>
      <c r="R239" t="inlineStr">
        <is>
          <t xml:space="preserve">RJ </t>
        </is>
      </c>
      <c r="S239" t="n">
        <v>2</v>
      </c>
      <c r="T239" t="n">
        <v>2</v>
      </c>
      <c r="U239" t="inlineStr">
        <is>
          <t>2010-10-06</t>
        </is>
      </c>
      <c r="V239" t="inlineStr">
        <is>
          <t>2010-10-06</t>
        </is>
      </c>
      <c r="W239" t="inlineStr">
        <is>
          <t>2001-11-28</t>
        </is>
      </c>
      <c r="X239" t="inlineStr">
        <is>
          <t>2001-11-28</t>
        </is>
      </c>
      <c r="Y239" t="n">
        <v>402</v>
      </c>
      <c r="Z239" t="n">
        <v>329</v>
      </c>
      <c r="AA239" t="n">
        <v>682</v>
      </c>
      <c r="AB239" t="n">
        <v>3</v>
      </c>
      <c r="AC239" t="n">
        <v>7</v>
      </c>
      <c r="AD239" t="n">
        <v>19</v>
      </c>
      <c r="AE239" t="n">
        <v>37</v>
      </c>
      <c r="AF239" t="n">
        <v>9</v>
      </c>
      <c r="AG239" t="n">
        <v>15</v>
      </c>
      <c r="AH239" t="n">
        <v>2</v>
      </c>
      <c r="AI239" t="n">
        <v>7</v>
      </c>
      <c r="AJ239" t="n">
        <v>11</v>
      </c>
      <c r="AK239" t="n">
        <v>15</v>
      </c>
      <c r="AL239" t="n">
        <v>2</v>
      </c>
      <c r="AM239" t="n">
        <v>6</v>
      </c>
      <c r="AN239" t="n">
        <v>0</v>
      </c>
      <c r="AO239" t="n">
        <v>1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HYPERLINK("http://catalog.hathitrust.org/Record/003293653","HathiTrust Record")</f>
        <v/>
      </c>
      <c r="AS239">
        <f>HYPERLINK("https://creighton-primo.hosted.exlibrisgroup.com/primo-explore/search?tab=default_tab&amp;search_scope=EVERYTHING&amp;vid=01CRU&amp;lang=en_US&amp;offset=0&amp;query=any,contains,991003662119702656","Catalog Record")</f>
        <v/>
      </c>
      <c r="AT239">
        <f>HYPERLINK("http://www.worldcat.org/oclc/33242944","WorldCat Record")</f>
        <v/>
      </c>
      <c r="AU239" t="inlineStr">
        <is>
          <t>503579938:eng</t>
        </is>
      </c>
      <c r="AV239" t="inlineStr">
        <is>
          <t>33242944</t>
        </is>
      </c>
      <c r="AW239" t="inlineStr">
        <is>
          <t>991003662119702656</t>
        </is>
      </c>
      <c r="AX239" t="inlineStr">
        <is>
          <t>991003662119702656</t>
        </is>
      </c>
      <c r="AY239" t="inlineStr">
        <is>
          <t>2254923750002656</t>
        </is>
      </c>
      <c r="AZ239" t="inlineStr">
        <is>
          <t>BOOK</t>
        </is>
      </c>
      <c r="BB239" t="inlineStr">
        <is>
          <t>9780787902063</t>
        </is>
      </c>
      <c r="BC239" t="inlineStr">
        <is>
          <t>32285004414370</t>
        </is>
      </c>
      <c r="BD239" t="inlineStr">
        <is>
          <t>893348970</t>
        </is>
      </c>
    </row>
    <row r="240">
      <c r="A240" t="inlineStr">
        <is>
          <t>No</t>
        </is>
      </c>
      <c r="B240" t="inlineStr">
        <is>
          <t>RJ503 .W4</t>
        </is>
      </c>
      <c r="C240" t="inlineStr">
        <is>
          <t>0                      RJ 0503000W  4</t>
        </is>
      </c>
      <c r="D240" t="inlineStr">
        <is>
          <t>Psychological disturbance in adolescence [by] Irving B. Weiner.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Yes</t>
        </is>
      </c>
      <c r="J240" t="inlineStr">
        <is>
          <t>0</t>
        </is>
      </c>
      <c r="K240" t="inlineStr">
        <is>
          <t>Weiner, Irving B.</t>
        </is>
      </c>
      <c r="L240" t="inlineStr">
        <is>
          <t>New York, Wiley-Interscience [1970]</t>
        </is>
      </c>
      <c r="M240" t="inlineStr">
        <is>
          <t>1970</t>
        </is>
      </c>
      <c r="O240" t="inlineStr">
        <is>
          <t>eng</t>
        </is>
      </c>
      <c r="P240" t="inlineStr">
        <is>
          <t>nyu</t>
        </is>
      </c>
      <c r="Q240" t="inlineStr">
        <is>
          <t>Wiley series on psychological disorders</t>
        </is>
      </c>
      <c r="R240" t="inlineStr">
        <is>
          <t xml:space="preserve">RJ </t>
        </is>
      </c>
      <c r="S240" t="n">
        <v>1</v>
      </c>
      <c r="T240" t="n">
        <v>1</v>
      </c>
      <c r="U240" t="inlineStr">
        <is>
          <t>2000-11-28</t>
        </is>
      </c>
      <c r="V240" t="inlineStr">
        <is>
          <t>2000-11-28</t>
        </is>
      </c>
      <c r="W240" t="inlineStr">
        <is>
          <t>1997-08-12</t>
        </is>
      </c>
      <c r="X240" t="inlineStr">
        <is>
          <t>1997-08-12</t>
        </is>
      </c>
      <c r="Y240" t="n">
        <v>707</v>
      </c>
      <c r="Z240" t="n">
        <v>574</v>
      </c>
      <c r="AA240" t="n">
        <v>703</v>
      </c>
      <c r="AB240" t="n">
        <v>8</v>
      </c>
      <c r="AC240" t="n">
        <v>9</v>
      </c>
      <c r="AD240" t="n">
        <v>23</v>
      </c>
      <c r="AE240" t="n">
        <v>30</v>
      </c>
      <c r="AF240" t="n">
        <v>6</v>
      </c>
      <c r="AG240" t="n">
        <v>9</v>
      </c>
      <c r="AH240" t="n">
        <v>4</v>
      </c>
      <c r="AI240" t="n">
        <v>7</v>
      </c>
      <c r="AJ240" t="n">
        <v>13</v>
      </c>
      <c r="AK240" t="n">
        <v>17</v>
      </c>
      <c r="AL240" t="n">
        <v>6</v>
      </c>
      <c r="AM240" t="n">
        <v>6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HYPERLINK("http://catalog.hathitrust.org/Record/001570951","HathiTrust Record")</f>
        <v/>
      </c>
      <c r="AS240">
        <f>HYPERLINK("https://creighton-primo.hosted.exlibrisgroup.com/primo-explore/search?tab=default_tab&amp;search_scope=EVERYTHING&amp;vid=01CRU&amp;lang=en_US&amp;offset=0&amp;query=any,contains,991000154119702656","Catalog Record")</f>
        <v/>
      </c>
      <c r="AT240">
        <f>HYPERLINK("http://www.worldcat.org/oclc/60334","WorldCat Record")</f>
        <v/>
      </c>
      <c r="AU240" t="inlineStr">
        <is>
          <t>1221065:eng</t>
        </is>
      </c>
      <c r="AV240" t="inlineStr">
        <is>
          <t>60334</t>
        </is>
      </c>
      <c r="AW240" t="inlineStr">
        <is>
          <t>991000154119702656</t>
        </is>
      </c>
      <c r="AX240" t="inlineStr">
        <is>
          <t>991000154119702656</t>
        </is>
      </c>
      <c r="AY240" t="inlineStr">
        <is>
          <t>2271524520002656</t>
        </is>
      </c>
      <c r="AZ240" t="inlineStr">
        <is>
          <t>BOOK</t>
        </is>
      </c>
      <c r="BB240" t="inlineStr">
        <is>
          <t>9780471925682</t>
        </is>
      </c>
      <c r="BC240" t="inlineStr">
        <is>
          <t>32285003093944</t>
        </is>
      </c>
      <c r="BD240" t="inlineStr">
        <is>
          <t>893884170</t>
        </is>
      </c>
    </row>
    <row r="241">
      <c r="A241" t="inlineStr">
        <is>
          <t>No</t>
        </is>
      </c>
      <c r="B241" t="inlineStr">
        <is>
          <t>RJ503 .W48 1989</t>
        </is>
      </c>
      <c r="C241" t="inlineStr">
        <is>
          <t>0                      RJ 0503000W  48          1989</t>
        </is>
      </c>
      <c r="D241" t="inlineStr">
        <is>
          <t>The troubled adolescent / Joseph L. White.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White, Joseph L., 1932-2017.</t>
        </is>
      </c>
      <c r="L241" t="inlineStr">
        <is>
          <t>New York : Pergamon Press, c1989.</t>
        </is>
      </c>
      <c r="M241" t="inlineStr">
        <is>
          <t>1989</t>
        </is>
      </c>
      <c r="O241" t="inlineStr">
        <is>
          <t>eng</t>
        </is>
      </c>
      <c r="P241" t="inlineStr">
        <is>
          <t>nyu</t>
        </is>
      </c>
      <c r="Q241" t="inlineStr">
        <is>
          <t>Pergamon general psychology series ; PGPS-158</t>
        </is>
      </c>
      <c r="R241" t="inlineStr">
        <is>
          <t xml:space="preserve">RJ </t>
        </is>
      </c>
      <c r="S241" t="n">
        <v>12</v>
      </c>
      <c r="T241" t="n">
        <v>12</v>
      </c>
      <c r="U241" t="inlineStr">
        <is>
          <t>1997-10-25</t>
        </is>
      </c>
      <c r="V241" t="inlineStr">
        <is>
          <t>1997-10-25</t>
        </is>
      </c>
      <c r="W241" t="inlineStr">
        <is>
          <t>1990-05-08</t>
        </is>
      </c>
      <c r="X241" t="inlineStr">
        <is>
          <t>1990-05-08</t>
        </is>
      </c>
      <c r="Y241" t="n">
        <v>373</v>
      </c>
      <c r="Z241" t="n">
        <v>304</v>
      </c>
      <c r="AA241" t="n">
        <v>328</v>
      </c>
      <c r="AB241" t="n">
        <v>7</v>
      </c>
      <c r="AC241" t="n">
        <v>7</v>
      </c>
      <c r="AD241" t="n">
        <v>14</v>
      </c>
      <c r="AE241" t="n">
        <v>15</v>
      </c>
      <c r="AF241" t="n">
        <v>2</v>
      </c>
      <c r="AG241" t="n">
        <v>3</v>
      </c>
      <c r="AH241" t="n">
        <v>3</v>
      </c>
      <c r="AI241" t="n">
        <v>3</v>
      </c>
      <c r="AJ241" t="n">
        <v>7</v>
      </c>
      <c r="AK241" t="n">
        <v>8</v>
      </c>
      <c r="AL241" t="n">
        <v>5</v>
      </c>
      <c r="AM241" t="n">
        <v>5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HYPERLINK("http://catalog.hathitrust.org/Record/001843456","HathiTrust Record")</f>
        <v/>
      </c>
      <c r="AS241">
        <f>HYPERLINK("https://creighton-primo.hosted.exlibrisgroup.com/primo-explore/search?tab=default_tab&amp;search_scope=EVERYTHING&amp;vid=01CRU&amp;lang=en_US&amp;offset=0&amp;query=any,contains,991001412129702656","Catalog Record")</f>
        <v/>
      </c>
      <c r="AT241">
        <f>HYPERLINK("http://www.worldcat.org/oclc/18908463","WorldCat Record")</f>
        <v/>
      </c>
      <c r="AU241" t="inlineStr">
        <is>
          <t>18357599:eng</t>
        </is>
      </c>
      <c r="AV241" t="inlineStr">
        <is>
          <t>18908463</t>
        </is>
      </c>
      <c r="AW241" t="inlineStr">
        <is>
          <t>991001412129702656</t>
        </is>
      </c>
      <c r="AX241" t="inlineStr">
        <is>
          <t>991001412129702656</t>
        </is>
      </c>
      <c r="AY241" t="inlineStr">
        <is>
          <t>2255601490002656</t>
        </is>
      </c>
      <c r="AZ241" t="inlineStr">
        <is>
          <t>BOOK</t>
        </is>
      </c>
      <c r="BB241" t="inlineStr">
        <is>
          <t>9780080368191</t>
        </is>
      </c>
      <c r="BC241" t="inlineStr">
        <is>
          <t>32285000135771</t>
        </is>
      </c>
      <c r="BD241" t="inlineStr">
        <is>
          <t>893315764</t>
        </is>
      </c>
    </row>
    <row r="242">
      <c r="A242" t="inlineStr">
        <is>
          <t>No</t>
        </is>
      </c>
      <c r="B242" t="inlineStr">
        <is>
          <t>RJ503.3 .S26</t>
        </is>
      </c>
      <c r="C242" t="inlineStr">
        <is>
          <t>0                      RJ 0503300S  26</t>
        </is>
      </c>
      <c r="D242" t="inlineStr">
        <is>
          <t>A biodevelopmental approach to clinical child psychology : cognitive controls and cognitive control therapy / Sebastiano Santostefano.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Santostefano, Sebastiano, 1929-</t>
        </is>
      </c>
      <c r="L242" t="inlineStr">
        <is>
          <t>New York : Wiley, c1978.</t>
        </is>
      </c>
      <c r="M242" t="inlineStr">
        <is>
          <t>1978</t>
        </is>
      </c>
      <c r="O242" t="inlineStr">
        <is>
          <t>eng</t>
        </is>
      </c>
      <c r="P242" t="inlineStr">
        <is>
          <t>nyu</t>
        </is>
      </c>
      <c r="Q242" t="inlineStr">
        <is>
          <t>Wiley series on personality processes</t>
        </is>
      </c>
      <c r="R242" t="inlineStr">
        <is>
          <t xml:space="preserve">RJ </t>
        </is>
      </c>
      <c r="S242" t="n">
        <v>2</v>
      </c>
      <c r="T242" t="n">
        <v>2</v>
      </c>
      <c r="U242" t="inlineStr">
        <is>
          <t>1997-06-24</t>
        </is>
      </c>
      <c r="V242" t="inlineStr">
        <is>
          <t>1997-06-24</t>
        </is>
      </c>
      <c r="W242" t="inlineStr">
        <is>
          <t>1993-03-03</t>
        </is>
      </c>
      <c r="X242" t="inlineStr">
        <is>
          <t>1993-03-03</t>
        </is>
      </c>
      <c r="Y242" t="n">
        <v>308</v>
      </c>
      <c r="Z242" t="n">
        <v>245</v>
      </c>
      <c r="AA242" t="n">
        <v>248</v>
      </c>
      <c r="AB242" t="n">
        <v>3</v>
      </c>
      <c r="AC242" t="n">
        <v>3</v>
      </c>
      <c r="AD242" t="n">
        <v>9</v>
      </c>
      <c r="AE242" t="n">
        <v>9</v>
      </c>
      <c r="AF242" t="n">
        <v>2</v>
      </c>
      <c r="AG242" t="n">
        <v>2</v>
      </c>
      <c r="AH242" t="n">
        <v>3</v>
      </c>
      <c r="AI242" t="n">
        <v>3</v>
      </c>
      <c r="AJ242" t="n">
        <v>4</v>
      </c>
      <c r="AK242" t="n">
        <v>4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HYPERLINK("http://catalog.hathitrust.org/Record/000176759","HathiTrust Record")</f>
        <v/>
      </c>
      <c r="AS242">
        <f>HYPERLINK("https://creighton-primo.hosted.exlibrisgroup.com/primo-explore/search?tab=default_tab&amp;search_scope=EVERYTHING&amp;vid=01CRU&amp;lang=en_US&amp;offset=0&amp;query=any,contains,991004566799702656","Catalog Record")</f>
        <v/>
      </c>
      <c r="AT242">
        <f>HYPERLINK("http://www.worldcat.org/oclc/4004734","WorldCat Record")</f>
        <v/>
      </c>
      <c r="AU242" t="inlineStr">
        <is>
          <t>366263550:eng</t>
        </is>
      </c>
      <c r="AV242" t="inlineStr">
        <is>
          <t>4004734</t>
        </is>
      </c>
      <c r="AW242" t="inlineStr">
        <is>
          <t>991004566799702656</t>
        </is>
      </c>
      <c r="AX242" t="inlineStr">
        <is>
          <t>991004566799702656</t>
        </is>
      </c>
      <c r="AY242" t="inlineStr">
        <is>
          <t>2264991180002656</t>
        </is>
      </c>
      <c r="AZ242" t="inlineStr">
        <is>
          <t>BOOK</t>
        </is>
      </c>
      <c r="BB242" t="inlineStr">
        <is>
          <t>9780471753803</t>
        </is>
      </c>
      <c r="BC242" t="inlineStr">
        <is>
          <t>32285001529451</t>
        </is>
      </c>
      <c r="BD242" t="inlineStr">
        <is>
          <t>893788866</t>
        </is>
      </c>
    </row>
    <row r="243">
      <c r="A243" t="inlineStr">
        <is>
          <t>No</t>
        </is>
      </c>
      <c r="B243" t="inlineStr">
        <is>
          <t>RJ503.5 .A33 1997</t>
        </is>
      </c>
      <c r="C243" t="inlineStr">
        <is>
          <t>0                      RJ 0503500A  33          1997</t>
        </is>
      </c>
      <c r="D243" t="inlineStr">
        <is>
          <t>Empirically based assessment of child and adolescent psychopathology : practical applications / Thomas M. Achenbach, Stephanie H. McConaughy.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Achenbach, Thomas M., 1940-</t>
        </is>
      </c>
      <c r="L243" t="inlineStr">
        <is>
          <t>Thousand Oaks, Calif. : Sage Publications, c1997.</t>
        </is>
      </c>
      <c r="M243" t="inlineStr">
        <is>
          <t>1997</t>
        </is>
      </c>
      <c r="N243" t="inlineStr">
        <is>
          <t>2nd ed.</t>
        </is>
      </c>
      <c r="O243" t="inlineStr">
        <is>
          <t>eng</t>
        </is>
      </c>
      <c r="P243" t="inlineStr">
        <is>
          <t>cau</t>
        </is>
      </c>
      <c r="Q243" t="inlineStr">
        <is>
          <t>Developmental clinical psychology and psychiatry ; vol. 13</t>
        </is>
      </c>
      <c r="R243" t="inlineStr">
        <is>
          <t xml:space="preserve">RJ </t>
        </is>
      </c>
      <c r="S243" t="n">
        <v>1</v>
      </c>
      <c r="T243" t="n">
        <v>1</v>
      </c>
      <c r="U243" t="inlineStr">
        <is>
          <t>2001-01-08</t>
        </is>
      </c>
      <c r="V243" t="inlineStr">
        <is>
          <t>2001-01-08</t>
        </is>
      </c>
      <c r="W243" t="inlineStr">
        <is>
          <t>2001-01-08</t>
        </is>
      </c>
      <c r="X243" t="inlineStr">
        <is>
          <t>2001-01-08</t>
        </is>
      </c>
      <c r="Y243" t="n">
        <v>201</v>
      </c>
      <c r="Z243" t="n">
        <v>143</v>
      </c>
      <c r="AA243" t="n">
        <v>293</v>
      </c>
      <c r="AB243" t="n">
        <v>1</v>
      </c>
      <c r="AC243" t="n">
        <v>4</v>
      </c>
      <c r="AD243" t="n">
        <v>9</v>
      </c>
      <c r="AE243" t="n">
        <v>20</v>
      </c>
      <c r="AF243" t="n">
        <v>3</v>
      </c>
      <c r="AG243" t="n">
        <v>6</v>
      </c>
      <c r="AH243" t="n">
        <v>3</v>
      </c>
      <c r="AI243" t="n">
        <v>5</v>
      </c>
      <c r="AJ243" t="n">
        <v>6</v>
      </c>
      <c r="AK243" t="n">
        <v>12</v>
      </c>
      <c r="AL243" t="n">
        <v>0</v>
      </c>
      <c r="AM243" t="n">
        <v>3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HYPERLINK("https://creighton-primo.hosted.exlibrisgroup.com/primo-explore/search?tab=default_tab&amp;search_scope=EVERYTHING&amp;vid=01CRU&amp;lang=en_US&amp;offset=0&amp;query=any,contains,991003335369702656","Catalog Record")</f>
        <v/>
      </c>
      <c r="AT243">
        <f>HYPERLINK("http://www.worldcat.org/oclc/34745916","WorldCat Record")</f>
        <v/>
      </c>
      <c r="AU243" t="inlineStr">
        <is>
          <t>10200881:eng</t>
        </is>
      </c>
      <c r="AV243" t="inlineStr">
        <is>
          <t>34745916</t>
        </is>
      </c>
      <c r="AW243" t="inlineStr">
        <is>
          <t>991003335369702656</t>
        </is>
      </c>
      <c r="AX243" t="inlineStr">
        <is>
          <t>991003335369702656</t>
        </is>
      </c>
      <c r="AY243" t="inlineStr">
        <is>
          <t>2265208240002656</t>
        </is>
      </c>
      <c r="AZ243" t="inlineStr">
        <is>
          <t>BOOK</t>
        </is>
      </c>
      <c r="BB243" t="inlineStr">
        <is>
          <t>9780803972476</t>
        </is>
      </c>
      <c r="BC243" t="inlineStr">
        <is>
          <t>32285004280813</t>
        </is>
      </c>
      <c r="BD243" t="inlineStr">
        <is>
          <t>893240112</t>
        </is>
      </c>
    </row>
    <row r="244">
      <c r="A244" t="inlineStr">
        <is>
          <t>No</t>
        </is>
      </c>
      <c r="B244" t="inlineStr">
        <is>
          <t>RJ503.5 .A85 1988</t>
        </is>
      </c>
      <c r="C244" t="inlineStr">
        <is>
          <t>0                      RJ 0503500A  85          1988</t>
        </is>
      </c>
      <c r="D244" t="inlineStr">
        <is>
          <t>Assessment and diagnosis in child psychopathology / edited by Michael Rutter, A. Hussain Tuma, Irma S. Lann.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L244" t="inlineStr">
        <is>
          <t>New York : Guilford Press, 1988.</t>
        </is>
      </c>
      <c r="M244" t="inlineStr">
        <is>
          <t>1988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RJ </t>
        </is>
      </c>
      <c r="S244" t="n">
        <v>8</v>
      </c>
      <c r="T244" t="n">
        <v>8</v>
      </c>
      <c r="U244" t="inlineStr">
        <is>
          <t>1996-04-15</t>
        </is>
      </c>
      <c r="V244" t="inlineStr">
        <is>
          <t>1996-04-15</t>
        </is>
      </c>
      <c r="W244" t="inlineStr">
        <is>
          <t>1992-04-08</t>
        </is>
      </c>
      <c r="X244" t="inlineStr">
        <is>
          <t>1992-04-08</t>
        </is>
      </c>
      <c r="Y244" t="n">
        <v>334</v>
      </c>
      <c r="Z244" t="n">
        <v>268</v>
      </c>
      <c r="AA244" t="n">
        <v>271</v>
      </c>
      <c r="AB244" t="n">
        <v>2</v>
      </c>
      <c r="AC244" t="n">
        <v>2</v>
      </c>
      <c r="AD244" t="n">
        <v>10</v>
      </c>
      <c r="AE244" t="n">
        <v>10</v>
      </c>
      <c r="AF244" t="n">
        <v>4</v>
      </c>
      <c r="AG244" t="n">
        <v>4</v>
      </c>
      <c r="AH244" t="n">
        <v>2</v>
      </c>
      <c r="AI244" t="n">
        <v>2</v>
      </c>
      <c r="AJ244" t="n">
        <v>4</v>
      </c>
      <c r="AK244" t="n">
        <v>4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HYPERLINK("https://creighton-primo.hosted.exlibrisgroup.com/primo-explore/search?tab=default_tab&amp;search_scope=EVERYTHING&amp;vid=01CRU&amp;lang=en_US&amp;offset=0&amp;query=any,contains,991001065929702656","Catalog Record")</f>
        <v/>
      </c>
      <c r="AT244">
        <f>HYPERLINK("http://www.worldcat.org/oclc/15793449","WorldCat Record")</f>
        <v/>
      </c>
      <c r="AU244" t="inlineStr">
        <is>
          <t>353610112:eng</t>
        </is>
      </c>
      <c r="AV244" t="inlineStr">
        <is>
          <t>15793449</t>
        </is>
      </c>
      <c r="AW244" t="inlineStr">
        <is>
          <t>991001065929702656</t>
        </is>
      </c>
      <c r="AX244" t="inlineStr">
        <is>
          <t>991001065929702656</t>
        </is>
      </c>
      <c r="AY244" t="inlineStr">
        <is>
          <t>2261259870002656</t>
        </is>
      </c>
      <c r="AZ244" t="inlineStr">
        <is>
          <t>BOOK</t>
        </is>
      </c>
      <c r="BB244" t="inlineStr">
        <is>
          <t>9780898626995</t>
        </is>
      </c>
      <c r="BC244" t="inlineStr">
        <is>
          <t>32285001065894</t>
        </is>
      </c>
      <c r="BD244" t="inlineStr">
        <is>
          <t>893715139</t>
        </is>
      </c>
    </row>
    <row r="245">
      <c r="A245" t="inlineStr">
        <is>
          <t>No</t>
        </is>
      </c>
      <c r="B245" t="inlineStr">
        <is>
          <t>RJ503.5 .B43 1988</t>
        </is>
      </c>
      <c r="C245" t="inlineStr">
        <is>
          <t>0                      RJ 0503500B  43          1988</t>
        </is>
      </c>
      <c r="D245" t="inlineStr">
        <is>
          <t>Behavioral assessment of childhood disorders / edited by Eric J. Mash and Leif G. Terdal.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Guilford Press, c1988.</t>
        </is>
      </c>
      <c r="M245" t="inlineStr">
        <is>
          <t>1988</t>
        </is>
      </c>
      <c r="N245" t="inlineStr">
        <is>
          <t>2nd ed.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RJ </t>
        </is>
      </c>
      <c r="S245" t="n">
        <v>4</v>
      </c>
      <c r="T245" t="n">
        <v>4</v>
      </c>
      <c r="U245" t="inlineStr">
        <is>
          <t>1996-11-07</t>
        </is>
      </c>
      <c r="V245" t="inlineStr">
        <is>
          <t>1996-11-07</t>
        </is>
      </c>
      <c r="W245" t="inlineStr">
        <is>
          <t>1993-01-04</t>
        </is>
      </c>
      <c r="X245" t="inlineStr">
        <is>
          <t>1993-01-04</t>
        </is>
      </c>
      <c r="Y245" t="n">
        <v>361</v>
      </c>
      <c r="Z245" t="n">
        <v>298</v>
      </c>
      <c r="AA245" t="n">
        <v>544</v>
      </c>
      <c r="AB245" t="n">
        <v>4</v>
      </c>
      <c r="AC245" t="n">
        <v>6</v>
      </c>
      <c r="AD245" t="n">
        <v>10</v>
      </c>
      <c r="AE245" t="n">
        <v>21</v>
      </c>
      <c r="AF245" t="n">
        <v>2</v>
      </c>
      <c r="AG245" t="n">
        <v>7</v>
      </c>
      <c r="AH245" t="n">
        <v>2</v>
      </c>
      <c r="AI245" t="n">
        <v>4</v>
      </c>
      <c r="AJ245" t="n">
        <v>7</v>
      </c>
      <c r="AK245" t="n">
        <v>14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HYPERLINK("https://creighton-primo.hosted.exlibrisgroup.com/primo-explore/search?tab=default_tab&amp;search_scope=EVERYTHING&amp;vid=01CRU&amp;lang=en_US&amp;offset=0&amp;query=any,contains,991000941759702656","Catalog Record")</f>
        <v/>
      </c>
      <c r="AT245">
        <f>HYPERLINK("http://www.worldcat.org/oclc/14413197","WorldCat Record")</f>
        <v/>
      </c>
      <c r="AU245" t="inlineStr">
        <is>
          <t>350797465:eng</t>
        </is>
      </c>
      <c r="AV245" t="inlineStr">
        <is>
          <t>14413197</t>
        </is>
      </c>
      <c r="AW245" t="inlineStr">
        <is>
          <t>991000941759702656</t>
        </is>
      </c>
      <c r="AX245" t="inlineStr">
        <is>
          <t>991000941759702656</t>
        </is>
      </c>
      <c r="AY245" t="inlineStr">
        <is>
          <t>2266356350002656</t>
        </is>
      </c>
      <c r="AZ245" t="inlineStr">
        <is>
          <t>BOOK</t>
        </is>
      </c>
      <c r="BB245" t="inlineStr">
        <is>
          <t>9780898621433</t>
        </is>
      </c>
      <c r="BC245" t="inlineStr">
        <is>
          <t>32285001471662</t>
        </is>
      </c>
      <c r="BD245" t="inlineStr">
        <is>
          <t>893315381</t>
        </is>
      </c>
    </row>
    <row r="246">
      <c r="A246" t="inlineStr">
        <is>
          <t>No</t>
        </is>
      </c>
      <c r="B246" t="inlineStr">
        <is>
          <t>RJ503.5 .C48 1992</t>
        </is>
      </c>
      <c r="C246" t="inlineStr">
        <is>
          <t>0                      RJ 0503500C  48          1992</t>
        </is>
      </c>
      <c r="D246" t="inlineStr">
        <is>
          <t>Child psychopathology : diagnostic criteria and clinical assessment / edited by Stephen R. Hooper, George W. Hynd, Richard E. Mattison.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L246" t="inlineStr">
        <is>
          <t>Hillsdale, N.J. : L. Erlbaum, 1992.</t>
        </is>
      </c>
      <c r="M246" t="inlineStr">
        <is>
          <t>1992</t>
        </is>
      </c>
      <c r="O246" t="inlineStr">
        <is>
          <t>eng</t>
        </is>
      </c>
      <c r="P246" t="inlineStr">
        <is>
          <t>nju</t>
        </is>
      </c>
      <c r="R246" t="inlineStr">
        <is>
          <t xml:space="preserve">RJ </t>
        </is>
      </c>
      <c r="S246" t="n">
        <v>19</v>
      </c>
      <c r="T246" t="n">
        <v>19</v>
      </c>
      <c r="U246" t="inlineStr">
        <is>
          <t>1999-02-27</t>
        </is>
      </c>
      <c r="V246" t="inlineStr">
        <is>
          <t>1999-02-27</t>
        </is>
      </c>
      <c r="W246" t="inlineStr">
        <is>
          <t>1993-01-26</t>
        </is>
      </c>
      <c r="X246" t="inlineStr">
        <is>
          <t>1993-01-26</t>
        </is>
      </c>
      <c r="Y246" t="n">
        <v>164</v>
      </c>
      <c r="Z246" t="n">
        <v>126</v>
      </c>
      <c r="AA246" t="n">
        <v>159</v>
      </c>
      <c r="AB246" t="n">
        <v>2</v>
      </c>
      <c r="AC246" t="n">
        <v>2</v>
      </c>
      <c r="AD246" t="n">
        <v>9</v>
      </c>
      <c r="AE246" t="n">
        <v>9</v>
      </c>
      <c r="AF246" t="n">
        <v>3</v>
      </c>
      <c r="AG246" t="n">
        <v>3</v>
      </c>
      <c r="AH246" t="n">
        <v>3</v>
      </c>
      <c r="AI246" t="n">
        <v>3</v>
      </c>
      <c r="AJ246" t="n">
        <v>4</v>
      </c>
      <c r="AK246" t="n">
        <v>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HYPERLINK("https://creighton-primo.hosted.exlibrisgroup.com/primo-explore/search?tab=default_tab&amp;search_scope=EVERYTHING&amp;vid=01CRU&amp;lang=en_US&amp;offset=0&amp;query=any,contains,991001832719702656","Catalog Record")</f>
        <v/>
      </c>
      <c r="AT246">
        <f>HYPERLINK("http://www.worldcat.org/oclc/23017285","WorldCat Record")</f>
        <v/>
      </c>
      <c r="AU246" t="inlineStr">
        <is>
          <t>356137488:eng</t>
        </is>
      </c>
      <c r="AV246" t="inlineStr">
        <is>
          <t>23017285</t>
        </is>
      </c>
      <c r="AW246" t="inlineStr">
        <is>
          <t>991001832719702656</t>
        </is>
      </c>
      <c r="AX246" t="inlineStr">
        <is>
          <t>991001832719702656</t>
        </is>
      </c>
      <c r="AY246" t="inlineStr">
        <is>
          <t>2266320460002656</t>
        </is>
      </c>
      <c r="AZ246" t="inlineStr">
        <is>
          <t>BOOK</t>
        </is>
      </c>
      <c r="BB246" t="inlineStr">
        <is>
          <t>9780805803280</t>
        </is>
      </c>
      <c r="BC246" t="inlineStr">
        <is>
          <t>32285001448058</t>
        </is>
      </c>
      <c r="BD246" t="inlineStr">
        <is>
          <t>893244447</t>
        </is>
      </c>
    </row>
    <row r="247">
      <c r="A247" t="inlineStr">
        <is>
          <t>No</t>
        </is>
      </c>
      <c r="B247" t="inlineStr">
        <is>
          <t>RJ503.5 .M4 1996</t>
        </is>
      </c>
      <c r="C247" t="inlineStr">
        <is>
          <t>0                      RJ 0503500M  4           1996</t>
        </is>
      </c>
      <c r="D247" t="inlineStr">
        <is>
          <t>New visions for the developmental assessment of infants and young children / Samuel J. Meisels and Emily Fenichel, editors.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Meisels, Samuel J.</t>
        </is>
      </c>
      <c r="L247" t="inlineStr">
        <is>
          <t>Washington, D.C. : Zero to Three/National Center for Infants, Toddlers, and Families, c1996.</t>
        </is>
      </c>
      <c r="M247" t="inlineStr">
        <is>
          <t>1996</t>
        </is>
      </c>
      <c r="N247" t="inlineStr">
        <is>
          <t>1st ed.</t>
        </is>
      </c>
      <c r="O247" t="inlineStr">
        <is>
          <t>eng</t>
        </is>
      </c>
      <c r="P247" t="inlineStr">
        <is>
          <t>dcu</t>
        </is>
      </c>
      <c r="R247" t="inlineStr">
        <is>
          <t xml:space="preserve">RJ </t>
        </is>
      </c>
      <c r="S247" t="n">
        <v>1</v>
      </c>
      <c r="T247" t="n">
        <v>1</v>
      </c>
      <c r="U247" t="inlineStr">
        <is>
          <t>2008-11-17</t>
        </is>
      </c>
      <c r="V247" t="inlineStr">
        <is>
          <t>2008-11-17</t>
        </is>
      </c>
      <c r="W247" t="inlineStr">
        <is>
          <t>1996-09-30</t>
        </is>
      </c>
      <c r="X247" t="inlineStr">
        <is>
          <t>1996-09-30</t>
        </is>
      </c>
      <c r="Y247" t="n">
        <v>200</v>
      </c>
      <c r="Z247" t="n">
        <v>175</v>
      </c>
      <c r="AA247" t="n">
        <v>215</v>
      </c>
      <c r="AB247" t="n">
        <v>3</v>
      </c>
      <c r="AC247" t="n">
        <v>3</v>
      </c>
      <c r="AD247" t="n">
        <v>5</v>
      </c>
      <c r="AE247" t="n">
        <v>8</v>
      </c>
      <c r="AF247" t="n">
        <v>1</v>
      </c>
      <c r="AG247" t="n">
        <v>3</v>
      </c>
      <c r="AH247" t="n">
        <v>2</v>
      </c>
      <c r="AI247" t="n">
        <v>2</v>
      </c>
      <c r="AJ247" t="n">
        <v>1</v>
      </c>
      <c r="AK247" t="n">
        <v>2</v>
      </c>
      <c r="AL247" t="n">
        <v>2</v>
      </c>
      <c r="AM247" t="n">
        <v>2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HYPERLINK("http://catalog.hathitrust.org/Record/003110786","HathiTrust Record")</f>
        <v/>
      </c>
      <c r="AS247">
        <f>HYPERLINK("https://creighton-primo.hosted.exlibrisgroup.com/primo-explore/search?tab=default_tab&amp;search_scope=EVERYTHING&amp;vid=01CRU&amp;lang=en_US&amp;offset=0&amp;query=any,contains,991002714349702656","Catalog Record")</f>
        <v/>
      </c>
      <c r="AT247">
        <f>HYPERLINK("http://www.worldcat.org/oclc/35617662","WorldCat Record")</f>
        <v/>
      </c>
      <c r="AU247" t="inlineStr">
        <is>
          <t>474750171:eng</t>
        </is>
      </c>
      <c r="AV247" t="inlineStr">
        <is>
          <t>35617662</t>
        </is>
      </c>
      <c r="AW247" t="inlineStr">
        <is>
          <t>991002714349702656</t>
        </is>
      </c>
      <c r="AX247" t="inlineStr">
        <is>
          <t>991002714349702656</t>
        </is>
      </c>
      <c r="AY247" t="inlineStr">
        <is>
          <t>2272277430002656</t>
        </is>
      </c>
      <c r="AZ247" t="inlineStr">
        <is>
          <t>BOOK</t>
        </is>
      </c>
      <c r="BB247" t="inlineStr">
        <is>
          <t>9780943657356</t>
        </is>
      </c>
      <c r="BC247" t="inlineStr">
        <is>
          <t>32285002321106</t>
        </is>
      </c>
      <c r="BD247" t="inlineStr">
        <is>
          <t>893440425</t>
        </is>
      </c>
    </row>
    <row r="248">
      <c r="A248" t="inlineStr">
        <is>
          <t>No</t>
        </is>
      </c>
      <c r="B248" t="inlineStr">
        <is>
          <t>RJ504 .B45</t>
        </is>
      </c>
      <c r="C248" t="inlineStr">
        <is>
          <t>0                      RJ 0504000B  45</t>
        </is>
      </c>
      <c r="D248" t="inlineStr">
        <is>
          <t>Behavioral consultation / John R. Bergan.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Bergan, John R., 1931-</t>
        </is>
      </c>
      <c r="L248" t="inlineStr">
        <is>
          <t>Columbus, Ohio : Merrill, c1977.</t>
        </is>
      </c>
      <c r="M248" t="inlineStr">
        <is>
          <t>1977</t>
        </is>
      </c>
      <c r="O248" t="inlineStr">
        <is>
          <t>eng</t>
        </is>
      </c>
      <c r="P248" t="inlineStr">
        <is>
          <t>ohu</t>
        </is>
      </c>
      <c r="R248" t="inlineStr">
        <is>
          <t xml:space="preserve">RJ </t>
        </is>
      </c>
      <c r="S248" t="n">
        <v>5</v>
      </c>
      <c r="T248" t="n">
        <v>5</v>
      </c>
      <c r="U248" t="inlineStr">
        <is>
          <t>1999-06-02</t>
        </is>
      </c>
      <c r="V248" t="inlineStr">
        <is>
          <t>1999-06-02</t>
        </is>
      </c>
      <c r="W248" t="inlineStr">
        <is>
          <t>1990-07-06</t>
        </is>
      </c>
      <c r="X248" t="inlineStr">
        <is>
          <t>1990-07-06</t>
        </is>
      </c>
      <c r="Y248" t="n">
        <v>129</v>
      </c>
      <c r="Z248" t="n">
        <v>101</v>
      </c>
      <c r="AA248" t="n">
        <v>101</v>
      </c>
      <c r="AB248" t="n">
        <v>3</v>
      </c>
      <c r="AC248" t="n">
        <v>3</v>
      </c>
      <c r="AD248" t="n">
        <v>5</v>
      </c>
      <c r="AE248" t="n">
        <v>5</v>
      </c>
      <c r="AF248" t="n">
        <v>0</v>
      </c>
      <c r="AG248" t="n">
        <v>0</v>
      </c>
      <c r="AH248" t="n">
        <v>1</v>
      </c>
      <c r="AI248" t="n">
        <v>1</v>
      </c>
      <c r="AJ248" t="n">
        <v>4</v>
      </c>
      <c r="AK248" t="n">
        <v>4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HYPERLINK("https://creighton-primo.hosted.exlibrisgroup.com/primo-explore/search?tab=default_tab&amp;search_scope=EVERYTHING&amp;vid=01CRU&amp;lang=en_US&amp;offset=0&amp;query=any,contains,991004394919702656","Catalog Record")</f>
        <v/>
      </c>
      <c r="AT248">
        <f>HYPERLINK("http://www.worldcat.org/oclc/3275505","WorldCat Record")</f>
        <v/>
      </c>
      <c r="AU248" t="inlineStr">
        <is>
          <t>431144:eng</t>
        </is>
      </c>
      <c r="AV248" t="inlineStr">
        <is>
          <t>3275505</t>
        </is>
      </c>
      <c r="AW248" t="inlineStr">
        <is>
          <t>991004394919702656</t>
        </is>
      </c>
      <c r="AX248" t="inlineStr">
        <is>
          <t>991004394919702656</t>
        </is>
      </c>
      <c r="AY248" t="inlineStr">
        <is>
          <t>2255512120002656</t>
        </is>
      </c>
      <c r="AZ248" t="inlineStr">
        <is>
          <t>BOOK</t>
        </is>
      </c>
      <c r="BB248" t="inlineStr">
        <is>
          <t>9780675084888</t>
        </is>
      </c>
      <c r="BC248" t="inlineStr">
        <is>
          <t>32285000204635</t>
        </is>
      </c>
      <c r="BD248" t="inlineStr">
        <is>
          <t>893319168</t>
        </is>
      </c>
    </row>
    <row r="249">
      <c r="A249" t="inlineStr">
        <is>
          <t>No</t>
        </is>
      </c>
      <c r="B249" t="inlineStr">
        <is>
          <t>RJ504 .B753 1999</t>
        </is>
      </c>
      <c r="C249" t="inlineStr">
        <is>
          <t>0                      RJ 0504000B  753         1999</t>
        </is>
      </c>
      <c r="D249" t="inlineStr">
        <is>
          <t>Doing child and adolescent psychotherapy : the ways and whys / Richard Bromfield.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Bromfield, Richard.</t>
        </is>
      </c>
      <c r="L249" t="inlineStr">
        <is>
          <t>Northvale, NJ : Jason Aronson, c1999.</t>
        </is>
      </c>
      <c r="M249" t="inlineStr">
        <is>
          <t>1999</t>
        </is>
      </c>
      <c r="O249" t="inlineStr">
        <is>
          <t>eng</t>
        </is>
      </c>
      <c r="P249" t="inlineStr">
        <is>
          <t>nju</t>
        </is>
      </c>
      <c r="R249" t="inlineStr">
        <is>
          <t xml:space="preserve">RJ </t>
        </is>
      </c>
      <c r="S249" t="n">
        <v>3</v>
      </c>
      <c r="T249" t="n">
        <v>3</v>
      </c>
      <c r="U249" t="inlineStr">
        <is>
          <t>2003-03-28</t>
        </is>
      </c>
      <c r="V249" t="inlineStr">
        <is>
          <t>2003-03-28</t>
        </is>
      </c>
      <c r="W249" t="inlineStr">
        <is>
          <t>2001-04-16</t>
        </is>
      </c>
      <c r="X249" t="inlineStr">
        <is>
          <t>2001-04-16</t>
        </is>
      </c>
      <c r="Y249" t="n">
        <v>291</v>
      </c>
      <c r="Z249" t="n">
        <v>256</v>
      </c>
      <c r="AA249" t="n">
        <v>258</v>
      </c>
      <c r="AB249" t="n">
        <v>3</v>
      </c>
      <c r="AC249" t="n">
        <v>3</v>
      </c>
      <c r="AD249" t="n">
        <v>11</v>
      </c>
      <c r="AE249" t="n">
        <v>11</v>
      </c>
      <c r="AF249" t="n">
        <v>2</v>
      </c>
      <c r="AG249" t="n">
        <v>2</v>
      </c>
      <c r="AH249" t="n">
        <v>3</v>
      </c>
      <c r="AI249" t="n">
        <v>3</v>
      </c>
      <c r="AJ249" t="n">
        <v>6</v>
      </c>
      <c r="AK249" t="n">
        <v>6</v>
      </c>
      <c r="AL249" t="n">
        <v>2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HYPERLINK("http://catalog.hathitrust.org/Record/004081650","HathiTrust Record")</f>
        <v/>
      </c>
      <c r="AS249">
        <f>HYPERLINK("https://creighton-primo.hosted.exlibrisgroup.com/primo-explore/search?tab=default_tab&amp;search_scope=EVERYTHING&amp;vid=01CRU&amp;lang=en_US&amp;offset=0&amp;query=any,contains,991003488509702656","Catalog Record")</f>
        <v/>
      </c>
      <c r="AT249">
        <f>HYPERLINK("http://www.worldcat.org/oclc/40698508","WorldCat Record")</f>
        <v/>
      </c>
      <c r="AU249" t="inlineStr">
        <is>
          <t>292612793:eng</t>
        </is>
      </c>
      <c r="AV249" t="inlineStr">
        <is>
          <t>40698508</t>
        </is>
      </c>
      <c r="AW249" t="inlineStr">
        <is>
          <t>991003488509702656</t>
        </is>
      </c>
      <c r="AX249" t="inlineStr">
        <is>
          <t>991003488509702656</t>
        </is>
      </c>
      <c r="AY249" t="inlineStr">
        <is>
          <t>2264510250002656</t>
        </is>
      </c>
      <c r="AZ249" t="inlineStr">
        <is>
          <t>BOOK</t>
        </is>
      </c>
      <c r="BB249" t="inlineStr">
        <is>
          <t>9780765702203</t>
        </is>
      </c>
      <c r="BC249" t="inlineStr">
        <is>
          <t>32285004312335</t>
        </is>
      </c>
      <c r="BD249" t="inlineStr">
        <is>
          <t>893318027</t>
        </is>
      </c>
    </row>
    <row r="250">
      <c r="A250" t="inlineStr">
        <is>
          <t>No</t>
        </is>
      </c>
      <c r="B250" t="inlineStr">
        <is>
          <t>RJ504 .D54 1979</t>
        </is>
      </c>
      <c r="C250" t="inlineStr">
        <is>
          <t>0                      RJ 0504000D  54          1979</t>
        </is>
      </c>
      <c r="D250" t="inlineStr">
        <is>
          <t>Group counseling : theory &amp; practice / Don C. Dinkmeyer, James J. Muro.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Dinkmeyer, Don C.</t>
        </is>
      </c>
      <c r="L250" t="inlineStr">
        <is>
          <t>Itasca, Ill. : F. E. Peacock, 1979.</t>
        </is>
      </c>
      <c r="M250" t="inlineStr">
        <is>
          <t>1979</t>
        </is>
      </c>
      <c r="N250" t="inlineStr">
        <is>
          <t>2d ed.</t>
        </is>
      </c>
      <c r="O250" t="inlineStr">
        <is>
          <t>eng</t>
        </is>
      </c>
      <c r="P250" t="inlineStr">
        <is>
          <t>ilu</t>
        </is>
      </c>
      <c r="R250" t="inlineStr">
        <is>
          <t xml:space="preserve">RJ </t>
        </is>
      </c>
      <c r="S250" t="n">
        <v>6</v>
      </c>
      <c r="T250" t="n">
        <v>6</v>
      </c>
      <c r="U250" t="inlineStr">
        <is>
          <t>2006-02-13</t>
        </is>
      </c>
      <c r="V250" t="inlineStr">
        <is>
          <t>2006-02-13</t>
        </is>
      </c>
      <c r="W250" t="inlineStr">
        <is>
          <t>1992-03-24</t>
        </is>
      </c>
      <c r="X250" t="inlineStr">
        <is>
          <t>1992-03-24</t>
        </is>
      </c>
      <c r="Y250" t="n">
        <v>236</v>
      </c>
      <c r="Z250" t="n">
        <v>171</v>
      </c>
      <c r="AA250" t="n">
        <v>461</v>
      </c>
      <c r="AB250" t="n">
        <v>2</v>
      </c>
      <c r="AC250" t="n">
        <v>5</v>
      </c>
      <c r="AD250" t="n">
        <v>4</v>
      </c>
      <c r="AE250" t="n">
        <v>22</v>
      </c>
      <c r="AF250" t="n">
        <v>1</v>
      </c>
      <c r="AG250" t="n">
        <v>11</v>
      </c>
      <c r="AH250" t="n">
        <v>1</v>
      </c>
      <c r="AI250" t="n">
        <v>3</v>
      </c>
      <c r="AJ250" t="n">
        <v>2</v>
      </c>
      <c r="AK250" t="n">
        <v>13</v>
      </c>
      <c r="AL250" t="n">
        <v>1</v>
      </c>
      <c r="AM250" t="n">
        <v>4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HYPERLINK("http://catalog.hathitrust.org/Record/101997488","HathiTrust Record")</f>
        <v/>
      </c>
      <c r="AS250">
        <f>HYPERLINK("https://creighton-primo.hosted.exlibrisgroup.com/primo-explore/search?tab=default_tab&amp;search_scope=EVERYTHING&amp;vid=01CRU&amp;lang=en_US&amp;offset=0&amp;query=any,contains,991004757389702656","Catalog Record")</f>
        <v/>
      </c>
      <c r="AT250">
        <f>HYPERLINK("http://www.worldcat.org/oclc/4975358","WorldCat Record")</f>
        <v/>
      </c>
      <c r="AU250" t="inlineStr">
        <is>
          <t>364175129:eng</t>
        </is>
      </c>
      <c r="AV250" t="inlineStr">
        <is>
          <t>4975358</t>
        </is>
      </c>
      <c r="AW250" t="inlineStr">
        <is>
          <t>991004757389702656</t>
        </is>
      </c>
      <c r="AX250" t="inlineStr">
        <is>
          <t>991004757389702656</t>
        </is>
      </c>
      <c r="AY250" t="inlineStr">
        <is>
          <t>2270432910002656</t>
        </is>
      </c>
      <c r="AZ250" t="inlineStr">
        <is>
          <t>BOOK</t>
        </is>
      </c>
      <c r="BB250" t="inlineStr">
        <is>
          <t>9780875812069</t>
        </is>
      </c>
      <c r="BC250" t="inlineStr">
        <is>
          <t>32285001004208</t>
        </is>
      </c>
      <c r="BD250" t="inlineStr">
        <is>
          <t>893424162</t>
        </is>
      </c>
    </row>
    <row r="251">
      <c r="A251" t="inlineStr">
        <is>
          <t>No</t>
        </is>
      </c>
      <c r="B251" t="inlineStr">
        <is>
          <t>RJ504 .F7 1964</t>
        </is>
      </c>
      <c r="C251" t="inlineStr">
        <is>
          <t>0                      RJ 0504000F  7           1964</t>
        </is>
      </c>
      <c r="D251" t="inlineStr">
        <is>
          <t>The psychoanalytical treatment of children : lectures and essays / by Anna Freud. [Pts. 1 and 2 were translated from the German by Nancy Proctor-Gregg]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Freud, Anna, 1895-1982.</t>
        </is>
      </c>
      <c r="L251" t="inlineStr">
        <is>
          <t>New York : Schocken Books, [1964, c1946]</t>
        </is>
      </c>
      <c r="M251" t="inlineStr">
        <is>
          <t>1964</t>
        </is>
      </c>
      <c r="O251" t="inlineStr">
        <is>
          <t>eng</t>
        </is>
      </c>
      <c r="P251" t="inlineStr">
        <is>
          <t>nyu</t>
        </is>
      </c>
      <c r="Q251" t="inlineStr">
        <is>
          <t>Schocken paperbacks ; SB84</t>
        </is>
      </c>
      <c r="R251" t="inlineStr">
        <is>
          <t xml:space="preserve">RJ </t>
        </is>
      </c>
      <c r="S251" t="n">
        <v>1</v>
      </c>
      <c r="T251" t="n">
        <v>1</v>
      </c>
      <c r="U251" t="inlineStr">
        <is>
          <t>2009-03-11</t>
        </is>
      </c>
      <c r="V251" t="inlineStr">
        <is>
          <t>2009-03-11</t>
        </is>
      </c>
      <c r="W251" t="inlineStr">
        <is>
          <t>2000-02-02</t>
        </is>
      </c>
      <c r="X251" t="inlineStr">
        <is>
          <t>2000-02-02</t>
        </is>
      </c>
      <c r="Y251" t="n">
        <v>344</v>
      </c>
      <c r="Z251" t="n">
        <v>309</v>
      </c>
      <c r="AA251" t="n">
        <v>326</v>
      </c>
      <c r="AB251" t="n">
        <v>1</v>
      </c>
      <c r="AC251" t="n">
        <v>1</v>
      </c>
      <c r="AD251" t="n">
        <v>7</v>
      </c>
      <c r="AE251" t="n">
        <v>7</v>
      </c>
      <c r="AF251" t="n">
        <v>1</v>
      </c>
      <c r="AG251" t="n">
        <v>1</v>
      </c>
      <c r="AH251" t="n">
        <v>2</v>
      </c>
      <c r="AI251" t="n">
        <v>2</v>
      </c>
      <c r="AJ251" t="n">
        <v>5</v>
      </c>
      <c r="AK251" t="n">
        <v>5</v>
      </c>
      <c r="AL251" t="n">
        <v>0</v>
      </c>
      <c r="AM251" t="n">
        <v>0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HYPERLINK("http://catalog.hathitrust.org/Record/000003522","HathiTrust Record")</f>
        <v/>
      </c>
      <c r="AS251">
        <f>HYPERLINK("https://creighton-primo.hosted.exlibrisgroup.com/primo-explore/search?tab=default_tab&amp;search_scope=EVERYTHING&amp;vid=01CRU&amp;lang=en_US&amp;offset=0&amp;query=any,contains,991001912119702656","Catalog Record")</f>
        <v/>
      </c>
      <c r="AT251">
        <f>HYPERLINK("http://www.worldcat.org/oclc/242537","WorldCat Record")</f>
        <v/>
      </c>
      <c r="AU251" t="inlineStr">
        <is>
          <t>3860323783:eng</t>
        </is>
      </c>
      <c r="AV251" t="inlineStr">
        <is>
          <t>242537</t>
        </is>
      </c>
      <c r="AW251" t="inlineStr">
        <is>
          <t>991001912119702656</t>
        </is>
      </c>
      <c r="AX251" t="inlineStr">
        <is>
          <t>991001912119702656</t>
        </is>
      </c>
      <c r="AY251" t="inlineStr">
        <is>
          <t>2269587930002656</t>
        </is>
      </c>
      <c r="AZ251" t="inlineStr">
        <is>
          <t>BOOK</t>
        </is>
      </c>
      <c r="BC251" t="inlineStr">
        <is>
          <t>32285003658373</t>
        </is>
      </c>
      <c r="BD251" t="inlineStr">
        <is>
          <t>893879291</t>
        </is>
      </c>
    </row>
    <row r="252">
      <c r="A252" t="inlineStr">
        <is>
          <t>No</t>
        </is>
      </c>
      <c r="B252" t="inlineStr">
        <is>
          <t>RJ504 .J63 1986</t>
        </is>
      </c>
      <c r="C252" t="inlineStr">
        <is>
          <t>0                      RJ 0504000J  63          1986</t>
        </is>
      </c>
      <c r="D252" t="inlineStr">
        <is>
          <t>Approaches to child treatment : introduction to theory, research, and practice / James H. Johnson, Wiley C. Rasbury, Lawrence J. Siegel.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Johnson, James H. (James Harmon), 1943-</t>
        </is>
      </c>
      <c r="L252" t="inlineStr">
        <is>
          <t>New York : Pergamon Press, 1986.</t>
        </is>
      </c>
      <c r="M252" t="inlineStr">
        <is>
          <t>1986</t>
        </is>
      </c>
      <c r="O252" t="inlineStr">
        <is>
          <t>eng</t>
        </is>
      </c>
      <c r="P252" t="inlineStr">
        <is>
          <t>nyu</t>
        </is>
      </c>
      <c r="Q252" t="inlineStr">
        <is>
          <t>Pergamon general psychology series ; 138</t>
        </is>
      </c>
      <c r="R252" t="inlineStr">
        <is>
          <t xml:space="preserve">RJ </t>
        </is>
      </c>
      <c r="S252" t="n">
        <v>4</v>
      </c>
      <c r="T252" t="n">
        <v>4</v>
      </c>
      <c r="U252" t="inlineStr">
        <is>
          <t>1997-04-28</t>
        </is>
      </c>
      <c r="V252" t="inlineStr">
        <is>
          <t>1997-04-28</t>
        </is>
      </c>
      <c r="W252" t="inlineStr">
        <is>
          <t>1991-11-08</t>
        </is>
      </c>
      <c r="X252" t="inlineStr">
        <is>
          <t>1991-11-08</t>
        </is>
      </c>
      <c r="Y252" t="n">
        <v>407</v>
      </c>
      <c r="Z252" t="n">
        <v>334</v>
      </c>
      <c r="AA252" t="n">
        <v>336</v>
      </c>
      <c r="AB252" t="n">
        <v>5</v>
      </c>
      <c r="AC252" t="n">
        <v>5</v>
      </c>
      <c r="AD252" t="n">
        <v>17</v>
      </c>
      <c r="AE252" t="n">
        <v>17</v>
      </c>
      <c r="AF252" t="n">
        <v>3</v>
      </c>
      <c r="AG252" t="n">
        <v>3</v>
      </c>
      <c r="AH252" t="n">
        <v>3</v>
      </c>
      <c r="AI252" t="n">
        <v>3</v>
      </c>
      <c r="AJ252" t="n">
        <v>8</v>
      </c>
      <c r="AK252" t="n">
        <v>8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HYPERLINK("http://catalog.hathitrust.org/Record/000630999","HathiTrust Record")</f>
        <v/>
      </c>
      <c r="AS252">
        <f>HYPERLINK("https://creighton-primo.hosted.exlibrisgroup.com/primo-explore/search?tab=default_tab&amp;search_scope=EVERYTHING&amp;vid=01CRU&amp;lang=en_US&amp;offset=0&amp;query=any,contains,991000795929702656","Catalog Record")</f>
        <v/>
      </c>
      <c r="AT252">
        <f>HYPERLINK("http://www.worldcat.org/oclc/13186232","WorldCat Record")</f>
        <v/>
      </c>
      <c r="AU252" t="inlineStr">
        <is>
          <t>5865437:eng</t>
        </is>
      </c>
      <c r="AV252" t="inlineStr">
        <is>
          <t>13186232</t>
        </is>
      </c>
      <c r="AW252" t="inlineStr">
        <is>
          <t>991000795929702656</t>
        </is>
      </c>
      <c r="AX252" t="inlineStr">
        <is>
          <t>991000795929702656</t>
        </is>
      </c>
      <c r="AY252" t="inlineStr">
        <is>
          <t>2255650120002656</t>
        </is>
      </c>
      <c r="AZ252" t="inlineStr">
        <is>
          <t>BOOK</t>
        </is>
      </c>
      <c r="BB252" t="inlineStr">
        <is>
          <t>9780080336299</t>
        </is>
      </c>
      <c r="BC252" t="inlineStr">
        <is>
          <t>32285000821073</t>
        </is>
      </c>
      <c r="BD252" t="inlineStr">
        <is>
          <t>893237611</t>
        </is>
      </c>
    </row>
    <row r="253">
      <c r="A253" t="inlineStr">
        <is>
          <t>No</t>
        </is>
      </c>
      <c r="B253" t="inlineStr">
        <is>
          <t>RJ504 .K35 1979</t>
        </is>
      </c>
      <c r="C253" t="inlineStr">
        <is>
          <t>0                      RJ 0504000K  35          1979</t>
        </is>
      </c>
      <c r="D253" t="inlineStr">
        <is>
          <t>Giant steps / Barry Neil Kaufman.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Kaufman, Barry Neil.</t>
        </is>
      </c>
      <c r="L253" t="inlineStr">
        <is>
          <t>New York : Coward, McCann &amp; Geoghegan, c1979.</t>
        </is>
      </c>
      <c r="M253" t="inlineStr">
        <is>
          <t>1979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RJ </t>
        </is>
      </c>
      <c r="S253" t="n">
        <v>1</v>
      </c>
      <c r="T253" t="n">
        <v>1</v>
      </c>
      <c r="U253" t="inlineStr">
        <is>
          <t>1995-01-17</t>
        </is>
      </c>
      <c r="V253" t="inlineStr">
        <is>
          <t>1995-01-17</t>
        </is>
      </c>
      <c r="W253" t="inlineStr">
        <is>
          <t>1993-03-03</t>
        </is>
      </c>
      <c r="X253" t="inlineStr">
        <is>
          <t>1993-03-03</t>
        </is>
      </c>
      <c r="Y253" t="n">
        <v>165</v>
      </c>
      <c r="Z253" t="n">
        <v>157</v>
      </c>
      <c r="AA253" t="n">
        <v>183</v>
      </c>
      <c r="AB253" t="n">
        <v>1</v>
      </c>
      <c r="AC253" t="n">
        <v>1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HYPERLINK("http://catalog.hathitrust.org/Record/000042999","HathiTrust Record")</f>
        <v/>
      </c>
      <c r="AS253">
        <f>HYPERLINK("https://creighton-primo.hosted.exlibrisgroup.com/primo-explore/search?tab=default_tab&amp;search_scope=EVERYTHING&amp;vid=01CRU&amp;lang=en_US&amp;offset=0&amp;query=any,contains,991004658489702656","Catalog Record")</f>
        <v/>
      </c>
      <c r="AT253">
        <f>HYPERLINK("http://www.worldcat.org/oclc/4496039","WorldCat Record")</f>
        <v/>
      </c>
      <c r="AU253" t="inlineStr">
        <is>
          <t>443495:eng</t>
        </is>
      </c>
      <c r="AV253" t="inlineStr">
        <is>
          <t>4496039</t>
        </is>
      </c>
      <c r="AW253" t="inlineStr">
        <is>
          <t>991004658489702656</t>
        </is>
      </c>
      <c r="AX253" t="inlineStr">
        <is>
          <t>991004658489702656</t>
        </is>
      </c>
      <c r="AY253" t="inlineStr">
        <is>
          <t>2268669210002656</t>
        </is>
      </c>
      <c r="AZ253" t="inlineStr">
        <is>
          <t>BOOK</t>
        </is>
      </c>
      <c r="BB253" t="inlineStr">
        <is>
          <t>9780698109568</t>
        </is>
      </c>
      <c r="BC253" t="inlineStr">
        <is>
          <t>32285001529485</t>
        </is>
      </c>
      <c r="BD253" t="inlineStr">
        <is>
          <t>893618925</t>
        </is>
      </c>
    </row>
    <row r="254">
      <c r="A254" t="inlineStr">
        <is>
          <t>No</t>
        </is>
      </c>
      <c r="B254" t="inlineStr">
        <is>
          <t>RJ504 .P68 1983</t>
        </is>
      </c>
      <c r="C254" t="inlineStr">
        <is>
          <t>0                      RJ 0504000P  68          1983</t>
        </is>
      </c>
      <c r="D254" t="inlineStr">
        <is>
          <t>The Practice of child therapy / edited by Richard J. Morris, Thomas R. Kratochwill.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New York : Pergamon Press, c1983.</t>
        </is>
      </c>
      <c r="M254" t="inlineStr">
        <is>
          <t>1983</t>
        </is>
      </c>
      <c r="O254" t="inlineStr">
        <is>
          <t>eng</t>
        </is>
      </c>
      <c r="P254" t="inlineStr">
        <is>
          <t>nyu</t>
        </is>
      </c>
      <c r="Q254" t="inlineStr">
        <is>
          <t>Pergamon general psychology series ; vol. 124</t>
        </is>
      </c>
      <c r="R254" t="inlineStr">
        <is>
          <t xml:space="preserve">RJ </t>
        </is>
      </c>
      <c r="S254" t="n">
        <v>2</v>
      </c>
      <c r="T254" t="n">
        <v>2</v>
      </c>
      <c r="U254" t="inlineStr">
        <is>
          <t>1993-07-09</t>
        </is>
      </c>
      <c r="V254" t="inlineStr">
        <is>
          <t>1993-07-09</t>
        </is>
      </c>
      <c r="W254" t="inlineStr">
        <is>
          <t>1991-10-28</t>
        </is>
      </c>
      <c r="X254" t="inlineStr">
        <is>
          <t>1991-10-28</t>
        </is>
      </c>
      <c r="Y254" t="n">
        <v>337</v>
      </c>
      <c r="Z254" t="n">
        <v>250</v>
      </c>
      <c r="AA254" t="n">
        <v>436</v>
      </c>
      <c r="AB254" t="n">
        <v>3</v>
      </c>
      <c r="AC254" t="n">
        <v>5</v>
      </c>
      <c r="AD254" t="n">
        <v>9</v>
      </c>
      <c r="AE254" t="n">
        <v>18</v>
      </c>
      <c r="AF254" t="n">
        <v>2</v>
      </c>
      <c r="AG254" t="n">
        <v>9</v>
      </c>
      <c r="AH254" t="n">
        <v>0</v>
      </c>
      <c r="AI254" t="n">
        <v>0</v>
      </c>
      <c r="AJ254" t="n">
        <v>7</v>
      </c>
      <c r="AK254" t="n">
        <v>10</v>
      </c>
      <c r="AL254" t="n">
        <v>2</v>
      </c>
      <c r="AM254" t="n">
        <v>4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HYPERLINK("https://creighton-primo.hosted.exlibrisgroup.com/primo-explore/search?tab=default_tab&amp;search_scope=EVERYTHING&amp;vid=01CRU&amp;lang=en_US&amp;offset=0&amp;query=any,contains,991000149539702656","Catalog Record")</f>
        <v/>
      </c>
      <c r="AT254">
        <f>HYPERLINK("http://www.worldcat.org/oclc/9197484","WorldCat Record")</f>
        <v/>
      </c>
      <c r="AU254" t="inlineStr">
        <is>
          <t>4927333139:eng</t>
        </is>
      </c>
      <c r="AV254" t="inlineStr">
        <is>
          <t>9197484</t>
        </is>
      </c>
      <c r="AW254" t="inlineStr">
        <is>
          <t>991000149539702656</t>
        </is>
      </c>
      <c r="AX254" t="inlineStr">
        <is>
          <t>991000149539702656</t>
        </is>
      </c>
      <c r="AY254" t="inlineStr">
        <is>
          <t>2266013220002656</t>
        </is>
      </c>
      <c r="AZ254" t="inlineStr">
        <is>
          <t>BOOK</t>
        </is>
      </c>
      <c r="BB254" t="inlineStr">
        <is>
          <t>9780080280325</t>
        </is>
      </c>
      <c r="BC254" t="inlineStr">
        <is>
          <t>32285000802123</t>
        </is>
      </c>
      <c r="BD254" t="inlineStr">
        <is>
          <t>893902911</t>
        </is>
      </c>
    </row>
    <row r="255">
      <c r="A255" t="inlineStr">
        <is>
          <t>No</t>
        </is>
      </c>
      <c r="B255" t="inlineStr">
        <is>
          <t>RJ504 .P75 2005</t>
        </is>
      </c>
      <c r="C255" t="inlineStr">
        <is>
          <t>0                      RJ 0504000P  75          2005</t>
        </is>
      </c>
      <c r="D255" t="inlineStr">
        <is>
          <t>Psychosocial treatments for child and adolescent disorders : empirically based strategies for clinical practice / edited by Euthymia D. Hibbs and Peter S. Jensen.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Washington, DC : American Psychological Association, c2005.</t>
        </is>
      </c>
      <c r="M255" t="inlineStr">
        <is>
          <t>2005</t>
        </is>
      </c>
      <c r="N255" t="inlineStr">
        <is>
          <t>2nd ed.</t>
        </is>
      </c>
      <c r="O255" t="inlineStr">
        <is>
          <t>eng</t>
        </is>
      </c>
      <c r="P255" t="inlineStr">
        <is>
          <t>dcu</t>
        </is>
      </c>
      <c r="R255" t="inlineStr">
        <is>
          <t xml:space="preserve">RJ </t>
        </is>
      </c>
      <c r="S255" t="n">
        <v>4</v>
      </c>
      <c r="T255" t="n">
        <v>4</v>
      </c>
      <c r="U255" t="inlineStr">
        <is>
          <t>2010-02-22</t>
        </is>
      </c>
      <c r="V255" t="inlineStr">
        <is>
          <t>2010-02-22</t>
        </is>
      </c>
      <c r="W255" t="inlineStr">
        <is>
          <t>2007-04-12</t>
        </is>
      </c>
      <c r="X255" t="inlineStr">
        <is>
          <t>2007-04-12</t>
        </is>
      </c>
      <c r="Y255" t="n">
        <v>367</v>
      </c>
      <c r="Z255" t="n">
        <v>275</v>
      </c>
      <c r="AA255" t="n">
        <v>546</v>
      </c>
      <c r="AB255" t="n">
        <v>2</v>
      </c>
      <c r="AC255" t="n">
        <v>3</v>
      </c>
      <c r="AD255" t="n">
        <v>12</v>
      </c>
      <c r="AE255" t="n">
        <v>27</v>
      </c>
      <c r="AF255" t="n">
        <v>5</v>
      </c>
      <c r="AG255" t="n">
        <v>12</v>
      </c>
      <c r="AH255" t="n">
        <v>3</v>
      </c>
      <c r="AI255" t="n">
        <v>5</v>
      </c>
      <c r="AJ255" t="n">
        <v>8</v>
      </c>
      <c r="AK255" t="n">
        <v>14</v>
      </c>
      <c r="AL255" t="n">
        <v>1</v>
      </c>
      <c r="AM255" t="n">
        <v>2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HYPERLINK("https://creighton-primo.hosted.exlibrisgroup.com/primo-explore/search?tab=default_tab&amp;search_scope=EVERYTHING&amp;vid=01CRU&amp;lang=en_US&amp;offset=0&amp;query=any,contains,991005052789702656","Catalog Record")</f>
        <v/>
      </c>
      <c r="AT255">
        <f>HYPERLINK("http://www.worldcat.org/oclc/55679952","WorldCat Record")</f>
        <v/>
      </c>
      <c r="AU255" t="inlineStr">
        <is>
          <t>1078121337:eng</t>
        </is>
      </c>
      <c r="AV255" t="inlineStr">
        <is>
          <t>55679952</t>
        </is>
      </c>
      <c r="AW255" t="inlineStr">
        <is>
          <t>991005052789702656</t>
        </is>
      </c>
      <c r="AX255" t="inlineStr">
        <is>
          <t>991005052789702656</t>
        </is>
      </c>
      <c r="AY255" t="inlineStr">
        <is>
          <t>2258828040002656</t>
        </is>
      </c>
      <c r="AZ255" t="inlineStr">
        <is>
          <t>BOOK</t>
        </is>
      </c>
      <c r="BB255" t="inlineStr">
        <is>
          <t>9781591470922</t>
        </is>
      </c>
      <c r="BC255" t="inlineStr">
        <is>
          <t>32285005286546</t>
        </is>
      </c>
      <c r="BD255" t="inlineStr">
        <is>
          <t>893443324</t>
        </is>
      </c>
    </row>
    <row r="256">
      <c r="A256" t="inlineStr">
        <is>
          <t>No</t>
        </is>
      </c>
      <c r="B256" t="inlineStr">
        <is>
          <t>RJ504 .R44 1993</t>
        </is>
      </c>
      <c r="C256" t="inlineStr">
        <is>
          <t>0                      RJ 0504000R  44          1993</t>
        </is>
      </c>
      <c r="D256" t="inlineStr">
        <is>
          <t>Principles of psychotherapy with children / John M. Reisman, Sheila Ribordy.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Reisman, John M.</t>
        </is>
      </c>
      <c r="L256" t="inlineStr">
        <is>
          <t>New York : Lexington Books ; Toronto : Maxwell Macmillan Canada ; New York : Maxwell Macmillan International, c1993.</t>
        </is>
      </c>
      <c r="M256" t="inlineStr">
        <is>
          <t>1993</t>
        </is>
      </c>
      <c r="N256" t="inlineStr">
        <is>
          <t>2nd ed.</t>
        </is>
      </c>
      <c r="O256" t="inlineStr">
        <is>
          <t>eng</t>
        </is>
      </c>
      <c r="P256" t="inlineStr">
        <is>
          <t>nyu</t>
        </is>
      </c>
      <c r="Q256" t="inlineStr">
        <is>
          <t>Scientific foundations of clinical and counseling psychology</t>
        </is>
      </c>
      <c r="R256" t="inlineStr">
        <is>
          <t xml:space="preserve">RJ </t>
        </is>
      </c>
      <c r="S256" t="n">
        <v>5</v>
      </c>
      <c r="T256" t="n">
        <v>5</v>
      </c>
      <c r="U256" t="inlineStr">
        <is>
          <t>1996-11-08</t>
        </is>
      </c>
      <c r="V256" t="inlineStr">
        <is>
          <t>1996-11-08</t>
        </is>
      </c>
      <c r="W256" t="inlineStr">
        <is>
          <t>1994-02-07</t>
        </is>
      </c>
      <c r="X256" t="inlineStr">
        <is>
          <t>1994-02-07</t>
        </is>
      </c>
      <c r="Y256" t="n">
        <v>249</v>
      </c>
      <c r="Z256" t="n">
        <v>209</v>
      </c>
      <c r="AA256" t="n">
        <v>423</v>
      </c>
      <c r="AB256" t="n">
        <v>1</v>
      </c>
      <c r="AC256" t="n">
        <v>3</v>
      </c>
      <c r="AD256" t="n">
        <v>13</v>
      </c>
      <c r="AE256" t="n">
        <v>19</v>
      </c>
      <c r="AF256" t="n">
        <v>6</v>
      </c>
      <c r="AG256" t="n">
        <v>8</v>
      </c>
      <c r="AH256" t="n">
        <v>2</v>
      </c>
      <c r="AI256" t="n">
        <v>3</v>
      </c>
      <c r="AJ256" t="n">
        <v>8</v>
      </c>
      <c r="AK256" t="n">
        <v>12</v>
      </c>
      <c r="AL256" t="n">
        <v>0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HYPERLINK("https://creighton-primo.hosted.exlibrisgroup.com/primo-explore/search?tab=default_tab&amp;search_scope=EVERYTHING&amp;vid=01CRU&amp;lang=en_US&amp;offset=0&amp;query=any,contains,991002173029702656","Catalog Record")</f>
        <v/>
      </c>
      <c r="AT256">
        <f>HYPERLINK("http://www.worldcat.org/oclc/27974730","WorldCat Record")</f>
        <v/>
      </c>
      <c r="AU256" t="inlineStr">
        <is>
          <t>345407:eng</t>
        </is>
      </c>
      <c r="AV256" t="inlineStr">
        <is>
          <t>27974730</t>
        </is>
      </c>
      <c r="AW256" t="inlineStr">
        <is>
          <t>991002173029702656</t>
        </is>
      </c>
      <c r="AX256" t="inlineStr">
        <is>
          <t>991002173029702656</t>
        </is>
      </c>
      <c r="AY256" t="inlineStr">
        <is>
          <t>2262019980002656</t>
        </is>
      </c>
      <c r="AZ256" t="inlineStr">
        <is>
          <t>BOOK</t>
        </is>
      </c>
      <c r="BB256" t="inlineStr">
        <is>
          <t>9780669280555</t>
        </is>
      </c>
      <c r="BC256" t="inlineStr">
        <is>
          <t>32285001840536</t>
        </is>
      </c>
      <c r="BD256" t="inlineStr">
        <is>
          <t>893792103</t>
        </is>
      </c>
    </row>
    <row r="257">
      <c r="A257" t="inlineStr">
        <is>
          <t>No</t>
        </is>
      </c>
      <c r="B257" t="inlineStr">
        <is>
          <t>RJ504 .S3</t>
        </is>
      </c>
      <c r="C257" t="inlineStr">
        <is>
          <t>0                      RJ 0504000S  3</t>
        </is>
      </c>
      <c r="D257" t="inlineStr">
        <is>
          <t>Therapies for children / Charles E. Schaefer, Howard L. Millman.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Schaefer, Charles E.</t>
        </is>
      </c>
      <c r="L257" t="inlineStr">
        <is>
          <t>San Francisco : Jossey-Bass Publishers, 1977.</t>
        </is>
      </c>
      <c r="M257" t="inlineStr">
        <is>
          <t>1977</t>
        </is>
      </c>
      <c r="N257" t="inlineStr">
        <is>
          <t>1st ed.</t>
        </is>
      </c>
      <c r="O257" t="inlineStr">
        <is>
          <t>eng</t>
        </is>
      </c>
      <c r="P257" t="inlineStr">
        <is>
          <t>cau</t>
        </is>
      </c>
      <c r="Q257" t="inlineStr">
        <is>
          <t>The Jossey-Bass behavioral science series</t>
        </is>
      </c>
      <c r="R257" t="inlineStr">
        <is>
          <t xml:space="preserve">RJ </t>
        </is>
      </c>
      <c r="S257" t="n">
        <v>4</v>
      </c>
      <c r="T257" t="n">
        <v>4</v>
      </c>
      <c r="U257" t="inlineStr">
        <is>
          <t>1997-04-28</t>
        </is>
      </c>
      <c r="V257" t="inlineStr">
        <is>
          <t>1997-04-28</t>
        </is>
      </c>
      <c r="W257" t="inlineStr">
        <is>
          <t>1992-07-20</t>
        </is>
      </c>
      <c r="X257" t="inlineStr">
        <is>
          <t>1992-07-20</t>
        </is>
      </c>
      <c r="Y257" t="n">
        <v>636</v>
      </c>
      <c r="Z257" t="n">
        <v>528</v>
      </c>
      <c r="AA257" t="n">
        <v>542</v>
      </c>
      <c r="AB257" t="n">
        <v>4</v>
      </c>
      <c r="AC257" t="n">
        <v>4</v>
      </c>
      <c r="AD257" t="n">
        <v>21</v>
      </c>
      <c r="AE257" t="n">
        <v>21</v>
      </c>
      <c r="AF257" t="n">
        <v>8</v>
      </c>
      <c r="AG257" t="n">
        <v>8</v>
      </c>
      <c r="AH257" t="n">
        <v>4</v>
      </c>
      <c r="AI257" t="n">
        <v>4</v>
      </c>
      <c r="AJ257" t="n">
        <v>11</v>
      </c>
      <c r="AK257" t="n">
        <v>11</v>
      </c>
      <c r="AL257" t="n">
        <v>3</v>
      </c>
      <c r="AM257" t="n">
        <v>3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HYPERLINK("http://catalog.hathitrust.org/Record/000762621","HathiTrust Record")</f>
        <v/>
      </c>
      <c r="AS257">
        <f>HYPERLINK("https://creighton-primo.hosted.exlibrisgroup.com/primo-explore/search?tab=default_tab&amp;search_scope=EVERYTHING&amp;vid=01CRU&amp;lang=en_US&amp;offset=0&amp;query=any,contains,991004595899702656","Catalog Record")</f>
        <v/>
      </c>
      <c r="AT257">
        <f>HYPERLINK("http://www.worldcat.org/oclc/4136931","WorldCat Record")</f>
        <v/>
      </c>
      <c r="AU257" t="inlineStr">
        <is>
          <t>532578:eng</t>
        </is>
      </c>
      <c r="AV257" t="inlineStr">
        <is>
          <t>4136931</t>
        </is>
      </c>
      <c r="AW257" t="inlineStr">
        <is>
          <t>991004595899702656</t>
        </is>
      </c>
      <c r="AX257" t="inlineStr">
        <is>
          <t>991004595899702656</t>
        </is>
      </c>
      <c r="AY257" t="inlineStr">
        <is>
          <t>2257877050002656</t>
        </is>
      </c>
      <c r="AZ257" t="inlineStr">
        <is>
          <t>BOOK</t>
        </is>
      </c>
      <c r="BB257" t="inlineStr">
        <is>
          <t>9780875893372</t>
        </is>
      </c>
      <c r="BC257" t="inlineStr">
        <is>
          <t>32285001211712</t>
        </is>
      </c>
      <c r="BD257" t="inlineStr">
        <is>
          <t>893325537</t>
        </is>
      </c>
    </row>
    <row r="258">
      <c r="A258" t="inlineStr">
        <is>
          <t>No</t>
        </is>
      </c>
      <c r="B258" t="inlineStr">
        <is>
          <t>RJ504 .W35 1993</t>
        </is>
      </c>
      <c r="C258" t="inlineStr">
        <is>
          <t>0                      RJ 0504000W  35          1993</t>
        </is>
      </c>
      <c r="D258" t="inlineStr">
        <is>
          <t>Effects of psychotherapy with children and adolescents / John R. Weisz, Bahr Weiss.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Weisz, John R.</t>
        </is>
      </c>
      <c r="L258" t="inlineStr">
        <is>
          <t>Newbury Park : Sage Publications, c1993.</t>
        </is>
      </c>
      <c r="M258" t="inlineStr">
        <is>
          <t>1993</t>
        </is>
      </c>
      <c r="O258" t="inlineStr">
        <is>
          <t>eng</t>
        </is>
      </c>
      <c r="P258" t="inlineStr">
        <is>
          <t>cau</t>
        </is>
      </c>
      <c r="Q258" t="inlineStr">
        <is>
          <t>Developmental clinical psychology and psychiatry ; v. 27</t>
        </is>
      </c>
      <c r="R258" t="inlineStr">
        <is>
          <t xml:space="preserve">RJ </t>
        </is>
      </c>
      <c r="S258" t="n">
        <v>0</v>
      </c>
      <c r="T258" t="n">
        <v>0</v>
      </c>
      <c r="U258" t="inlineStr">
        <is>
          <t>2000-10-10</t>
        </is>
      </c>
      <c r="V258" t="inlineStr">
        <is>
          <t>2000-10-10</t>
        </is>
      </c>
      <c r="W258" t="inlineStr">
        <is>
          <t>1995-05-31</t>
        </is>
      </c>
      <c r="X258" t="inlineStr">
        <is>
          <t>1995-05-31</t>
        </is>
      </c>
      <c r="Y258" t="n">
        <v>306</v>
      </c>
      <c r="Z258" t="n">
        <v>229</v>
      </c>
      <c r="AA258" t="n">
        <v>230</v>
      </c>
      <c r="AB258" t="n">
        <v>1</v>
      </c>
      <c r="AC258" t="n">
        <v>1</v>
      </c>
      <c r="AD258" t="n">
        <v>17</v>
      </c>
      <c r="AE258" t="n">
        <v>17</v>
      </c>
      <c r="AF258" t="n">
        <v>6</v>
      </c>
      <c r="AG258" t="n">
        <v>6</v>
      </c>
      <c r="AH258" t="n">
        <v>6</v>
      </c>
      <c r="AI258" t="n">
        <v>6</v>
      </c>
      <c r="AJ258" t="n">
        <v>12</v>
      </c>
      <c r="AK258" t="n">
        <v>12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HYPERLINK("http://catalog.hathitrust.org/Record/101945189","HathiTrust Record")</f>
        <v/>
      </c>
      <c r="AS258">
        <f>HYPERLINK("https://creighton-primo.hosted.exlibrisgroup.com/primo-explore/search?tab=default_tab&amp;search_scope=EVERYTHING&amp;vid=01CRU&amp;lang=en_US&amp;offset=0&amp;query=any,contains,991002097229702656","Catalog Record")</f>
        <v/>
      </c>
      <c r="AT258">
        <f>HYPERLINK("http://www.worldcat.org/oclc/26895455","WorldCat Record")</f>
        <v/>
      </c>
      <c r="AU258" t="inlineStr">
        <is>
          <t>29941433:eng</t>
        </is>
      </c>
      <c r="AV258" t="inlineStr">
        <is>
          <t>26895455</t>
        </is>
      </c>
      <c r="AW258" t="inlineStr">
        <is>
          <t>991002097229702656</t>
        </is>
      </c>
      <c r="AX258" t="inlineStr">
        <is>
          <t>991002097229702656</t>
        </is>
      </c>
      <c r="AY258" t="inlineStr">
        <is>
          <t>2270690640002656</t>
        </is>
      </c>
      <c r="AZ258" t="inlineStr">
        <is>
          <t>BOOK</t>
        </is>
      </c>
      <c r="BB258" t="inlineStr">
        <is>
          <t>9780803943889</t>
        </is>
      </c>
      <c r="BC258" t="inlineStr">
        <is>
          <t>32285002048253</t>
        </is>
      </c>
      <c r="BD258" t="inlineStr">
        <is>
          <t>893809305</t>
        </is>
      </c>
    </row>
    <row r="259">
      <c r="A259" t="inlineStr">
        <is>
          <t>No</t>
        </is>
      </c>
      <c r="B259" t="inlineStr">
        <is>
          <t>RJ504.5 .A77 1993</t>
        </is>
      </c>
      <c r="C259" t="inlineStr">
        <is>
          <t>0                      RJ 0504500A  77          1993</t>
        </is>
      </c>
      <c r="D259" t="inlineStr">
        <is>
          <t>And they call it help : the psychiatric policing of America's children / Louise Armstrong.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Armstrong, Louise, 1937-2008.</t>
        </is>
      </c>
      <c r="L259" t="inlineStr">
        <is>
          <t>Reading, Mass. : Addison-Wesley, c1993.</t>
        </is>
      </c>
      <c r="M259" t="inlineStr">
        <is>
          <t>1993</t>
        </is>
      </c>
      <c r="O259" t="inlineStr">
        <is>
          <t>eng</t>
        </is>
      </c>
      <c r="P259" t="inlineStr">
        <is>
          <t>mau</t>
        </is>
      </c>
      <c r="R259" t="inlineStr">
        <is>
          <t xml:space="preserve">RJ </t>
        </is>
      </c>
      <c r="S259" t="n">
        <v>4</v>
      </c>
      <c r="T259" t="n">
        <v>4</v>
      </c>
      <c r="U259" t="inlineStr">
        <is>
          <t>1994-01-26</t>
        </is>
      </c>
      <c r="V259" t="inlineStr">
        <is>
          <t>1994-01-26</t>
        </is>
      </c>
      <c r="W259" t="inlineStr">
        <is>
          <t>1993-08-25</t>
        </is>
      </c>
      <c r="X259" t="inlineStr">
        <is>
          <t>1993-08-25</t>
        </is>
      </c>
      <c r="Y259" t="n">
        <v>412</v>
      </c>
      <c r="Z259" t="n">
        <v>380</v>
      </c>
      <c r="AA259" t="n">
        <v>385</v>
      </c>
      <c r="AB259" t="n">
        <v>3</v>
      </c>
      <c r="AC259" t="n">
        <v>3</v>
      </c>
      <c r="AD259" t="n">
        <v>15</v>
      </c>
      <c r="AE259" t="n">
        <v>15</v>
      </c>
      <c r="AF259" t="n">
        <v>4</v>
      </c>
      <c r="AG259" t="n">
        <v>4</v>
      </c>
      <c r="AH259" t="n">
        <v>3</v>
      </c>
      <c r="AI259" t="n">
        <v>3</v>
      </c>
      <c r="AJ259" t="n">
        <v>9</v>
      </c>
      <c r="AK259" t="n">
        <v>9</v>
      </c>
      <c r="AL259" t="n">
        <v>2</v>
      </c>
      <c r="AM259" t="n">
        <v>2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HYPERLINK("https://creighton-primo.hosted.exlibrisgroup.com/primo-explore/search?tab=default_tab&amp;search_scope=EVERYTHING&amp;vid=01CRU&amp;lang=en_US&amp;offset=0&amp;query=any,contains,991002085129702656","Catalog Record")</f>
        <v/>
      </c>
      <c r="AT259">
        <f>HYPERLINK("http://www.worldcat.org/oclc/26762720","WorldCat Record")</f>
        <v/>
      </c>
      <c r="AU259" t="inlineStr">
        <is>
          <t>476452132:eng</t>
        </is>
      </c>
      <c r="AV259" t="inlineStr">
        <is>
          <t>26762720</t>
        </is>
      </c>
      <c r="AW259" t="inlineStr">
        <is>
          <t>991002085129702656</t>
        </is>
      </c>
      <c r="AX259" t="inlineStr">
        <is>
          <t>991002085129702656</t>
        </is>
      </c>
      <c r="AY259" t="inlineStr">
        <is>
          <t>2266860740002656</t>
        </is>
      </c>
      <c r="AZ259" t="inlineStr">
        <is>
          <t>BOOK</t>
        </is>
      </c>
      <c r="BB259" t="inlineStr">
        <is>
          <t>9780201577945</t>
        </is>
      </c>
      <c r="BC259" t="inlineStr">
        <is>
          <t>32285001728376</t>
        </is>
      </c>
      <c r="BD259" t="inlineStr">
        <is>
          <t>893885827</t>
        </is>
      </c>
    </row>
    <row r="260">
      <c r="A260" t="inlineStr">
        <is>
          <t>No</t>
        </is>
      </c>
      <c r="B260" t="inlineStr">
        <is>
          <t>RJ504.5 .B47 1974</t>
        </is>
      </c>
      <c r="C260" t="inlineStr">
        <is>
          <t>0                      RJ 0504500B  47          1974</t>
        </is>
      </c>
      <c r="D260" t="inlineStr">
        <is>
          <t>A home for the heart.</t>
        </is>
      </c>
      <c r="F260" t="inlineStr">
        <is>
          <t>No</t>
        </is>
      </c>
      <c r="G260" t="inlineStr">
        <is>
          <t>1</t>
        </is>
      </c>
      <c r="H260" t="inlineStr">
        <is>
          <t>Yes</t>
        </is>
      </c>
      <c r="I260" t="inlineStr">
        <is>
          <t>No</t>
        </is>
      </c>
      <c r="J260" t="inlineStr">
        <is>
          <t>0</t>
        </is>
      </c>
      <c r="K260" t="inlineStr">
        <is>
          <t>Bettelheim, Bruno.</t>
        </is>
      </c>
      <c r="L260" t="inlineStr">
        <is>
          <t>New York, Knopf, 1974.</t>
        </is>
      </c>
      <c r="M260" t="inlineStr">
        <is>
          <t>1974</t>
        </is>
      </c>
      <c r="N260" t="inlineStr">
        <is>
          <t>[1st ed.]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RJ </t>
        </is>
      </c>
      <c r="S260" t="n">
        <v>0</v>
      </c>
      <c r="T260" t="n">
        <v>2</v>
      </c>
      <c r="V260" t="inlineStr">
        <is>
          <t>1990-01-28</t>
        </is>
      </c>
      <c r="W260" t="inlineStr">
        <is>
          <t>1997-08-12</t>
        </is>
      </c>
      <c r="X260" t="inlineStr">
        <is>
          <t>1997-08-12</t>
        </is>
      </c>
      <c r="Y260" t="n">
        <v>1092</v>
      </c>
      <c r="Z260" t="n">
        <v>999</v>
      </c>
      <c r="AA260" t="n">
        <v>1077</v>
      </c>
      <c r="AB260" t="n">
        <v>8</v>
      </c>
      <c r="AC260" t="n">
        <v>9</v>
      </c>
      <c r="AD260" t="n">
        <v>28</v>
      </c>
      <c r="AE260" t="n">
        <v>32</v>
      </c>
      <c r="AF260" t="n">
        <v>12</v>
      </c>
      <c r="AG260" t="n">
        <v>14</v>
      </c>
      <c r="AH260" t="n">
        <v>5</v>
      </c>
      <c r="AI260" t="n">
        <v>5</v>
      </c>
      <c r="AJ260" t="n">
        <v>13</v>
      </c>
      <c r="AK260" t="n">
        <v>15</v>
      </c>
      <c r="AL260" t="n">
        <v>4</v>
      </c>
      <c r="AM260" t="n">
        <v>5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HYPERLINK("http://catalog.hathitrust.org/Record/001570988","HathiTrust Record")</f>
        <v/>
      </c>
      <c r="AS260">
        <f>HYPERLINK("https://creighton-primo.hosted.exlibrisgroup.com/primo-explore/search?tab=default_tab&amp;search_scope=EVERYTHING&amp;vid=01CRU&amp;lang=en_US&amp;offset=0&amp;query=any,contains,991001790639702656","Catalog Record")</f>
        <v/>
      </c>
      <c r="AT260">
        <f>HYPERLINK("http://www.worldcat.org/oclc/700655","WorldCat Record")</f>
        <v/>
      </c>
      <c r="AU260" t="inlineStr">
        <is>
          <t>180704:eng</t>
        </is>
      </c>
      <c r="AV260" t="inlineStr">
        <is>
          <t>700655</t>
        </is>
      </c>
      <c r="AW260" t="inlineStr">
        <is>
          <t>991001790639702656</t>
        </is>
      </c>
      <c r="AX260" t="inlineStr">
        <is>
          <t>991001790639702656</t>
        </is>
      </c>
      <c r="AY260" t="inlineStr">
        <is>
          <t>2256605960002656</t>
        </is>
      </c>
      <c r="AZ260" t="inlineStr">
        <is>
          <t>BOOK</t>
        </is>
      </c>
      <c r="BB260" t="inlineStr">
        <is>
          <t>9780394483771</t>
        </is>
      </c>
      <c r="BC260" t="inlineStr">
        <is>
          <t>32285003094082</t>
        </is>
      </c>
      <c r="BD260" t="inlineStr">
        <is>
          <t>893715728</t>
        </is>
      </c>
    </row>
    <row r="261">
      <c r="A261" t="inlineStr">
        <is>
          <t>No</t>
        </is>
      </c>
      <c r="B261" t="inlineStr">
        <is>
          <t>RJ504.5 .P78 1982</t>
        </is>
      </c>
      <c r="C261" t="inlineStr">
        <is>
          <t>0                      RJ 0504500P  78          1982</t>
        </is>
      </c>
      <c r="D261" t="inlineStr">
        <is>
          <t>Psychiatric hospitalization of children / edited by Jerome L. Schulman and Martin Irwin ; illustrated by Monica Freeman.</t>
        </is>
      </c>
      <c r="F261" t="inlineStr">
        <is>
          <t>No</t>
        </is>
      </c>
      <c r="G261" t="inlineStr">
        <is>
          <t>1</t>
        </is>
      </c>
      <c r="H261" t="inlineStr">
        <is>
          <t>Yes</t>
        </is>
      </c>
      <c r="I261" t="inlineStr">
        <is>
          <t>No</t>
        </is>
      </c>
      <c r="J261" t="inlineStr">
        <is>
          <t>0</t>
        </is>
      </c>
      <c r="L261" t="inlineStr">
        <is>
          <t>Springfield, Ill. : Thomas, c1982.</t>
        </is>
      </c>
      <c r="M261" t="inlineStr">
        <is>
          <t>1982</t>
        </is>
      </c>
      <c r="O261" t="inlineStr">
        <is>
          <t>eng</t>
        </is>
      </c>
      <c r="P261" t="inlineStr">
        <is>
          <t>ilu</t>
        </is>
      </c>
      <c r="R261" t="inlineStr">
        <is>
          <t xml:space="preserve">RJ </t>
        </is>
      </c>
      <c r="S261" t="n">
        <v>2</v>
      </c>
      <c r="T261" t="n">
        <v>2</v>
      </c>
      <c r="U261" t="inlineStr">
        <is>
          <t>1997-03-07</t>
        </is>
      </c>
      <c r="V261" t="inlineStr">
        <is>
          <t>1997-03-07</t>
        </is>
      </c>
      <c r="W261" t="inlineStr">
        <is>
          <t>1992-11-23</t>
        </is>
      </c>
      <c r="X261" t="inlineStr">
        <is>
          <t>1992-11-23</t>
        </is>
      </c>
      <c r="Y261" t="n">
        <v>111</v>
      </c>
      <c r="Z261" t="n">
        <v>98</v>
      </c>
      <c r="AA261" t="n">
        <v>98</v>
      </c>
      <c r="AB261" t="n">
        <v>3</v>
      </c>
      <c r="AC261" t="n">
        <v>3</v>
      </c>
      <c r="AD261" t="n">
        <v>4</v>
      </c>
      <c r="AE261" t="n">
        <v>4</v>
      </c>
      <c r="AF261" t="n">
        <v>0</v>
      </c>
      <c r="AG261" t="n">
        <v>0</v>
      </c>
      <c r="AH261" t="n">
        <v>1</v>
      </c>
      <c r="AI261" t="n">
        <v>1</v>
      </c>
      <c r="AJ261" t="n">
        <v>2</v>
      </c>
      <c r="AK261" t="n">
        <v>2</v>
      </c>
      <c r="AL261" t="n">
        <v>1</v>
      </c>
      <c r="AM261" t="n">
        <v>1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HYPERLINK("https://creighton-primo.hosted.exlibrisgroup.com/primo-explore/search?tab=default_tab&amp;search_scope=EVERYTHING&amp;vid=01CRU&amp;lang=en_US&amp;offset=0&amp;query=any,contains,991005227129702656","Catalog Record")</f>
        <v/>
      </c>
      <c r="AT261">
        <f>HYPERLINK("http://www.worldcat.org/oclc/8283656","WorldCat Record")</f>
        <v/>
      </c>
      <c r="AU261" t="inlineStr">
        <is>
          <t>472566:eng</t>
        </is>
      </c>
      <c r="AV261" t="inlineStr">
        <is>
          <t>8283656</t>
        </is>
      </c>
      <c r="AW261" t="inlineStr">
        <is>
          <t>991005227129702656</t>
        </is>
      </c>
      <c r="AX261" t="inlineStr">
        <is>
          <t>991005227129702656</t>
        </is>
      </c>
      <c r="AY261" t="inlineStr">
        <is>
          <t>2268502110002656</t>
        </is>
      </c>
      <c r="AZ261" t="inlineStr">
        <is>
          <t>BOOK</t>
        </is>
      </c>
      <c r="BB261" t="inlineStr">
        <is>
          <t>9780398046866</t>
        </is>
      </c>
      <c r="BC261" t="inlineStr">
        <is>
          <t>32285001407971</t>
        </is>
      </c>
      <c r="BD261" t="inlineStr">
        <is>
          <t>893536487</t>
        </is>
      </c>
    </row>
    <row r="262">
      <c r="A262" t="inlineStr">
        <is>
          <t>No</t>
        </is>
      </c>
      <c r="B262" t="inlineStr">
        <is>
          <t>RJ504.55 .P75 1991</t>
        </is>
      </c>
      <c r="C262" t="inlineStr">
        <is>
          <t>0                      RJ 0504550P  75          1991</t>
        </is>
      </c>
      <c r="D262" t="inlineStr">
        <is>
          <t>Program standards for treatment foster care / [by Brad Bryant and Robert Snodgrass].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New York, N.Y. : Foster Family-based Treatment Association, 1991.</t>
        </is>
      </c>
      <c r="M262" t="inlineStr">
        <is>
          <t>1991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RJ </t>
        </is>
      </c>
      <c r="S262" t="n">
        <v>2</v>
      </c>
      <c r="T262" t="n">
        <v>2</v>
      </c>
      <c r="U262" t="inlineStr">
        <is>
          <t>1994-11-22</t>
        </is>
      </c>
      <c r="V262" t="inlineStr">
        <is>
          <t>1994-11-22</t>
        </is>
      </c>
      <c r="W262" t="inlineStr">
        <is>
          <t>1993-10-12</t>
        </is>
      </c>
      <c r="X262" t="inlineStr">
        <is>
          <t>1993-10-12</t>
        </is>
      </c>
      <c r="Y262" t="n">
        <v>12</v>
      </c>
      <c r="Z262" t="n">
        <v>9</v>
      </c>
      <c r="AA262" t="n">
        <v>14</v>
      </c>
      <c r="AB262" t="n">
        <v>1</v>
      </c>
      <c r="AC262" t="n">
        <v>1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1</v>
      </c>
      <c r="AL262" t="n">
        <v>0</v>
      </c>
      <c r="AM262" t="n">
        <v>0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HYPERLINK("http://catalog.hathitrust.org/Record/002620304","HathiTrust Record")</f>
        <v/>
      </c>
      <c r="AS262">
        <f>HYPERLINK("https://creighton-primo.hosted.exlibrisgroup.com/primo-explore/search?tab=default_tab&amp;search_scope=EVERYTHING&amp;vid=01CRU&amp;lang=en_US&amp;offset=0&amp;query=any,contains,991002153279702656","Catalog Record")</f>
        <v/>
      </c>
      <c r="AT262">
        <f>HYPERLINK("http://www.worldcat.org/oclc/27756500","WorldCat Record")</f>
        <v/>
      </c>
      <c r="AU262" t="inlineStr">
        <is>
          <t>476546563:eng</t>
        </is>
      </c>
      <c r="AV262" t="inlineStr">
        <is>
          <t>27756500</t>
        </is>
      </c>
      <c r="AW262" t="inlineStr">
        <is>
          <t>991002153279702656</t>
        </is>
      </c>
      <c r="AX262" t="inlineStr">
        <is>
          <t>991002153279702656</t>
        </is>
      </c>
      <c r="AY262" t="inlineStr">
        <is>
          <t>2259771380002656</t>
        </is>
      </c>
      <c r="AZ262" t="inlineStr">
        <is>
          <t>BOOK</t>
        </is>
      </c>
      <c r="BC262" t="inlineStr">
        <is>
          <t>32285001800258</t>
        </is>
      </c>
      <c r="BD262" t="inlineStr">
        <is>
          <t>893347173</t>
        </is>
      </c>
    </row>
    <row r="263">
      <c r="A263" t="inlineStr">
        <is>
          <t>No</t>
        </is>
      </c>
      <c r="B263" t="inlineStr">
        <is>
          <t>RJ504.7 .C36 1985</t>
        </is>
      </c>
      <c r="C263" t="inlineStr">
        <is>
          <t>0                      RJ 0504700C  36          1985</t>
        </is>
      </c>
      <c r="D263" t="inlineStr">
        <is>
          <t>Child and adolescent psychopharmacology / Magda Campbell, Wayne H. Green, Stephen I. Deutsch.</t>
        </is>
      </c>
      <c r="F263" t="inlineStr">
        <is>
          <t>No</t>
        </is>
      </c>
      <c r="G263" t="inlineStr">
        <is>
          <t>1</t>
        </is>
      </c>
      <c r="H263" t="inlineStr">
        <is>
          <t>Yes</t>
        </is>
      </c>
      <c r="I263" t="inlineStr">
        <is>
          <t>No</t>
        </is>
      </c>
      <c r="J263" t="inlineStr">
        <is>
          <t>0</t>
        </is>
      </c>
      <c r="K263" t="inlineStr">
        <is>
          <t>Campbell, Magda.</t>
        </is>
      </c>
      <c r="L263" t="inlineStr">
        <is>
          <t>Beverly Hills : Sage Publications, c1985.</t>
        </is>
      </c>
      <c r="M263" t="inlineStr">
        <is>
          <t>1985</t>
        </is>
      </c>
      <c r="O263" t="inlineStr">
        <is>
          <t>eng</t>
        </is>
      </c>
      <c r="P263" t="inlineStr">
        <is>
          <t>cau</t>
        </is>
      </c>
      <c r="Q263" t="inlineStr">
        <is>
          <t>Developmental clinical psychology and psychiatry ; v. 2</t>
        </is>
      </c>
      <c r="R263" t="inlineStr">
        <is>
          <t xml:space="preserve">RJ </t>
        </is>
      </c>
      <c r="S263" t="n">
        <v>2</v>
      </c>
      <c r="T263" t="n">
        <v>2</v>
      </c>
      <c r="U263" t="inlineStr">
        <is>
          <t>1999-02-27</t>
        </is>
      </c>
      <c r="V263" t="inlineStr">
        <is>
          <t>1999-02-27</t>
        </is>
      </c>
      <c r="W263" t="inlineStr">
        <is>
          <t>1993-03-03</t>
        </is>
      </c>
      <c r="X263" t="inlineStr">
        <is>
          <t>1993-03-03</t>
        </is>
      </c>
      <c r="Y263" t="n">
        <v>213</v>
      </c>
      <c r="Z263" t="n">
        <v>168</v>
      </c>
      <c r="AA263" t="n">
        <v>169</v>
      </c>
      <c r="AB263" t="n">
        <v>4</v>
      </c>
      <c r="AC263" t="n">
        <v>4</v>
      </c>
      <c r="AD263" t="n">
        <v>10</v>
      </c>
      <c r="AE263" t="n">
        <v>10</v>
      </c>
      <c r="AF263" t="n">
        <v>2</v>
      </c>
      <c r="AG263" t="n">
        <v>2</v>
      </c>
      <c r="AH263" t="n">
        <v>2</v>
      </c>
      <c r="AI263" t="n">
        <v>2</v>
      </c>
      <c r="AJ263" t="n">
        <v>5</v>
      </c>
      <c r="AK263" t="n">
        <v>5</v>
      </c>
      <c r="AL263" t="n">
        <v>2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HYPERLINK("http://catalog.hathitrust.org/Record/000431758","HathiTrust Record")</f>
        <v/>
      </c>
      <c r="AS263">
        <f>HYPERLINK("https://creighton-primo.hosted.exlibrisgroup.com/primo-explore/search?tab=default_tab&amp;search_scope=EVERYTHING&amp;vid=01CRU&amp;lang=en_US&amp;offset=0&amp;query=any,contains,991000595279702656","Catalog Record")</f>
        <v/>
      </c>
      <c r="AT263">
        <f>HYPERLINK("http://www.worldcat.org/oclc/11812328","WorldCat Record")</f>
        <v/>
      </c>
      <c r="AU263" t="inlineStr">
        <is>
          <t>4378831:eng</t>
        </is>
      </c>
      <c r="AV263" t="inlineStr">
        <is>
          <t>11812328</t>
        </is>
      </c>
      <c r="AW263" t="inlineStr">
        <is>
          <t>991000595279702656</t>
        </is>
      </c>
      <c r="AX263" t="inlineStr">
        <is>
          <t>991000595279702656</t>
        </is>
      </c>
      <c r="AY263" t="inlineStr">
        <is>
          <t>2259954990002656</t>
        </is>
      </c>
      <c r="AZ263" t="inlineStr">
        <is>
          <t>BOOK</t>
        </is>
      </c>
      <c r="BB263" t="inlineStr">
        <is>
          <t>9780803924642</t>
        </is>
      </c>
      <c r="BC263" t="inlineStr">
        <is>
          <t>32285001529543</t>
        </is>
      </c>
      <c r="BD263" t="inlineStr">
        <is>
          <t>893903083</t>
        </is>
      </c>
    </row>
    <row r="264">
      <c r="A264" t="inlineStr">
        <is>
          <t>No</t>
        </is>
      </c>
      <c r="B264" t="inlineStr">
        <is>
          <t>RJ504.7 .D78</t>
        </is>
      </c>
      <c r="C264" t="inlineStr">
        <is>
          <t>0                      RJ 0504700D  78</t>
        </is>
      </c>
      <c r="D264" t="inlineStr">
        <is>
          <t>Drugs and the special child / edited by Michael Jay Cohen.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New York : Gardner Press : distributed by Halsted Press, c1979.</t>
        </is>
      </c>
      <c r="M264" t="inlineStr">
        <is>
          <t>1979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RJ </t>
        </is>
      </c>
      <c r="S264" t="n">
        <v>3</v>
      </c>
      <c r="T264" t="n">
        <v>3</v>
      </c>
      <c r="U264" t="inlineStr">
        <is>
          <t>1999-03-16</t>
        </is>
      </c>
      <c r="V264" t="inlineStr">
        <is>
          <t>1999-03-16</t>
        </is>
      </c>
      <c r="W264" t="inlineStr">
        <is>
          <t>1992-04-22</t>
        </is>
      </c>
      <c r="X264" t="inlineStr">
        <is>
          <t>1992-04-22</t>
        </is>
      </c>
      <c r="Y264" t="n">
        <v>308</v>
      </c>
      <c r="Z264" t="n">
        <v>231</v>
      </c>
      <c r="AA264" t="n">
        <v>236</v>
      </c>
      <c r="AB264" t="n">
        <v>3</v>
      </c>
      <c r="AC264" t="n">
        <v>3</v>
      </c>
      <c r="AD264" t="n">
        <v>11</v>
      </c>
      <c r="AE264" t="n">
        <v>11</v>
      </c>
      <c r="AF264" t="n">
        <v>2</v>
      </c>
      <c r="AG264" t="n">
        <v>2</v>
      </c>
      <c r="AH264" t="n">
        <v>2</v>
      </c>
      <c r="AI264" t="n">
        <v>2</v>
      </c>
      <c r="AJ264" t="n">
        <v>8</v>
      </c>
      <c r="AK264" t="n">
        <v>8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HYPERLINK("http://catalog.hathitrust.org/Record/000025426","HathiTrust Record")</f>
        <v/>
      </c>
      <c r="AS264">
        <f>HYPERLINK("https://creighton-primo.hosted.exlibrisgroup.com/primo-explore/search?tab=default_tab&amp;search_scope=EVERYTHING&amp;vid=01CRU&amp;lang=en_US&amp;offset=0&amp;query=any,contains,991004363929702656","Catalog Record")</f>
        <v/>
      </c>
      <c r="AT264">
        <f>HYPERLINK("http://www.worldcat.org/oclc/3168591","WorldCat Record")</f>
        <v/>
      </c>
      <c r="AU264" t="inlineStr">
        <is>
          <t>54179330:eng</t>
        </is>
      </c>
      <c r="AV264" t="inlineStr">
        <is>
          <t>3168591</t>
        </is>
      </c>
      <c r="AW264" t="inlineStr">
        <is>
          <t>991004363929702656</t>
        </is>
      </c>
      <c r="AX264" t="inlineStr">
        <is>
          <t>991004363929702656</t>
        </is>
      </c>
      <c r="AY264" t="inlineStr">
        <is>
          <t>2263059380002656</t>
        </is>
      </c>
      <c r="AZ264" t="inlineStr">
        <is>
          <t>BOOK</t>
        </is>
      </c>
      <c r="BB264" t="inlineStr">
        <is>
          <t>9780470992784</t>
        </is>
      </c>
      <c r="BC264" t="inlineStr">
        <is>
          <t>32285001054641</t>
        </is>
      </c>
      <c r="BD264" t="inlineStr">
        <is>
          <t>893253605</t>
        </is>
      </c>
    </row>
    <row r="265">
      <c r="A265" t="inlineStr">
        <is>
          <t>No</t>
        </is>
      </c>
      <c r="B265" t="inlineStr">
        <is>
          <t>RJ504.7 .G33 1986</t>
        </is>
      </c>
      <c r="C265" t="inlineStr">
        <is>
          <t>0                      RJ 0504700G  33          1986</t>
        </is>
      </c>
      <c r="D265" t="inlineStr">
        <is>
          <t>Children on medication / Kenneth D. Gadow.</t>
        </is>
      </c>
      <c r="E265" t="inlineStr">
        <is>
          <t>V.2</t>
        </is>
      </c>
      <c r="F265" t="inlineStr">
        <is>
          <t>Yes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Gadow, Kenneth D.</t>
        </is>
      </c>
      <c r="L265" t="inlineStr">
        <is>
          <t>San Diego, CA : College-Hill Press, c1986-</t>
        </is>
      </c>
      <c r="M265" t="inlineStr">
        <is>
          <t>1986</t>
        </is>
      </c>
      <c r="O265" t="inlineStr">
        <is>
          <t>eng</t>
        </is>
      </c>
      <c r="P265" t="inlineStr">
        <is>
          <t>cau</t>
        </is>
      </c>
      <c r="R265" t="inlineStr">
        <is>
          <t xml:space="preserve">RJ </t>
        </is>
      </c>
      <c r="S265" t="n">
        <v>1</v>
      </c>
      <c r="T265" t="n">
        <v>15</v>
      </c>
      <c r="U265" t="inlineStr">
        <is>
          <t>1992-04-21</t>
        </is>
      </c>
      <c r="V265" t="inlineStr">
        <is>
          <t>1999-03-15</t>
        </is>
      </c>
      <c r="W265" t="inlineStr">
        <is>
          <t>1990-08-14</t>
        </is>
      </c>
      <c r="X265" t="inlineStr">
        <is>
          <t>1990-08-14</t>
        </is>
      </c>
      <c r="Y265" t="n">
        <v>308</v>
      </c>
      <c r="Z265" t="n">
        <v>298</v>
      </c>
      <c r="AA265" t="n">
        <v>341</v>
      </c>
      <c r="AB265" t="n">
        <v>4</v>
      </c>
      <c r="AC265" t="n">
        <v>4</v>
      </c>
      <c r="AD265" t="n">
        <v>14</v>
      </c>
      <c r="AE265" t="n">
        <v>15</v>
      </c>
      <c r="AF265" t="n">
        <v>4</v>
      </c>
      <c r="AG265" t="n">
        <v>5</v>
      </c>
      <c r="AH265" t="n">
        <v>3</v>
      </c>
      <c r="AI265" t="n">
        <v>3</v>
      </c>
      <c r="AJ265" t="n">
        <v>8</v>
      </c>
      <c r="AK265" t="n">
        <v>8</v>
      </c>
      <c r="AL265" t="n">
        <v>3</v>
      </c>
      <c r="AM265" t="n">
        <v>3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HYPERLINK("https://creighton-primo.hosted.exlibrisgroup.com/primo-explore/search?tab=default_tab&amp;search_scope=EVERYTHING&amp;vid=01CRU&amp;lang=en_US&amp;offset=0&amp;query=any,contains,991000741569702656","Catalog Record")</f>
        <v/>
      </c>
      <c r="AT265">
        <f>HYPERLINK("http://www.worldcat.org/oclc/12803412","WorldCat Record")</f>
        <v/>
      </c>
      <c r="AU265" t="inlineStr">
        <is>
          <t>5366813:eng</t>
        </is>
      </c>
      <c r="AV265" t="inlineStr">
        <is>
          <t>12803412</t>
        </is>
      </c>
      <c r="AW265" t="inlineStr">
        <is>
          <t>991000741569702656</t>
        </is>
      </c>
      <c r="AX265" t="inlineStr">
        <is>
          <t>991000741569702656</t>
        </is>
      </c>
      <c r="AY265" t="inlineStr">
        <is>
          <t>2259371240002656</t>
        </is>
      </c>
      <c r="AZ265" t="inlineStr">
        <is>
          <t>BOOK</t>
        </is>
      </c>
      <c r="BB265" t="inlineStr">
        <is>
          <t>9780933014046</t>
        </is>
      </c>
      <c r="BC265" t="inlineStr">
        <is>
          <t>32285000274125</t>
        </is>
      </c>
      <c r="BD265" t="inlineStr">
        <is>
          <t>893778199</t>
        </is>
      </c>
    </row>
    <row r="266">
      <c r="A266" t="inlineStr">
        <is>
          <t>No</t>
        </is>
      </c>
      <c r="B266" t="inlineStr">
        <is>
          <t>RJ504.7 .G33 1986</t>
        </is>
      </c>
      <c r="C266" t="inlineStr">
        <is>
          <t>0                      RJ 0504700G  33          1986</t>
        </is>
      </c>
      <c r="D266" t="inlineStr">
        <is>
          <t>Children on medication / Kenneth D. Gadow.</t>
        </is>
      </c>
      <c r="E266" t="inlineStr">
        <is>
          <t>V.1</t>
        </is>
      </c>
      <c r="F266" t="inlineStr">
        <is>
          <t>Yes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Gadow, Kenneth D.</t>
        </is>
      </c>
      <c r="L266" t="inlineStr">
        <is>
          <t>San Diego, CA : College-Hill Press, c1986-</t>
        </is>
      </c>
      <c r="M266" t="inlineStr">
        <is>
          <t>1986</t>
        </is>
      </c>
      <c r="O266" t="inlineStr">
        <is>
          <t>eng</t>
        </is>
      </c>
      <c r="P266" t="inlineStr">
        <is>
          <t>cau</t>
        </is>
      </c>
      <c r="R266" t="inlineStr">
        <is>
          <t xml:space="preserve">RJ </t>
        </is>
      </c>
      <c r="S266" t="n">
        <v>14</v>
      </c>
      <c r="T266" t="n">
        <v>15</v>
      </c>
      <c r="U266" t="inlineStr">
        <is>
          <t>1999-03-15</t>
        </is>
      </c>
      <c r="V266" t="inlineStr">
        <is>
          <t>1999-03-15</t>
        </is>
      </c>
      <c r="W266" t="inlineStr">
        <is>
          <t>1990-08-14</t>
        </is>
      </c>
      <c r="X266" t="inlineStr">
        <is>
          <t>1990-08-14</t>
        </is>
      </c>
      <c r="Y266" t="n">
        <v>308</v>
      </c>
      <c r="Z266" t="n">
        <v>298</v>
      </c>
      <c r="AA266" t="n">
        <v>341</v>
      </c>
      <c r="AB266" t="n">
        <v>4</v>
      </c>
      <c r="AC266" t="n">
        <v>4</v>
      </c>
      <c r="AD266" t="n">
        <v>14</v>
      </c>
      <c r="AE266" t="n">
        <v>15</v>
      </c>
      <c r="AF266" t="n">
        <v>4</v>
      </c>
      <c r="AG266" t="n">
        <v>5</v>
      </c>
      <c r="AH266" t="n">
        <v>3</v>
      </c>
      <c r="AI266" t="n">
        <v>3</v>
      </c>
      <c r="AJ266" t="n">
        <v>8</v>
      </c>
      <c r="AK266" t="n">
        <v>8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HYPERLINK("https://creighton-primo.hosted.exlibrisgroup.com/primo-explore/search?tab=default_tab&amp;search_scope=EVERYTHING&amp;vid=01CRU&amp;lang=en_US&amp;offset=0&amp;query=any,contains,991000741569702656","Catalog Record")</f>
        <v/>
      </c>
      <c r="AT266">
        <f>HYPERLINK("http://www.worldcat.org/oclc/12803412","WorldCat Record")</f>
        <v/>
      </c>
      <c r="AU266" t="inlineStr">
        <is>
          <t>5366813:eng</t>
        </is>
      </c>
      <c r="AV266" t="inlineStr">
        <is>
          <t>12803412</t>
        </is>
      </c>
      <c r="AW266" t="inlineStr">
        <is>
          <t>991000741569702656</t>
        </is>
      </c>
      <c r="AX266" t="inlineStr">
        <is>
          <t>991000741569702656</t>
        </is>
      </c>
      <c r="AY266" t="inlineStr">
        <is>
          <t>2259371240002656</t>
        </is>
      </c>
      <c r="AZ266" t="inlineStr">
        <is>
          <t>BOOK</t>
        </is>
      </c>
      <c r="BB266" t="inlineStr">
        <is>
          <t>9780933014046</t>
        </is>
      </c>
      <c r="BC266" t="inlineStr">
        <is>
          <t>32285000274117</t>
        </is>
      </c>
      <c r="BD266" t="inlineStr">
        <is>
          <t>893778200</t>
        </is>
      </c>
    </row>
    <row r="267">
      <c r="A267" t="inlineStr">
        <is>
          <t>No</t>
        </is>
      </c>
      <c r="B267" t="inlineStr">
        <is>
          <t>RJ504.7 .P79</t>
        </is>
      </c>
      <c r="C267" t="inlineStr">
        <is>
          <t>0                      RJ 0504700P  79</t>
        </is>
      </c>
      <c r="D267" t="inlineStr">
        <is>
          <t>Psychopharmacology in childhood and adolescence / edited by Jerry M. Wiener.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New York : Basic Books, c1977.</t>
        </is>
      </c>
      <c r="M267" t="inlineStr">
        <is>
          <t>1977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RJ </t>
        </is>
      </c>
      <c r="S267" t="n">
        <v>1</v>
      </c>
      <c r="T267" t="n">
        <v>1</v>
      </c>
      <c r="U267" t="inlineStr">
        <is>
          <t>1994-02-16</t>
        </is>
      </c>
      <c r="V267" t="inlineStr">
        <is>
          <t>1994-02-16</t>
        </is>
      </c>
      <c r="W267" t="inlineStr">
        <is>
          <t>1990-07-02</t>
        </is>
      </c>
      <c r="X267" t="inlineStr">
        <is>
          <t>1990-07-02</t>
        </is>
      </c>
      <c r="Y267" t="n">
        <v>278</v>
      </c>
      <c r="Z267" t="n">
        <v>237</v>
      </c>
      <c r="AA267" t="n">
        <v>244</v>
      </c>
      <c r="AB267" t="n">
        <v>2</v>
      </c>
      <c r="AC267" t="n">
        <v>2</v>
      </c>
      <c r="AD267" t="n">
        <v>7</v>
      </c>
      <c r="AE267" t="n">
        <v>7</v>
      </c>
      <c r="AF267" t="n">
        <v>0</v>
      </c>
      <c r="AG267" t="n">
        <v>0</v>
      </c>
      <c r="AH267" t="n">
        <v>2</v>
      </c>
      <c r="AI267" t="n">
        <v>2</v>
      </c>
      <c r="AJ267" t="n">
        <v>5</v>
      </c>
      <c r="AK267" t="n">
        <v>5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HYPERLINK("http://catalog.hathitrust.org/Record/006258196","HathiTrust Record")</f>
        <v/>
      </c>
      <c r="AS267">
        <f>HYPERLINK("https://creighton-primo.hosted.exlibrisgroup.com/primo-explore/search?tab=default_tab&amp;search_scope=EVERYTHING&amp;vid=01CRU&amp;lang=en_US&amp;offset=0&amp;query=any,contains,991004308319702656","Catalog Record")</f>
        <v/>
      </c>
      <c r="AT267">
        <f>HYPERLINK("http://www.worldcat.org/oclc/2985389","WorldCat Record")</f>
        <v/>
      </c>
      <c r="AU267" t="inlineStr">
        <is>
          <t>54166954:eng</t>
        </is>
      </c>
      <c r="AV267" t="inlineStr">
        <is>
          <t>2985389</t>
        </is>
      </c>
      <c r="AW267" t="inlineStr">
        <is>
          <t>991004308319702656</t>
        </is>
      </c>
      <c r="AX267" t="inlineStr">
        <is>
          <t>991004308319702656</t>
        </is>
      </c>
      <c r="AY267" t="inlineStr">
        <is>
          <t>2261915340002656</t>
        </is>
      </c>
      <c r="AZ267" t="inlineStr">
        <is>
          <t>BOOK</t>
        </is>
      </c>
      <c r="BB267" t="inlineStr">
        <is>
          <t>9780465067442</t>
        </is>
      </c>
      <c r="BC267" t="inlineStr">
        <is>
          <t>32285000219054</t>
        </is>
      </c>
      <c r="BD267" t="inlineStr">
        <is>
          <t>893331429</t>
        </is>
      </c>
    </row>
    <row r="268">
      <c r="A268" t="inlineStr">
        <is>
          <t>No</t>
        </is>
      </c>
      <c r="B268" t="inlineStr">
        <is>
          <t>RJ505.A7 B47</t>
        </is>
      </c>
      <c r="C268" t="inlineStr">
        <is>
          <t>0                      RJ 0505000A  7                  B  47</t>
        </is>
      </c>
      <c r="D268" t="inlineStr">
        <is>
          <t>Self-discovery through self-expression; use of art in psychotherapy with children and adolescents. Foreword by Bernard I. Levy.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Betensky, Mala Gitlin, 1911-</t>
        </is>
      </c>
      <c r="L268" t="inlineStr">
        <is>
          <t>Springfield, Ill., Thomas [1973]</t>
        </is>
      </c>
      <c r="M268" t="inlineStr">
        <is>
          <t>1973</t>
        </is>
      </c>
      <c r="O268" t="inlineStr">
        <is>
          <t>eng</t>
        </is>
      </c>
      <c r="P268" t="inlineStr">
        <is>
          <t>ilu</t>
        </is>
      </c>
      <c r="R268" t="inlineStr">
        <is>
          <t xml:space="preserve">RJ </t>
        </is>
      </c>
      <c r="S268" t="n">
        <v>7</v>
      </c>
      <c r="T268" t="n">
        <v>7</v>
      </c>
      <c r="U268" t="inlineStr">
        <is>
          <t>1999-12-05</t>
        </is>
      </c>
      <c r="V268" t="inlineStr">
        <is>
          <t>1999-12-05</t>
        </is>
      </c>
      <c r="W268" t="inlineStr">
        <is>
          <t>1992-07-20</t>
        </is>
      </c>
      <c r="X268" t="inlineStr">
        <is>
          <t>1992-07-20</t>
        </is>
      </c>
      <c r="Y268" t="n">
        <v>360</v>
      </c>
      <c r="Z268" t="n">
        <v>304</v>
      </c>
      <c r="AA268" t="n">
        <v>311</v>
      </c>
      <c r="AB268" t="n">
        <v>2</v>
      </c>
      <c r="AC268" t="n">
        <v>2</v>
      </c>
      <c r="AD268" t="n">
        <v>11</v>
      </c>
      <c r="AE268" t="n">
        <v>11</v>
      </c>
      <c r="AF268" t="n">
        <v>7</v>
      </c>
      <c r="AG268" t="n">
        <v>7</v>
      </c>
      <c r="AH268" t="n">
        <v>1</v>
      </c>
      <c r="AI268" t="n">
        <v>1</v>
      </c>
      <c r="AJ268" t="n">
        <v>6</v>
      </c>
      <c r="AK268" t="n">
        <v>6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HYPERLINK("http://catalog.hathitrust.org/Record/000010013","HathiTrust Record")</f>
        <v/>
      </c>
      <c r="AS268">
        <f>HYPERLINK("https://creighton-primo.hosted.exlibrisgroup.com/primo-explore/search?tab=default_tab&amp;search_scope=EVERYTHING&amp;vid=01CRU&amp;lang=en_US&amp;offset=0&amp;query=any,contains,991003164519702656","Catalog Record")</f>
        <v/>
      </c>
      <c r="AT268">
        <f>HYPERLINK("http://www.worldcat.org/oclc/702829","WorldCat Record")</f>
        <v/>
      </c>
      <c r="AU268" t="inlineStr">
        <is>
          <t>894519360:eng</t>
        </is>
      </c>
      <c r="AV268" t="inlineStr">
        <is>
          <t>702829</t>
        </is>
      </c>
      <c r="AW268" t="inlineStr">
        <is>
          <t>991003164519702656</t>
        </is>
      </c>
      <c r="AX268" t="inlineStr">
        <is>
          <t>991003164519702656</t>
        </is>
      </c>
      <c r="AY268" t="inlineStr">
        <is>
          <t>2258188150002656</t>
        </is>
      </c>
      <c r="AZ268" t="inlineStr">
        <is>
          <t>BOOK</t>
        </is>
      </c>
      <c r="BB268" t="inlineStr">
        <is>
          <t>9780398025748</t>
        </is>
      </c>
      <c r="BC268" t="inlineStr">
        <is>
          <t>32285001211720</t>
        </is>
      </c>
      <c r="BD268" t="inlineStr">
        <is>
          <t>893511623</t>
        </is>
      </c>
    </row>
    <row r="269">
      <c r="A269" t="inlineStr">
        <is>
          <t>No</t>
        </is>
      </c>
      <c r="B269" t="inlineStr">
        <is>
          <t>RJ505.A7 F87 1982</t>
        </is>
      </c>
      <c r="C269" t="inlineStr">
        <is>
          <t>0                      RJ 0505000A  7                  F  87          1982</t>
        </is>
      </c>
      <c r="D269" t="inlineStr">
        <is>
          <t>Art therapy activities and lesson plans for individuals and groups : a practical guide for teachers, therapists, parents, and those interested in promoting personal growth in themselves and others / by P.J. Fürrer.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Fürrer, P. J. (Pamela J.)</t>
        </is>
      </c>
      <c r="L269" t="inlineStr">
        <is>
          <t>Springfield, Ill. : C.C. Thomas, c1982.</t>
        </is>
      </c>
      <c r="M269" t="inlineStr">
        <is>
          <t>1982</t>
        </is>
      </c>
      <c r="O269" t="inlineStr">
        <is>
          <t>eng</t>
        </is>
      </c>
      <c r="P269" t="inlineStr">
        <is>
          <t>ilu</t>
        </is>
      </c>
      <c r="R269" t="inlineStr">
        <is>
          <t xml:space="preserve">RJ </t>
        </is>
      </c>
      <c r="S269" t="n">
        <v>24</v>
      </c>
      <c r="T269" t="n">
        <v>24</v>
      </c>
      <c r="U269" t="inlineStr">
        <is>
          <t>2008-09-23</t>
        </is>
      </c>
      <c r="V269" t="inlineStr">
        <is>
          <t>2008-09-23</t>
        </is>
      </c>
      <c r="W269" t="inlineStr">
        <is>
          <t>1993-05-03</t>
        </is>
      </c>
      <c r="X269" t="inlineStr">
        <is>
          <t>1993-05-03</t>
        </is>
      </c>
      <c r="Y269" t="n">
        <v>135</v>
      </c>
      <c r="Z269" t="n">
        <v>113</v>
      </c>
      <c r="AA269" t="n">
        <v>114</v>
      </c>
      <c r="AB269" t="n">
        <v>2</v>
      </c>
      <c r="AC269" t="n">
        <v>2</v>
      </c>
      <c r="AD269" t="n">
        <v>3</v>
      </c>
      <c r="AE269" t="n">
        <v>3</v>
      </c>
      <c r="AF269" t="n">
        <v>0</v>
      </c>
      <c r="AG269" t="n">
        <v>0</v>
      </c>
      <c r="AH269" t="n">
        <v>0</v>
      </c>
      <c r="AI269" t="n">
        <v>0</v>
      </c>
      <c r="AJ269" t="n">
        <v>2</v>
      </c>
      <c r="AK269" t="n">
        <v>2</v>
      </c>
      <c r="AL269" t="n">
        <v>1</v>
      </c>
      <c r="AM269" t="n">
        <v>1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HYPERLINK("http://catalog.hathitrust.org/Record/102075948","HathiTrust Record")</f>
        <v/>
      </c>
      <c r="AS269">
        <f>HYPERLINK("https://creighton-primo.hosted.exlibrisgroup.com/primo-explore/search?tab=default_tab&amp;search_scope=EVERYTHING&amp;vid=01CRU&amp;lang=en_US&amp;offset=0&amp;query=any,contains,991000113819702656","Catalog Record")</f>
        <v/>
      </c>
      <c r="AT269">
        <f>HYPERLINK("http://www.worldcat.org/oclc/9019464","WorldCat Record")</f>
        <v/>
      </c>
      <c r="AU269" t="inlineStr">
        <is>
          <t>471214387:eng</t>
        </is>
      </c>
      <c r="AV269" t="inlineStr">
        <is>
          <t>9019464</t>
        </is>
      </c>
      <c r="AW269" t="inlineStr">
        <is>
          <t>991000113819702656</t>
        </is>
      </c>
      <c r="AX269" t="inlineStr">
        <is>
          <t>991000113819702656</t>
        </is>
      </c>
      <c r="AY269" t="inlineStr">
        <is>
          <t>2259222620002656</t>
        </is>
      </c>
      <c r="AZ269" t="inlineStr">
        <is>
          <t>BOOK</t>
        </is>
      </c>
      <c r="BB269" t="inlineStr">
        <is>
          <t>9780398047993</t>
        </is>
      </c>
      <c r="BC269" t="inlineStr">
        <is>
          <t>32285001569200</t>
        </is>
      </c>
      <c r="BD269" t="inlineStr">
        <is>
          <t>893626203</t>
        </is>
      </c>
    </row>
    <row r="270">
      <c r="A270" t="inlineStr">
        <is>
          <t>No</t>
        </is>
      </c>
      <c r="B270" t="inlineStr">
        <is>
          <t>RJ505.A7 H4</t>
        </is>
      </c>
      <c r="C270" t="inlineStr">
        <is>
          <t>0                      RJ 0505000A  7                  H  4</t>
        </is>
      </c>
      <c r="D270" t="inlineStr">
        <is>
          <t>Helping through action : action-oriented therapies / edited by Eileen T. Nickerson and Kay S. O'Laughlin.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Amherst, Mass. : Human Resource Development Press, 1982.</t>
        </is>
      </c>
      <c r="M270" t="inlineStr">
        <is>
          <t>1982</t>
        </is>
      </c>
      <c r="O270" t="inlineStr">
        <is>
          <t>eng</t>
        </is>
      </c>
      <c r="P270" t="inlineStr">
        <is>
          <t>mau</t>
        </is>
      </c>
      <c r="R270" t="inlineStr">
        <is>
          <t xml:space="preserve">RJ </t>
        </is>
      </c>
      <c r="S270" t="n">
        <v>9</v>
      </c>
      <c r="T270" t="n">
        <v>9</v>
      </c>
      <c r="U270" t="inlineStr">
        <is>
          <t>2001-04-05</t>
        </is>
      </c>
      <c r="V270" t="inlineStr">
        <is>
          <t>2001-04-05</t>
        </is>
      </c>
      <c r="W270" t="inlineStr">
        <is>
          <t>1992-03-03</t>
        </is>
      </c>
      <c r="X270" t="inlineStr">
        <is>
          <t>1992-03-03</t>
        </is>
      </c>
      <c r="Y270" t="n">
        <v>129</v>
      </c>
      <c r="Z270" t="n">
        <v>122</v>
      </c>
      <c r="AA270" t="n">
        <v>122</v>
      </c>
      <c r="AB270" t="n">
        <v>4</v>
      </c>
      <c r="AC270" t="n">
        <v>4</v>
      </c>
      <c r="AD270" t="n">
        <v>5</v>
      </c>
      <c r="AE270" t="n">
        <v>5</v>
      </c>
      <c r="AF270" t="n">
        <v>0</v>
      </c>
      <c r="AG270" t="n">
        <v>0</v>
      </c>
      <c r="AH270" t="n">
        <v>1</v>
      </c>
      <c r="AI270" t="n">
        <v>1</v>
      </c>
      <c r="AJ270" t="n">
        <v>2</v>
      </c>
      <c r="AK270" t="n">
        <v>2</v>
      </c>
      <c r="AL270" t="n">
        <v>3</v>
      </c>
      <c r="AM270" t="n">
        <v>3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HYPERLINK("https://creighton-primo.hosted.exlibrisgroup.com/primo-explore/search?tab=default_tab&amp;search_scope=EVERYTHING&amp;vid=01CRU&amp;lang=en_US&amp;offset=0&amp;query=any,contains,991000115119702656","Catalog Record")</f>
        <v/>
      </c>
      <c r="AT270">
        <f>HYPERLINK("http://www.worldcat.org/oclc/9032520","WorldCat Record")</f>
        <v/>
      </c>
      <c r="AU270" t="inlineStr">
        <is>
          <t>429488253:eng</t>
        </is>
      </c>
      <c r="AV270" t="inlineStr">
        <is>
          <t>9032520</t>
        </is>
      </c>
      <c r="AW270" t="inlineStr">
        <is>
          <t>991000115119702656</t>
        </is>
      </c>
      <c r="AX270" t="inlineStr">
        <is>
          <t>991000115119702656</t>
        </is>
      </c>
      <c r="AY270" t="inlineStr">
        <is>
          <t>2268479040002656</t>
        </is>
      </c>
      <c r="AZ270" t="inlineStr">
        <is>
          <t>BOOK</t>
        </is>
      </c>
      <c r="BB270" t="inlineStr">
        <is>
          <t>9780914234623</t>
        </is>
      </c>
      <c r="BC270" t="inlineStr">
        <is>
          <t>32285000990431</t>
        </is>
      </c>
      <c r="BD270" t="inlineStr">
        <is>
          <t>893339299</t>
        </is>
      </c>
    </row>
    <row r="271">
      <c r="A271" t="inlineStr">
        <is>
          <t>No</t>
        </is>
      </c>
      <c r="B271" t="inlineStr">
        <is>
          <t>RJ505.A7 K7</t>
        </is>
      </c>
      <c r="C271" t="inlineStr">
        <is>
          <t>0                      RJ 0505000A  7                  K  7</t>
        </is>
      </c>
      <c r="D271" t="inlineStr">
        <is>
          <t>Art as therapy with children / with an introd. by Muriel M. Gardiner.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Krämer, Edith.</t>
        </is>
      </c>
      <c r="L271" t="inlineStr">
        <is>
          <t>New York : Schocken Books, [1972, c1971]</t>
        </is>
      </c>
      <c r="M271" t="inlineStr">
        <is>
          <t>1972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RJ </t>
        </is>
      </c>
      <c r="S271" t="n">
        <v>14</v>
      </c>
      <c r="T271" t="n">
        <v>14</v>
      </c>
      <c r="U271" t="inlineStr">
        <is>
          <t>2007-09-19</t>
        </is>
      </c>
      <c r="V271" t="inlineStr">
        <is>
          <t>2007-09-19</t>
        </is>
      </c>
      <c r="W271" t="inlineStr">
        <is>
          <t>1990-04-02</t>
        </is>
      </c>
      <c r="X271" t="inlineStr">
        <is>
          <t>1990-04-02</t>
        </is>
      </c>
      <c r="Y271" t="n">
        <v>844</v>
      </c>
      <c r="Z271" t="n">
        <v>772</v>
      </c>
      <c r="AA271" t="n">
        <v>994</v>
      </c>
      <c r="AB271" t="n">
        <v>8</v>
      </c>
      <c r="AC271" t="n">
        <v>8</v>
      </c>
      <c r="AD271" t="n">
        <v>22</v>
      </c>
      <c r="AE271" t="n">
        <v>27</v>
      </c>
      <c r="AF271" t="n">
        <v>9</v>
      </c>
      <c r="AG271" t="n">
        <v>11</v>
      </c>
      <c r="AH271" t="n">
        <v>3</v>
      </c>
      <c r="AI271" t="n">
        <v>4</v>
      </c>
      <c r="AJ271" t="n">
        <v>9</v>
      </c>
      <c r="AK271" t="n">
        <v>14</v>
      </c>
      <c r="AL271" t="n">
        <v>5</v>
      </c>
      <c r="AM271" t="n">
        <v>5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HYPERLINK("http://catalog.hathitrust.org/Record/001570998","HathiTrust Record")</f>
        <v/>
      </c>
      <c r="AS271">
        <f>HYPERLINK("https://creighton-primo.hosted.exlibrisgroup.com/primo-explore/search?tab=default_tab&amp;search_scope=EVERYTHING&amp;vid=01CRU&amp;lang=en_US&amp;offset=0&amp;query=any,contains,991001336059702656","Catalog Record")</f>
        <v/>
      </c>
      <c r="AT271">
        <f>HYPERLINK("http://www.worldcat.org/oclc/221179","WorldCat Record")</f>
        <v/>
      </c>
      <c r="AU271" t="inlineStr">
        <is>
          <t>578985:eng</t>
        </is>
      </c>
      <c r="AV271" t="inlineStr">
        <is>
          <t>221179</t>
        </is>
      </c>
      <c r="AW271" t="inlineStr">
        <is>
          <t>991001336059702656</t>
        </is>
      </c>
      <c r="AX271" t="inlineStr">
        <is>
          <t>991001336059702656</t>
        </is>
      </c>
      <c r="AY271" t="inlineStr">
        <is>
          <t>2258265190002656</t>
        </is>
      </c>
      <c r="AZ271" t="inlineStr">
        <is>
          <t>BOOK</t>
        </is>
      </c>
      <c r="BB271" t="inlineStr">
        <is>
          <t>9780805233971</t>
        </is>
      </c>
      <c r="BC271" t="inlineStr">
        <is>
          <t>32285000101575</t>
        </is>
      </c>
      <c r="BD271" t="inlineStr">
        <is>
          <t>893878807</t>
        </is>
      </c>
    </row>
    <row r="272">
      <c r="A272" t="inlineStr">
        <is>
          <t>No</t>
        </is>
      </c>
      <c r="B272" t="inlineStr">
        <is>
          <t>RJ505.A7 L48 1983</t>
        </is>
      </c>
      <c r="C272" t="inlineStr">
        <is>
          <t>0                      RJ 0505000A  7                  L  48          1983</t>
        </is>
      </c>
      <c r="D272" t="inlineStr">
        <is>
          <t>They could not talk and so they drew : children's styles of coping and thinking / by Myra F. Levick ; forewords by Paul J. Fink and Zygmunt A. Piotrowski.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Levick, Myra F.</t>
        </is>
      </c>
      <c r="L272" t="inlineStr">
        <is>
          <t>Springfield, Ill. : C.C. Thomas, c1983.</t>
        </is>
      </c>
      <c r="M272" t="inlineStr">
        <is>
          <t>1983</t>
        </is>
      </c>
      <c r="O272" t="inlineStr">
        <is>
          <t>eng</t>
        </is>
      </c>
      <c r="P272" t="inlineStr">
        <is>
          <t>ilu</t>
        </is>
      </c>
      <c r="R272" t="inlineStr">
        <is>
          <t xml:space="preserve">RJ </t>
        </is>
      </c>
      <c r="S272" t="n">
        <v>15</v>
      </c>
      <c r="T272" t="n">
        <v>15</v>
      </c>
      <c r="U272" t="inlineStr">
        <is>
          <t>2010-02-23</t>
        </is>
      </c>
      <c r="V272" t="inlineStr">
        <is>
          <t>2010-02-23</t>
        </is>
      </c>
      <c r="W272" t="inlineStr">
        <is>
          <t>1992-04-26</t>
        </is>
      </c>
      <c r="X272" t="inlineStr">
        <is>
          <t>1992-04-26</t>
        </is>
      </c>
      <c r="Y272" t="n">
        <v>379</v>
      </c>
      <c r="Z272" t="n">
        <v>317</v>
      </c>
      <c r="AA272" t="n">
        <v>326</v>
      </c>
      <c r="AB272" t="n">
        <v>4</v>
      </c>
      <c r="AC272" t="n">
        <v>4</v>
      </c>
      <c r="AD272" t="n">
        <v>12</v>
      </c>
      <c r="AE272" t="n">
        <v>13</v>
      </c>
      <c r="AF272" t="n">
        <v>5</v>
      </c>
      <c r="AG272" t="n">
        <v>6</v>
      </c>
      <c r="AH272" t="n">
        <v>0</v>
      </c>
      <c r="AI272" t="n">
        <v>1</v>
      </c>
      <c r="AJ272" t="n">
        <v>6</v>
      </c>
      <c r="AK272" t="n">
        <v>6</v>
      </c>
      <c r="AL272" t="n">
        <v>3</v>
      </c>
      <c r="AM272" t="n">
        <v>3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HYPERLINK("http://catalog.hathitrust.org/Record/000236051","HathiTrust Record")</f>
        <v/>
      </c>
      <c r="AS272">
        <f>HYPERLINK("https://creighton-primo.hosted.exlibrisgroup.com/primo-explore/search?tab=default_tab&amp;search_scope=EVERYTHING&amp;vid=01CRU&amp;lang=en_US&amp;offset=0&amp;query=any,contains,991000097749702656","Catalog Record")</f>
        <v/>
      </c>
      <c r="AT272">
        <f>HYPERLINK("http://www.worldcat.org/oclc/8931214","WorldCat Record")</f>
        <v/>
      </c>
      <c r="AU272" t="inlineStr">
        <is>
          <t>42846986:eng</t>
        </is>
      </c>
      <c r="AV272" t="inlineStr">
        <is>
          <t>8931214</t>
        </is>
      </c>
      <c r="AW272" t="inlineStr">
        <is>
          <t>991000097749702656</t>
        </is>
      </c>
      <c r="AX272" t="inlineStr">
        <is>
          <t>991000097749702656</t>
        </is>
      </c>
      <c r="AY272" t="inlineStr">
        <is>
          <t>2256323430002656</t>
        </is>
      </c>
      <c r="AZ272" t="inlineStr">
        <is>
          <t>BOOK</t>
        </is>
      </c>
      <c r="BB272" t="inlineStr">
        <is>
          <t>9780398048006</t>
        </is>
      </c>
      <c r="BC272" t="inlineStr">
        <is>
          <t>32285001087229</t>
        </is>
      </c>
      <c r="BD272" t="inlineStr">
        <is>
          <t>893701840</t>
        </is>
      </c>
    </row>
    <row r="273">
      <c r="A273" t="inlineStr">
        <is>
          <t>No</t>
        </is>
      </c>
      <c r="B273" t="inlineStr">
        <is>
          <t>RJ505.A7 R8 1984</t>
        </is>
      </c>
      <c r="C273" t="inlineStr">
        <is>
          <t>0                      RJ 0505000A  7                  R  8           1984</t>
        </is>
      </c>
      <c r="D273" t="inlineStr">
        <is>
          <t>Child art therapy : understanding and helping children grow through art / Judith Aron Rubin.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Rubin, Judith Aron.</t>
        </is>
      </c>
      <c r="L273" t="inlineStr">
        <is>
          <t>New York : Van Nostrand Reinhold, c1984.</t>
        </is>
      </c>
      <c r="M273" t="inlineStr">
        <is>
          <t>1984</t>
        </is>
      </c>
      <c r="N273" t="inlineStr">
        <is>
          <t>2nd ed.</t>
        </is>
      </c>
      <c r="O273" t="inlineStr">
        <is>
          <t>eng</t>
        </is>
      </c>
      <c r="P273" t="inlineStr">
        <is>
          <t>nyu</t>
        </is>
      </c>
      <c r="R273" t="inlineStr">
        <is>
          <t xml:space="preserve">RJ </t>
        </is>
      </c>
      <c r="S273" t="n">
        <v>25</v>
      </c>
      <c r="T273" t="n">
        <v>25</v>
      </c>
      <c r="U273" t="inlineStr">
        <is>
          <t>2007-09-19</t>
        </is>
      </c>
      <c r="V273" t="inlineStr">
        <is>
          <t>2007-09-19</t>
        </is>
      </c>
      <c r="W273" t="inlineStr">
        <is>
          <t>1992-03-13</t>
        </is>
      </c>
      <c r="X273" t="inlineStr">
        <is>
          <t>1992-03-13</t>
        </is>
      </c>
      <c r="Y273" t="n">
        <v>579</v>
      </c>
      <c r="Z273" t="n">
        <v>482</v>
      </c>
      <c r="AA273" t="n">
        <v>665</v>
      </c>
      <c r="AB273" t="n">
        <v>5</v>
      </c>
      <c r="AC273" t="n">
        <v>8</v>
      </c>
      <c r="AD273" t="n">
        <v>16</v>
      </c>
      <c r="AE273" t="n">
        <v>23</v>
      </c>
      <c r="AF273" t="n">
        <v>5</v>
      </c>
      <c r="AG273" t="n">
        <v>7</v>
      </c>
      <c r="AH273" t="n">
        <v>3</v>
      </c>
      <c r="AI273" t="n">
        <v>4</v>
      </c>
      <c r="AJ273" t="n">
        <v>8</v>
      </c>
      <c r="AK273" t="n">
        <v>11</v>
      </c>
      <c r="AL273" t="n">
        <v>4</v>
      </c>
      <c r="AM273" t="n">
        <v>7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HYPERLINK("https://creighton-primo.hosted.exlibrisgroup.com/primo-explore/search?tab=default_tab&amp;search_scope=EVERYTHING&amp;vid=01CRU&amp;lang=en_US&amp;offset=0&amp;query=any,contains,991000262849702656","Catalog Record")</f>
        <v/>
      </c>
      <c r="AT273">
        <f>HYPERLINK("http://www.worldcat.org/oclc/9827067","WorldCat Record")</f>
        <v/>
      </c>
      <c r="AU273" t="inlineStr">
        <is>
          <t>4202436803:eng</t>
        </is>
      </c>
      <c r="AV273" t="inlineStr">
        <is>
          <t>9827067</t>
        </is>
      </c>
      <c r="AW273" t="inlineStr">
        <is>
          <t>991000262849702656</t>
        </is>
      </c>
      <c r="AX273" t="inlineStr">
        <is>
          <t>991000262849702656</t>
        </is>
      </c>
      <c r="AY273" t="inlineStr">
        <is>
          <t>2269007130002656</t>
        </is>
      </c>
      <c r="AZ273" t="inlineStr">
        <is>
          <t>BOOK</t>
        </is>
      </c>
      <c r="BB273" t="inlineStr">
        <is>
          <t>9780442277673</t>
        </is>
      </c>
      <c r="BC273" t="inlineStr">
        <is>
          <t>32285001005056</t>
        </is>
      </c>
      <c r="BD273" t="inlineStr">
        <is>
          <t>893444259</t>
        </is>
      </c>
    </row>
    <row r="274">
      <c r="A274" t="inlineStr">
        <is>
          <t>No</t>
        </is>
      </c>
      <c r="B274" t="inlineStr">
        <is>
          <t>RJ505.A7 S56</t>
        </is>
      </c>
      <c r="C274" t="inlineStr">
        <is>
          <t>0                      RJ 0505000A  7                  S  56</t>
        </is>
      </c>
      <c r="D274" t="inlineStr">
        <is>
          <t>Structuring child behavior through visual art : a therapeutic, individualized art program to develop positive behavior attitudes in children / by Florence Singer.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Singer, Florence.</t>
        </is>
      </c>
      <c r="L274" t="inlineStr">
        <is>
          <t>Springfield, Ill. : Thomas, c1980.</t>
        </is>
      </c>
      <c r="M274" t="inlineStr">
        <is>
          <t>1980</t>
        </is>
      </c>
      <c r="O274" t="inlineStr">
        <is>
          <t>eng</t>
        </is>
      </c>
      <c r="P274" t="inlineStr">
        <is>
          <t>ilu</t>
        </is>
      </c>
      <c r="R274" t="inlineStr">
        <is>
          <t xml:space="preserve">RJ </t>
        </is>
      </c>
      <c r="S274" t="n">
        <v>6</v>
      </c>
      <c r="T274" t="n">
        <v>6</v>
      </c>
      <c r="U274" t="inlineStr">
        <is>
          <t>2001-03-20</t>
        </is>
      </c>
      <c r="V274" t="inlineStr">
        <is>
          <t>2001-03-20</t>
        </is>
      </c>
      <c r="W274" t="inlineStr">
        <is>
          <t>1992-04-26</t>
        </is>
      </c>
      <c r="X274" t="inlineStr">
        <is>
          <t>1992-04-26</t>
        </is>
      </c>
      <c r="Y274" t="n">
        <v>226</v>
      </c>
      <c r="Z274" t="n">
        <v>200</v>
      </c>
      <c r="AA274" t="n">
        <v>200</v>
      </c>
      <c r="AB274" t="n">
        <v>3</v>
      </c>
      <c r="AC274" t="n">
        <v>3</v>
      </c>
      <c r="AD274" t="n">
        <v>4</v>
      </c>
      <c r="AE274" t="n">
        <v>4</v>
      </c>
      <c r="AF274" t="n">
        <v>1</v>
      </c>
      <c r="AG274" t="n">
        <v>1</v>
      </c>
      <c r="AH274" t="n">
        <v>0</v>
      </c>
      <c r="AI274" t="n">
        <v>0</v>
      </c>
      <c r="AJ274" t="n">
        <v>2</v>
      </c>
      <c r="AK274" t="n">
        <v>2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HYPERLINK("https://creighton-primo.hosted.exlibrisgroup.com/primo-explore/search?tab=default_tab&amp;search_scope=EVERYTHING&amp;vid=01CRU&amp;lang=en_US&amp;offset=0&amp;query=any,contains,991004979869702656","Catalog Record")</f>
        <v/>
      </c>
      <c r="AT274">
        <f>HYPERLINK("http://www.worldcat.org/oclc/6421467","WorldCat Record")</f>
        <v/>
      </c>
      <c r="AU274" t="inlineStr">
        <is>
          <t>1781907773:eng</t>
        </is>
      </c>
      <c r="AV274" t="inlineStr">
        <is>
          <t>6421467</t>
        </is>
      </c>
      <c r="AW274" t="inlineStr">
        <is>
          <t>991004979869702656</t>
        </is>
      </c>
      <c r="AX274" t="inlineStr">
        <is>
          <t>991004979869702656</t>
        </is>
      </c>
      <c r="AY274" t="inlineStr">
        <is>
          <t>2270461220002656</t>
        </is>
      </c>
      <c r="AZ274" t="inlineStr">
        <is>
          <t>BOOK</t>
        </is>
      </c>
      <c r="BB274" t="inlineStr">
        <is>
          <t>9780398041144</t>
        </is>
      </c>
      <c r="BC274" t="inlineStr">
        <is>
          <t>32285001087237</t>
        </is>
      </c>
      <c r="BD274" t="inlineStr">
        <is>
          <t>893412156</t>
        </is>
      </c>
    </row>
    <row r="275">
      <c r="A275" t="inlineStr">
        <is>
          <t>No</t>
        </is>
      </c>
      <c r="B275" t="inlineStr">
        <is>
          <t>RJ505.A7 W54</t>
        </is>
      </c>
      <c r="C275" t="inlineStr">
        <is>
          <t>0                      RJ 0505000A  7                  W  54</t>
        </is>
      </c>
      <c r="D275" t="inlineStr">
        <is>
          <t>Developmental art therapy / by Geraldine H. Williams and Mary M. Wood.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Williams, Geraldine H.</t>
        </is>
      </c>
      <c r="L275" t="inlineStr">
        <is>
          <t>Baltimore : University Park Press, c1977.</t>
        </is>
      </c>
      <c r="M275" t="inlineStr">
        <is>
          <t>1977</t>
        </is>
      </c>
      <c r="O275" t="inlineStr">
        <is>
          <t>eng</t>
        </is>
      </c>
      <c r="P275" t="inlineStr">
        <is>
          <t>mdu</t>
        </is>
      </c>
      <c r="R275" t="inlineStr">
        <is>
          <t xml:space="preserve">RJ </t>
        </is>
      </c>
      <c r="S275" t="n">
        <v>13</v>
      </c>
      <c r="T275" t="n">
        <v>13</v>
      </c>
      <c r="U275" t="inlineStr">
        <is>
          <t>2007-09-19</t>
        </is>
      </c>
      <c r="V275" t="inlineStr">
        <is>
          <t>2007-09-19</t>
        </is>
      </c>
      <c r="W275" t="inlineStr">
        <is>
          <t>1992-05-28</t>
        </is>
      </c>
      <c r="X275" t="inlineStr">
        <is>
          <t>1992-05-28</t>
        </is>
      </c>
      <c r="Y275" t="n">
        <v>501</v>
      </c>
      <c r="Z275" t="n">
        <v>428</v>
      </c>
      <c r="AA275" t="n">
        <v>460</v>
      </c>
      <c r="AB275" t="n">
        <v>5</v>
      </c>
      <c r="AC275" t="n">
        <v>5</v>
      </c>
      <c r="AD275" t="n">
        <v>20</v>
      </c>
      <c r="AE275" t="n">
        <v>22</v>
      </c>
      <c r="AF275" t="n">
        <v>11</v>
      </c>
      <c r="AG275" t="n">
        <v>11</v>
      </c>
      <c r="AH275" t="n">
        <v>2</v>
      </c>
      <c r="AI275" t="n">
        <v>4</v>
      </c>
      <c r="AJ275" t="n">
        <v>10</v>
      </c>
      <c r="AK275" t="n">
        <v>10</v>
      </c>
      <c r="AL275" t="n">
        <v>4</v>
      </c>
      <c r="AM275" t="n">
        <v>4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HYPERLINK("https://creighton-primo.hosted.exlibrisgroup.com/primo-explore/search?tab=default_tab&amp;search_scope=EVERYTHING&amp;vid=01CRU&amp;lang=en_US&amp;offset=0&amp;query=any,contains,991004298249702656","Catalog Record")</f>
        <v/>
      </c>
      <c r="AT275">
        <f>HYPERLINK("http://www.worldcat.org/oclc/2966631","WorldCat Record")</f>
        <v/>
      </c>
      <c r="AU275" t="inlineStr">
        <is>
          <t>3855272765:eng</t>
        </is>
      </c>
      <c r="AV275" t="inlineStr">
        <is>
          <t>2966631</t>
        </is>
      </c>
      <c r="AW275" t="inlineStr">
        <is>
          <t>991004298249702656</t>
        </is>
      </c>
      <c r="AX275" t="inlineStr">
        <is>
          <t>991004298249702656</t>
        </is>
      </c>
      <c r="AY275" t="inlineStr">
        <is>
          <t>2267163210002656</t>
        </is>
      </c>
      <c r="AZ275" t="inlineStr">
        <is>
          <t>BOOK</t>
        </is>
      </c>
      <c r="BB275" t="inlineStr">
        <is>
          <t>9780839111405</t>
        </is>
      </c>
      <c r="BC275" t="inlineStr">
        <is>
          <t>32285001113231</t>
        </is>
      </c>
      <c r="BD275" t="inlineStr">
        <is>
          <t>893417449</t>
        </is>
      </c>
    </row>
    <row r="276">
      <c r="A276" t="inlineStr">
        <is>
          <t>No</t>
        </is>
      </c>
      <c r="B276" t="inlineStr">
        <is>
          <t>RJ505.B4 B44 1987</t>
        </is>
      </c>
      <c r="C276" t="inlineStr">
        <is>
          <t>0                      RJ 0505000B  4                  B  44          1987</t>
        </is>
      </c>
      <c r="D276" t="inlineStr">
        <is>
          <t>Behavior therapy with children and adolescents : a clinical approach / edited by Michel Hersen, Vincent B. Van Hasselt.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L276" t="inlineStr">
        <is>
          <t>New York : Wiley, c1987.</t>
        </is>
      </c>
      <c r="M276" t="inlineStr">
        <is>
          <t>1987</t>
        </is>
      </c>
      <c r="O276" t="inlineStr">
        <is>
          <t>eng</t>
        </is>
      </c>
      <c r="P276" t="inlineStr">
        <is>
          <t>nyu</t>
        </is>
      </c>
      <c r="Q276" t="inlineStr">
        <is>
          <t>Wiley series on personality processes</t>
        </is>
      </c>
      <c r="R276" t="inlineStr">
        <is>
          <t xml:space="preserve">RJ </t>
        </is>
      </c>
      <c r="S276" t="n">
        <v>6</v>
      </c>
      <c r="T276" t="n">
        <v>6</v>
      </c>
      <c r="U276" t="inlineStr">
        <is>
          <t>1996-12-03</t>
        </is>
      </c>
      <c r="V276" t="inlineStr">
        <is>
          <t>1996-12-03</t>
        </is>
      </c>
      <c r="W276" t="inlineStr">
        <is>
          <t>1991-12-06</t>
        </is>
      </c>
      <c r="X276" t="inlineStr">
        <is>
          <t>1991-12-06</t>
        </is>
      </c>
      <c r="Y276" t="n">
        <v>344</v>
      </c>
      <c r="Z276" t="n">
        <v>278</v>
      </c>
      <c r="AA276" t="n">
        <v>303</v>
      </c>
      <c r="AB276" t="n">
        <v>1</v>
      </c>
      <c r="AC276" t="n">
        <v>1</v>
      </c>
      <c r="AD276" t="n">
        <v>10</v>
      </c>
      <c r="AE276" t="n">
        <v>12</v>
      </c>
      <c r="AF276" t="n">
        <v>2</v>
      </c>
      <c r="AG276" t="n">
        <v>3</v>
      </c>
      <c r="AH276" t="n">
        <v>2</v>
      </c>
      <c r="AI276" t="n">
        <v>2</v>
      </c>
      <c r="AJ276" t="n">
        <v>7</v>
      </c>
      <c r="AK276" t="n">
        <v>9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HYPERLINK("http://catalog.hathitrust.org/Record/000597301","HathiTrust Record")</f>
        <v/>
      </c>
      <c r="AS276">
        <f>HYPERLINK("https://creighton-primo.hosted.exlibrisgroup.com/primo-explore/search?tab=default_tab&amp;search_scope=EVERYTHING&amp;vid=01CRU&amp;lang=en_US&amp;offset=0&amp;query=any,contains,991000855489702656","Catalog Record")</f>
        <v/>
      </c>
      <c r="AT276">
        <f>HYPERLINK("http://www.worldcat.org/oclc/13644278","WorldCat Record")</f>
        <v/>
      </c>
      <c r="AU276" t="inlineStr">
        <is>
          <t>836643695:eng</t>
        </is>
      </c>
      <c r="AV276" t="inlineStr">
        <is>
          <t>13644278</t>
        </is>
      </c>
      <c r="AW276" t="inlineStr">
        <is>
          <t>991000855489702656</t>
        </is>
      </c>
      <c r="AX276" t="inlineStr">
        <is>
          <t>991000855489702656</t>
        </is>
      </c>
      <c r="AY276" t="inlineStr">
        <is>
          <t>2269192560002656</t>
        </is>
      </c>
      <c r="AZ276" t="inlineStr">
        <is>
          <t>BOOK</t>
        </is>
      </c>
      <c r="BB276" t="inlineStr">
        <is>
          <t>9780471825838</t>
        </is>
      </c>
      <c r="BC276" t="inlineStr">
        <is>
          <t>32285000837939</t>
        </is>
      </c>
      <c r="BD276" t="inlineStr">
        <is>
          <t>893608338</t>
        </is>
      </c>
    </row>
    <row r="277">
      <c r="A277" t="inlineStr">
        <is>
          <t>No</t>
        </is>
      </c>
      <c r="B277" t="inlineStr">
        <is>
          <t>RJ505.B4 B75</t>
        </is>
      </c>
      <c r="C277" t="inlineStr">
        <is>
          <t>0                      RJ 0505000B  4                  B  75</t>
        </is>
      </c>
      <c r="D277" t="inlineStr">
        <is>
          <t>Behavior modification in child, school and family mental health : an annotated bibliography on applications with parents and teachers and in marriage and family counseling / [by] Daniel G. Brown.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Brown, Daniel G.</t>
        </is>
      </c>
      <c r="L277" t="inlineStr">
        <is>
          <t>Champaign, Ill. : Research Press Co., [1972]</t>
        </is>
      </c>
      <c r="M277" t="inlineStr">
        <is>
          <t>1972</t>
        </is>
      </c>
      <c r="O277" t="inlineStr">
        <is>
          <t>eng</t>
        </is>
      </c>
      <c r="P277" t="inlineStr">
        <is>
          <t>ilu</t>
        </is>
      </c>
      <c r="R277" t="inlineStr">
        <is>
          <t xml:space="preserve">RJ </t>
        </is>
      </c>
      <c r="S277" t="n">
        <v>2</v>
      </c>
      <c r="T277" t="n">
        <v>2</v>
      </c>
      <c r="U277" t="inlineStr">
        <is>
          <t>1994-02-20</t>
        </is>
      </c>
      <c r="V277" t="inlineStr">
        <is>
          <t>1994-02-20</t>
        </is>
      </c>
      <c r="W277" t="inlineStr">
        <is>
          <t>1992-04-01</t>
        </is>
      </c>
      <c r="X277" t="inlineStr">
        <is>
          <t>1992-04-01</t>
        </is>
      </c>
      <c r="Y277" t="n">
        <v>268</v>
      </c>
      <c r="Z277" t="n">
        <v>221</v>
      </c>
      <c r="AA277" t="n">
        <v>228</v>
      </c>
      <c r="AB277" t="n">
        <v>4</v>
      </c>
      <c r="AC277" t="n">
        <v>4</v>
      </c>
      <c r="AD277" t="n">
        <v>11</v>
      </c>
      <c r="AE277" t="n">
        <v>11</v>
      </c>
      <c r="AF277" t="n">
        <v>3</v>
      </c>
      <c r="AG277" t="n">
        <v>3</v>
      </c>
      <c r="AH277" t="n">
        <v>2</v>
      </c>
      <c r="AI277" t="n">
        <v>2</v>
      </c>
      <c r="AJ277" t="n">
        <v>5</v>
      </c>
      <c r="AK277" t="n">
        <v>5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HYPERLINK("https://creighton-primo.hosted.exlibrisgroup.com/primo-explore/search?tab=default_tab&amp;search_scope=EVERYTHING&amp;vid=01CRU&amp;lang=en_US&amp;offset=0&amp;query=any,contains,991002693379702656","Catalog Record")</f>
        <v/>
      </c>
      <c r="AT277">
        <f>HYPERLINK("http://www.worldcat.org/oclc/402392","WorldCat Record")</f>
        <v/>
      </c>
      <c r="AU277" t="inlineStr">
        <is>
          <t>1420212:eng</t>
        </is>
      </c>
      <c r="AV277" t="inlineStr">
        <is>
          <t>402392</t>
        </is>
      </c>
      <c r="AW277" t="inlineStr">
        <is>
          <t>991002693379702656</t>
        </is>
      </c>
      <c r="AX277" t="inlineStr">
        <is>
          <t>991002693379702656</t>
        </is>
      </c>
      <c r="AY277" t="inlineStr">
        <is>
          <t>2265506210002656</t>
        </is>
      </c>
      <c r="AZ277" t="inlineStr">
        <is>
          <t>BOOK</t>
        </is>
      </c>
      <c r="BB277" t="inlineStr">
        <is>
          <t>9780878220748</t>
        </is>
      </c>
      <c r="BC277" t="inlineStr">
        <is>
          <t>32285001031615</t>
        </is>
      </c>
      <c r="BD277" t="inlineStr">
        <is>
          <t>893627262</t>
        </is>
      </c>
    </row>
    <row r="278">
      <c r="A278" t="inlineStr">
        <is>
          <t>No</t>
        </is>
      </c>
      <c r="B278" t="inlineStr">
        <is>
          <t>RJ505.B4 G44 1984</t>
        </is>
      </c>
      <c r="C278" t="inlineStr">
        <is>
          <t>0                      RJ 0505000B  4                  G  44          1984</t>
        </is>
      </c>
      <c r="D278" t="inlineStr">
        <is>
          <t>Child behavior analysis and therapy / Donna M. Gelfand, Donald P. Hartmann.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Gelfand, Donna M., 1937-</t>
        </is>
      </c>
      <c r="L278" t="inlineStr">
        <is>
          <t>New York : Pergamon Press, c1984.</t>
        </is>
      </c>
      <c r="M278" t="inlineStr">
        <is>
          <t>1984</t>
        </is>
      </c>
      <c r="N278" t="inlineStr">
        <is>
          <t>2nd ed.</t>
        </is>
      </c>
      <c r="O278" t="inlineStr">
        <is>
          <t>eng</t>
        </is>
      </c>
      <c r="P278" t="inlineStr">
        <is>
          <t>nyu</t>
        </is>
      </c>
      <c r="Q278" t="inlineStr">
        <is>
          <t>Pergamon general psychology series ; 50</t>
        </is>
      </c>
      <c r="R278" t="inlineStr">
        <is>
          <t xml:space="preserve">RJ </t>
        </is>
      </c>
      <c r="S278" t="n">
        <v>4</v>
      </c>
      <c r="T278" t="n">
        <v>4</v>
      </c>
      <c r="U278" t="inlineStr">
        <is>
          <t>2000-07-18</t>
        </is>
      </c>
      <c r="V278" t="inlineStr">
        <is>
          <t>2000-07-18</t>
        </is>
      </c>
      <c r="W278" t="inlineStr">
        <is>
          <t>1993-03-03</t>
        </is>
      </c>
      <c r="X278" t="inlineStr">
        <is>
          <t>1993-03-03</t>
        </is>
      </c>
      <c r="Y278" t="n">
        <v>353</v>
      </c>
      <c r="Z278" t="n">
        <v>249</v>
      </c>
      <c r="AA278" t="n">
        <v>409</v>
      </c>
      <c r="AB278" t="n">
        <v>3</v>
      </c>
      <c r="AC278" t="n">
        <v>4</v>
      </c>
      <c r="AD278" t="n">
        <v>10</v>
      </c>
      <c r="AE278" t="n">
        <v>16</v>
      </c>
      <c r="AF278" t="n">
        <v>2</v>
      </c>
      <c r="AG278" t="n">
        <v>5</v>
      </c>
      <c r="AH278" t="n">
        <v>2</v>
      </c>
      <c r="AI278" t="n">
        <v>2</v>
      </c>
      <c r="AJ278" t="n">
        <v>6</v>
      </c>
      <c r="AK278" t="n">
        <v>11</v>
      </c>
      <c r="AL278" t="n">
        <v>2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HYPERLINK("http://catalog.hathitrust.org/Record/000246773","HathiTrust Record")</f>
        <v/>
      </c>
      <c r="AS278">
        <f>HYPERLINK("https://creighton-primo.hosted.exlibrisgroup.com/primo-explore/search?tab=default_tab&amp;search_scope=EVERYTHING&amp;vid=01CRU&amp;lang=en_US&amp;offset=0&amp;query=any,contains,991000351339702656","Catalog Record")</f>
        <v/>
      </c>
      <c r="AT278">
        <f>HYPERLINK("http://www.worldcat.org/oclc/10302475","WorldCat Record")</f>
        <v/>
      </c>
      <c r="AU278" t="inlineStr">
        <is>
          <t>1926453:eng</t>
        </is>
      </c>
      <c r="AV278" t="inlineStr">
        <is>
          <t>10302475</t>
        </is>
      </c>
      <c r="AW278" t="inlineStr">
        <is>
          <t>991000351339702656</t>
        </is>
      </c>
      <c r="AX278" t="inlineStr">
        <is>
          <t>991000351339702656</t>
        </is>
      </c>
      <c r="AY278" t="inlineStr">
        <is>
          <t>2272094780002656</t>
        </is>
      </c>
      <c r="AZ278" t="inlineStr">
        <is>
          <t>BOOK</t>
        </is>
      </c>
      <c r="BB278" t="inlineStr">
        <is>
          <t>9780080280530</t>
        </is>
      </c>
      <c r="BC278" t="inlineStr">
        <is>
          <t>32285001529568</t>
        </is>
      </c>
      <c r="BD278" t="inlineStr">
        <is>
          <t>893255349</t>
        </is>
      </c>
    </row>
    <row r="279">
      <c r="A279" t="inlineStr">
        <is>
          <t>No</t>
        </is>
      </c>
      <c r="B279" t="inlineStr">
        <is>
          <t>RJ505.B4 I54 1989</t>
        </is>
      </c>
      <c r="C279" t="inlineStr">
        <is>
          <t>0                      RJ 0505000B  4                  I  54          1989</t>
        </is>
      </c>
      <c r="D279" t="inlineStr">
        <is>
          <t>Innovations in child behavior therapy / Michel Hersen, editor.</t>
        </is>
      </c>
      <c r="F279" t="inlineStr">
        <is>
          <t>No</t>
        </is>
      </c>
      <c r="G279" t="inlineStr">
        <is>
          <t>1</t>
        </is>
      </c>
      <c r="H279" t="inlineStr">
        <is>
          <t>Yes</t>
        </is>
      </c>
      <c r="I279" t="inlineStr">
        <is>
          <t>No</t>
        </is>
      </c>
      <c r="J279" t="inlineStr">
        <is>
          <t>0</t>
        </is>
      </c>
      <c r="L279" t="inlineStr">
        <is>
          <t>New York : Springer Pub. Co., c1989.</t>
        </is>
      </c>
      <c r="M279" t="inlineStr">
        <is>
          <t>1989</t>
        </is>
      </c>
      <c r="O279" t="inlineStr">
        <is>
          <t>eng</t>
        </is>
      </c>
      <c r="P279" t="inlineStr">
        <is>
          <t>nyu</t>
        </is>
      </c>
      <c r="Q279" t="inlineStr">
        <is>
          <t>Springer series on behavior therapy and behavioral medicine ; v. 21</t>
        </is>
      </c>
      <c r="R279" t="inlineStr">
        <is>
          <t xml:space="preserve">RJ </t>
        </is>
      </c>
      <c r="S279" t="n">
        <v>1</v>
      </c>
      <c r="T279" t="n">
        <v>6</v>
      </c>
      <c r="V279" t="inlineStr">
        <is>
          <t>2001-06-21</t>
        </is>
      </c>
      <c r="W279" t="inlineStr">
        <is>
          <t>1992-04-22</t>
        </is>
      </c>
      <c r="X279" t="inlineStr">
        <is>
          <t>1992-04-22</t>
        </is>
      </c>
      <c r="Y279" t="n">
        <v>210</v>
      </c>
      <c r="Z279" t="n">
        <v>172</v>
      </c>
      <c r="AA279" t="n">
        <v>174</v>
      </c>
      <c r="AB279" t="n">
        <v>3</v>
      </c>
      <c r="AC279" t="n">
        <v>3</v>
      </c>
      <c r="AD279" t="n">
        <v>10</v>
      </c>
      <c r="AE279" t="n">
        <v>10</v>
      </c>
      <c r="AF279" t="n">
        <v>1</v>
      </c>
      <c r="AG279" t="n">
        <v>1</v>
      </c>
      <c r="AH279" t="n">
        <v>4</v>
      </c>
      <c r="AI279" t="n">
        <v>4</v>
      </c>
      <c r="AJ279" t="n">
        <v>7</v>
      </c>
      <c r="AK279" t="n">
        <v>7</v>
      </c>
      <c r="AL279" t="n">
        <v>1</v>
      </c>
      <c r="AM279" t="n">
        <v>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HYPERLINK("http://catalog.hathitrust.org/Record/001842117","HathiTrust Record")</f>
        <v/>
      </c>
      <c r="AS279">
        <f>HYPERLINK("https://creighton-primo.hosted.exlibrisgroup.com/primo-explore/search?tab=default_tab&amp;search_scope=EVERYTHING&amp;vid=01CRU&amp;lang=en_US&amp;offset=0&amp;query=any,contains,991001800499702656","Catalog Record")</f>
        <v/>
      </c>
      <c r="AT279">
        <f>HYPERLINK("http://www.worldcat.org/oclc/20414325","WorldCat Record")</f>
        <v/>
      </c>
      <c r="AU279" t="inlineStr">
        <is>
          <t>967590:eng</t>
        </is>
      </c>
      <c r="AV279" t="inlineStr">
        <is>
          <t>20414325</t>
        </is>
      </c>
      <c r="AW279" t="inlineStr">
        <is>
          <t>991001800499702656</t>
        </is>
      </c>
      <c r="AX279" t="inlineStr">
        <is>
          <t>991001800499702656</t>
        </is>
      </c>
      <c r="AY279" t="inlineStr">
        <is>
          <t>2261444340002656</t>
        </is>
      </c>
      <c r="AZ279" t="inlineStr">
        <is>
          <t>BOOK</t>
        </is>
      </c>
      <c r="BB279" t="inlineStr">
        <is>
          <t>9780826162809</t>
        </is>
      </c>
      <c r="BC279" t="inlineStr">
        <is>
          <t>32285001036929</t>
        </is>
      </c>
      <c r="BD279" t="inlineStr">
        <is>
          <t>893516509</t>
        </is>
      </c>
    </row>
    <row r="280">
      <c r="A280" t="inlineStr">
        <is>
          <t>No</t>
        </is>
      </c>
      <c r="B280" t="inlineStr">
        <is>
          <t>RJ505.B5 P37 1984</t>
        </is>
      </c>
      <c r="C280" t="inlineStr">
        <is>
          <t>0                      RJ 0505000B  5                  P  37          1984</t>
        </is>
      </c>
      <c r="D280" t="inlineStr">
        <is>
          <t>Young people with problems : a guide to bibliotherapy / Jean A. Pardeck and John T. Pardeck ; foreword by Jerry G. King.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Pardeck, Jean A.</t>
        </is>
      </c>
      <c r="L280" t="inlineStr">
        <is>
          <t>Westport, Conn. : Greenwood Press, c1984.</t>
        </is>
      </c>
      <c r="M280" t="inlineStr">
        <is>
          <t>1984</t>
        </is>
      </c>
      <c r="O280" t="inlineStr">
        <is>
          <t>eng</t>
        </is>
      </c>
      <c r="P280" t="inlineStr">
        <is>
          <t>ctu</t>
        </is>
      </c>
      <c r="R280" t="inlineStr">
        <is>
          <t xml:space="preserve">RJ </t>
        </is>
      </c>
      <c r="S280" t="n">
        <v>2</v>
      </c>
      <c r="T280" t="n">
        <v>2</v>
      </c>
      <c r="U280" t="inlineStr">
        <is>
          <t>1994-02-16</t>
        </is>
      </c>
      <c r="V280" t="inlineStr">
        <is>
          <t>1994-02-16</t>
        </is>
      </c>
      <c r="W280" t="inlineStr">
        <is>
          <t>1992-05-07</t>
        </is>
      </c>
      <c r="X280" t="inlineStr">
        <is>
          <t>1992-05-07</t>
        </is>
      </c>
      <c r="Y280" t="n">
        <v>369</v>
      </c>
      <c r="Z280" t="n">
        <v>324</v>
      </c>
      <c r="AA280" t="n">
        <v>326</v>
      </c>
      <c r="AB280" t="n">
        <v>4</v>
      </c>
      <c r="AC280" t="n">
        <v>4</v>
      </c>
      <c r="AD280" t="n">
        <v>12</v>
      </c>
      <c r="AE280" t="n">
        <v>12</v>
      </c>
      <c r="AF280" t="n">
        <v>4</v>
      </c>
      <c r="AG280" t="n">
        <v>4</v>
      </c>
      <c r="AH280" t="n">
        <v>1</v>
      </c>
      <c r="AI280" t="n">
        <v>1</v>
      </c>
      <c r="AJ280" t="n">
        <v>5</v>
      </c>
      <c r="AK280" t="n">
        <v>5</v>
      </c>
      <c r="AL280" t="n">
        <v>3</v>
      </c>
      <c r="AM280" t="n">
        <v>3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HYPERLINK("http://catalog.hathitrust.org/Record/000335975","HathiTrust Record")</f>
        <v/>
      </c>
      <c r="AS280">
        <f>HYPERLINK("https://creighton-primo.hosted.exlibrisgroup.com/primo-explore/search?tab=default_tab&amp;search_scope=EVERYTHING&amp;vid=01CRU&amp;lang=en_US&amp;offset=0&amp;query=any,contains,991000298999702656","Catalog Record")</f>
        <v/>
      </c>
      <c r="AT280">
        <f>HYPERLINK("http://www.worldcat.org/oclc/10020171","WorldCat Record")</f>
        <v/>
      </c>
      <c r="AU280" t="inlineStr">
        <is>
          <t>428150501:eng</t>
        </is>
      </c>
      <c r="AV280" t="inlineStr">
        <is>
          <t>10020171</t>
        </is>
      </c>
      <c r="AW280" t="inlineStr">
        <is>
          <t>991000298999702656</t>
        </is>
      </c>
      <c r="AX280" t="inlineStr">
        <is>
          <t>991000298999702656</t>
        </is>
      </c>
      <c r="AY280" t="inlineStr">
        <is>
          <t>2265304710002656</t>
        </is>
      </c>
      <c r="AZ280" t="inlineStr">
        <is>
          <t>BOOK</t>
        </is>
      </c>
      <c r="BB280" t="inlineStr">
        <is>
          <t>9780313238369</t>
        </is>
      </c>
      <c r="BC280" t="inlineStr">
        <is>
          <t>32285001105450</t>
        </is>
      </c>
      <c r="BD280" t="inlineStr">
        <is>
          <t>893695738</t>
        </is>
      </c>
    </row>
    <row r="281">
      <c r="A281" t="inlineStr">
        <is>
          <t>No</t>
        </is>
      </c>
      <c r="B281" t="inlineStr">
        <is>
          <t>RJ505.D3 C3</t>
        </is>
      </c>
      <c r="C281" t="inlineStr">
        <is>
          <t>0                      RJ 0505000D  3                  C  3</t>
        </is>
      </c>
      <c r="D281" t="inlineStr">
        <is>
          <t>... and a time to dance / photography by Harriet Klebanoff.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Canner, Norma.</t>
        </is>
      </c>
      <c r="L281" t="inlineStr">
        <is>
          <t>Boston : Beacon Press, [1968]</t>
        </is>
      </c>
      <c r="M281" t="inlineStr">
        <is>
          <t>1968</t>
        </is>
      </c>
      <c r="O281" t="inlineStr">
        <is>
          <t>eng</t>
        </is>
      </c>
      <c r="P281" t="inlineStr">
        <is>
          <t>mau</t>
        </is>
      </c>
      <c r="R281" t="inlineStr">
        <is>
          <t xml:space="preserve">RJ </t>
        </is>
      </c>
      <c r="S281" t="n">
        <v>5</v>
      </c>
      <c r="T281" t="n">
        <v>5</v>
      </c>
      <c r="U281" t="inlineStr">
        <is>
          <t>2007-09-19</t>
        </is>
      </c>
      <c r="V281" t="inlineStr">
        <is>
          <t>2007-09-19</t>
        </is>
      </c>
      <c r="W281" t="inlineStr">
        <is>
          <t>1990-12-28</t>
        </is>
      </c>
      <c r="X281" t="inlineStr">
        <is>
          <t>1990-12-28</t>
        </is>
      </c>
      <c r="Y281" t="n">
        <v>273</v>
      </c>
      <c r="Z281" t="n">
        <v>244</v>
      </c>
      <c r="AA281" t="n">
        <v>408</v>
      </c>
      <c r="AB281" t="n">
        <v>2</v>
      </c>
      <c r="AC281" t="n">
        <v>3</v>
      </c>
      <c r="AD281" t="n">
        <v>7</v>
      </c>
      <c r="AE281" t="n">
        <v>10</v>
      </c>
      <c r="AF281" t="n">
        <v>2</v>
      </c>
      <c r="AG281" t="n">
        <v>4</v>
      </c>
      <c r="AH281" t="n">
        <v>1</v>
      </c>
      <c r="AI281" t="n">
        <v>1</v>
      </c>
      <c r="AJ281" t="n">
        <v>3</v>
      </c>
      <c r="AK281" t="n">
        <v>3</v>
      </c>
      <c r="AL281" t="n">
        <v>1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HYPERLINK("http://catalog.hathitrust.org/Record/006765809","HathiTrust Record")</f>
        <v/>
      </c>
      <c r="AS281">
        <f>HYPERLINK("https://creighton-primo.hosted.exlibrisgroup.com/primo-explore/search?tab=default_tab&amp;search_scope=EVERYTHING&amp;vid=01CRU&amp;lang=en_US&amp;offset=0&amp;query=any,contains,991001387489702656","Catalog Record")</f>
        <v/>
      </c>
      <c r="AT281">
        <f>HYPERLINK("http://www.worldcat.org/oclc/227612","WorldCat Record")</f>
        <v/>
      </c>
      <c r="AU281" t="inlineStr">
        <is>
          <t>1344363:eng</t>
        </is>
      </c>
      <c r="AV281" t="inlineStr">
        <is>
          <t>227612</t>
        </is>
      </c>
      <c r="AW281" t="inlineStr">
        <is>
          <t>991001387489702656</t>
        </is>
      </c>
      <c r="AX281" t="inlineStr">
        <is>
          <t>991001387489702656</t>
        </is>
      </c>
      <c r="AY281" t="inlineStr">
        <is>
          <t>2255825670002656</t>
        </is>
      </c>
      <c r="AZ281" t="inlineStr">
        <is>
          <t>BOOK</t>
        </is>
      </c>
      <c r="BC281" t="inlineStr">
        <is>
          <t>32285000426691</t>
        </is>
      </c>
      <c r="BD281" t="inlineStr">
        <is>
          <t>893408095</t>
        </is>
      </c>
    </row>
    <row r="282">
      <c r="A282" t="inlineStr">
        <is>
          <t>No</t>
        </is>
      </c>
      <c r="B282" t="inlineStr">
        <is>
          <t>RJ505.G47 O24</t>
        </is>
      </c>
      <c r="C282" t="inlineStr">
        <is>
          <t>0                      RJ 0505000G  47                 O  24</t>
        </is>
      </c>
      <c r="D282" t="inlineStr">
        <is>
          <t>Windows to our children : a Gestalt therapy approach to children and adolescents / Violet Oaklander. --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Oaklander, Violet.</t>
        </is>
      </c>
      <c r="L282" t="inlineStr">
        <is>
          <t>Moab, Utah : Real People Press, c1978.</t>
        </is>
      </c>
      <c r="M282" t="inlineStr">
        <is>
          <t>1978</t>
        </is>
      </c>
      <c r="O282" t="inlineStr">
        <is>
          <t>eng</t>
        </is>
      </c>
      <c r="P282" t="inlineStr">
        <is>
          <t>utu</t>
        </is>
      </c>
      <c r="R282" t="inlineStr">
        <is>
          <t xml:space="preserve">RJ </t>
        </is>
      </c>
      <c r="S282" t="n">
        <v>2</v>
      </c>
      <c r="T282" t="n">
        <v>2</v>
      </c>
      <c r="U282" t="inlineStr">
        <is>
          <t>1993-03-11</t>
        </is>
      </c>
      <c r="V282" t="inlineStr">
        <is>
          <t>1993-03-11</t>
        </is>
      </c>
      <c r="W282" t="inlineStr">
        <is>
          <t>1990-08-09</t>
        </is>
      </c>
      <c r="X282" t="inlineStr">
        <is>
          <t>1990-08-09</t>
        </is>
      </c>
      <c r="Y282" t="n">
        <v>334</v>
      </c>
      <c r="Z282" t="n">
        <v>254</v>
      </c>
      <c r="AA282" t="n">
        <v>402</v>
      </c>
      <c r="AB282" t="n">
        <v>4</v>
      </c>
      <c r="AC282" t="n">
        <v>5</v>
      </c>
      <c r="AD282" t="n">
        <v>6</v>
      </c>
      <c r="AE282" t="n">
        <v>14</v>
      </c>
      <c r="AF282" t="n">
        <v>2</v>
      </c>
      <c r="AG282" t="n">
        <v>5</v>
      </c>
      <c r="AH282" t="n">
        <v>0</v>
      </c>
      <c r="AI282" t="n">
        <v>0</v>
      </c>
      <c r="AJ282" t="n">
        <v>3</v>
      </c>
      <c r="AK282" t="n">
        <v>10</v>
      </c>
      <c r="AL282" t="n">
        <v>2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HYPERLINK("https://creighton-primo.hosted.exlibrisgroup.com/primo-explore/search?tab=default_tab&amp;search_scope=EVERYTHING&amp;vid=01CRU&amp;lang=en_US&amp;offset=0&amp;query=any,contains,991005282259702656","Catalog Record")</f>
        <v/>
      </c>
      <c r="AT282">
        <f>HYPERLINK("http://www.worldcat.org/oclc/4408708","WorldCat Record")</f>
        <v/>
      </c>
      <c r="AU282" t="inlineStr">
        <is>
          <t>907292828:eng</t>
        </is>
      </c>
      <c r="AV282" t="inlineStr">
        <is>
          <t>4408708</t>
        </is>
      </c>
      <c r="AW282" t="inlineStr">
        <is>
          <t>991005282259702656</t>
        </is>
      </c>
      <c r="AX282" t="inlineStr">
        <is>
          <t>991005282259702656</t>
        </is>
      </c>
      <c r="AY282" t="inlineStr">
        <is>
          <t>2255038230002656</t>
        </is>
      </c>
      <c r="AZ282" t="inlineStr">
        <is>
          <t>BOOK</t>
        </is>
      </c>
      <c r="BB282" t="inlineStr">
        <is>
          <t>9780911226164</t>
        </is>
      </c>
      <c r="BC282" t="inlineStr">
        <is>
          <t>32285000273036</t>
        </is>
      </c>
      <c r="BD282" t="inlineStr">
        <is>
          <t>893353815</t>
        </is>
      </c>
    </row>
    <row r="283">
      <c r="A283" t="inlineStr">
        <is>
          <t>No</t>
        </is>
      </c>
      <c r="B283" t="inlineStr">
        <is>
          <t>RJ505.G7 C37 2000</t>
        </is>
      </c>
      <c r="C283" t="inlineStr">
        <is>
          <t>0                      RJ 0505000G  7                  C  37          2000</t>
        </is>
      </c>
      <c r="D283" t="inlineStr">
        <is>
          <t>Group exercises for adolescents : a manual for therapists / Susan Carrell.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Carrell, Susan.</t>
        </is>
      </c>
      <c r="L283" t="inlineStr">
        <is>
          <t>Thousand Oaks : Sage Publications, c2000.</t>
        </is>
      </c>
      <c r="M283" t="inlineStr">
        <is>
          <t>2000</t>
        </is>
      </c>
      <c r="N283" t="inlineStr">
        <is>
          <t>2nd ed.</t>
        </is>
      </c>
      <c r="O283" t="inlineStr">
        <is>
          <t>eng</t>
        </is>
      </c>
      <c r="P283" t="inlineStr">
        <is>
          <t>cau</t>
        </is>
      </c>
      <c r="R283" t="inlineStr">
        <is>
          <t xml:space="preserve">RJ </t>
        </is>
      </c>
      <c r="S283" t="n">
        <v>5</v>
      </c>
      <c r="T283" t="n">
        <v>5</v>
      </c>
      <c r="U283" t="inlineStr">
        <is>
          <t>2010-04-27</t>
        </is>
      </c>
      <c r="V283" t="inlineStr">
        <is>
          <t>2010-04-27</t>
        </is>
      </c>
      <c r="W283" t="inlineStr">
        <is>
          <t>2000-12-14</t>
        </is>
      </c>
      <c r="X283" t="inlineStr">
        <is>
          <t>2000-12-14</t>
        </is>
      </c>
      <c r="Y283" t="n">
        <v>266</v>
      </c>
      <c r="Z283" t="n">
        <v>192</v>
      </c>
      <c r="AA283" t="n">
        <v>417</v>
      </c>
      <c r="AB283" t="n">
        <v>2</v>
      </c>
      <c r="AC283" t="n">
        <v>5</v>
      </c>
      <c r="AD283" t="n">
        <v>9</v>
      </c>
      <c r="AE283" t="n">
        <v>21</v>
      </c>
      <c r="AF283" t="n">
        <v>3</v>
      </c>
      <c r="AG283" t="n">
        <v>9</v>
      </c>
      <c r="AH283" t="n">
        <v>1</v>
      </c>
      <c r="AI283" t="n">
        <v>3</v>
      </c>
      <c r="AJ283" t="n">
        <v>6</v>
      </c>
      <c r="AK283" t="n">
        <v>11</v>
      </c>
      <c r="AL283" t="n">
        <v>1</v>
      </c>
      <c r="AM283" t="n">
        <v>4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HYPERLINK("https://creighton-primo.hosted.exlibrisgroup.com/primo-explore/search?tab=default_tab&amp;search_scope=EVERYTHING&amp;vid=01CRU&amp;lang=en_US&amp;offset=0&amp;query=any,contains,991003329989702656","Catalog Record")</f>
        <v/>
      </c>
      <c r="AT283">
        <f>HYPERLINK("http://www.worldcat.org/oclc/41961324","WorldCat Record")</f>
        <v/>
      </c>
      <c r="AU283" t="inlineStr">
        <is>
          <t>836862408:eng</t>
        </is>
      </c>
      <c r="AV283" t="inlineStr">
        <is>
          <t>41961324</t>
        </is>
      </c>
      <c r="AW283" t="inlineStr">
        <is>
          <t>991003329989702656</t>
        </is>
      </c>
      <c r="AX283" t="inlineStr">
        <is>
          <t>991003329989702656</t>
        </is>
      </c>
      <c r="AY283" t="inlineStr">
        <is>
          <t>2257187320002656</t>
        </is>
      </c>
      <c r="AZ283" t="inlineStr">
        <is>
          <t>BOOK</t>
        </is>
      </c>
      <c r="BB283" t="inlineStr">
        <is>
          <t>9780761919537</t>
        </is>
      </c>
      <c r="BC283" t="inlineStr">
        <is>
          <t>32285004277215</t>
        </is>
      </c>
      <c r="BD283" t="inlineStr">
        <is>
          <t>893336384</t>
        </is>
      </c>
    </row>
    <row r="284">
      <c r="A284" t="inlineStr">
        <is>
          <t>No</t>
        </is>
      </c>
      <c r="B284" t="inlineStr">
        <is>
          <t>RJ505.G7 G77 1985</t>
        </is>
      </c>
      <c r="C284" t="inlineStr">
        <is>
          <t>0                      RJ 0505000G  7                  G  77          1985</t>
        </is>
      </c>
      <c r="D284" t="inlineStr">
        <is>
          <t>Group therapy with children and adolescents : a treatment manual / edited by Barbara B. Siepker, Christine S. Kandaras ; with contributions from Laura H. Lewis ... [et al.]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New York, N.Y. : Human Sciences Press, 1985.</t>
        </is>
      </c>
      <c r="M284" t="inlineStr">
        <is>
          <t>1985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RJ </t>
        </is>
      </c>
      <c r="S284" t="n">
        <v>6</v>
      </c>
      <c r="T284" t="n">
        <v>6</v>
      </c>
      <c r="U284" t="inlineStr">
        <is>
          <t>1996-01-25</t>
        </is>
      </c>
      <c r="V284" t="inlineStr">
        <is>
          <t>1996-01-25</t>
        </is>
      </c>
      <c r="W284" t="inlineStr">
        <is>
          <t>1991-11-08</t>
        </is>
      </c>
      <c r="X284" t="inlineStr">
        <is>
          <t>1991-11-08</t>
        </is>
      </c>
      <c r="Y284" t="n">
        <v>333</v>
      </c>
      <c r="Z284" t="n">
        <v>287</v>
      </c>
      <c r="AA284" t="n">
        <v>289</v>
      </c>
      <c r="AB284" t="n">
        <v>3</v>
      </c>
      <c r="AC284" t="n">
        <v>3</v>
      </c>
      <c r="AD284" t="n">
        <v>7</v>
      </c>
      <c r="AE284" t="n">
        <v>7</v>
      </c>
      <c r="AF284" t="n">
        <v>0</v>
      </c>
      <c r="AG284" t="n">
        <v>0</v>
      </c>
      <c r="AH284" t="n">
        <v>1</v>
      </c>
      <c r="AI284" t="n">
        <v>1</v>
      </c>
      <c r="AJ284" t="n">
        <v>6</v>
      </c>
      <c r="AK284" t="n">
        <v>6</v>
      </c>
      <c r="AL284" t="n">
        <v>1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HYPERLINK("http://catalog.hathitrust.org/Record/000386080","HathiTrust Record")</f>
        <v/>
      </c>
      <c r="AS284">
        <f>HYPERLINK("https://creighton-primo.hosted.exlibrisgroup.com/primo-explore/search?tab=default_tab&amp;search_scope=EVERYTHING&amp;vid=01CRU&amp;lang=en_US&amp;offset=0&amp;query=any,contains,991000545409702656","Catalog Record")</f>
        <v/>
      </c>
      <c r="AT284">
        <f>HYPERLINK("http://www.worldcat.org/oclc/11495584","WorldCat Record")</f>
        <v/>
      </c>
      <c r="AU284" t="inlineStr">
        <is>
          <t>355389643:eng</t>
        </is>
      </c>
      <c r="AV284" t="inlineStr">
        <is>
          <t>11495584</t>
        </is>
      </c>
      <c r="AW284" t="inlineStr">
        <is>
          <t>991000545409702656</t>
        </is>
      </c>
      <c r="AX284" t="inlineStr">
        <is>
          <t>991000545409702656</t>
        </is>
      </c>
      <c r="AY284" t="inlineStr">
        <is>
          <t>2270580470002656</t>
        </is>
      </c>
      <c r="AZ284" t="inlineStr">
        <is>
          <t>BOOK</t>
        </is>
      </c>
      <c r="BB284" t="inlineStr">
        <is>
          <t>9780898852424</t>
        </is>
      </c>
      <c r="BC284" t="inlineStr">
        <is>
          <t>32285000821065</t>
        </is>
      </c>
      <c r="BD284" t="inlineStr">
        <is>
          <t>893521776</t>
        </is>
      </c>
    </row>
    <row r="285">
      <c r="A285" t="inlineStr">
        <is>
          <t>No</t>
        </is>
      </c>
      <c r="B285" t="inlineStr">
        <is>
          <t>RJ505.G7 O76 1996</t>
        </is>
      </c>
      <c r="C285" t="inlineStr">
        <is>
          <t>0                      RJ 0505000G  7                  O  76          1996</t>
        </is>
      </c>
      <c r="D285" t="inlineStr">
        <is>
          <t>Support groups for children / Kathleen O'Rourke, John C. Worzbyt.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O'Rourke, Kathleen, 1941-</t>
        </is>
      </c>
      <c r="L285" t="inlineStr">
        <is>
          <t>Washington, DC : Accelerated Development, c1996.</t>
        </is>
      </c>
      <c r="M285" t="inlineStr">
        <is>
          <t>1996</t>
        </is>
      </c>
      <c r="O285" t="inlineStr">
        <is>
          <t>eng</t>
        </is>
      </c>
      <c r="P285" t="inlineStr">
        <is>
          <t>dcu</t>
        </is>
      </c>
      <c r="R285" t="inlineStr">
        <is>
          <t xml:space="preserve">RJ </t>
        </is>
      </c>
      <c r="S285" t="n">
        <v>3</v>
      </c>
      <c r="T285" t="n">
        <v>3</v>
      </c>
      <c r="U285" t="inlineStr">
        <is>
          <t>2010-04-27</t>
        </is>
      </c>
      <c r="V285" t="inlineStr">
        <is>
          <t>2010-04-27</t>
        </is>
      </c>
      <c r="W285" t="inlineStr">
        <is>
          <t>2001-01-10</t>
        </is>
      </c>
      <c r="X285" t="inlineStr">
        <is>
          <t>2001-01-10</t>
        </is>
      </c>
      <c r="Y285" t="n">
        <v>222</v>
      </c>
      <c r="Z285" t="n">
        <v>185</v>
      </c>
      <c r="AA285" t="n">
        <v>210</v>
      </c>
      <c r="AB285" t="n">
        <v>4</v>
      </c>
      <c r="AC285" t="n">
        <v>4</v>
      </c>
      <c r="AD285" t="n">
        <v>12</v>
      </c>
      <c r="AE285" t="n">
        <v>12</v>
      </c>
      <c r="AF285" t="n">
        <v>4</v>
      </c>
      <c r="AG285" t="n">
        <v>4</v>
      </c>
      <c r="AH285" t="n">
        <v>1</v>
      </c>
      <c r="AI285" t="n">
        <v>1</v>
      </c>
      <c r="AJ285" t="n">
        <v>7</v>
      </c>
      <c r="AK285" t="n">
        <v>7</v>
      </c>
      <c r="AL285" t="n">
        <v>3</v>
      </c>
      <c r="AM285" t="n">
        <v>3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HYPERLINK("https://creighton-primo.hosted.exlibrisgroup.com/primo-explore/search?tab=default_tab&amp;search_scope=EVERYTHING&amp;vid=01CRU&amp;lang=en_US&amp;offset=0&amp;query=any,contains,991003330189702656","Catalog Record")</f>
        <v/>
      </c>
      <c r="AT285">
        <f>HYPERLINK("http://www.worldcat.org/oclc/34281405","WorldCat Record")</f>
        <v/>
      </c>
      <c r="AU285" t="inlineStr">
        <is>
          <t>936834:eng</t>
        </is>
      </c>
      <c r="AV285" t="inlineStr">
        <is>
          <t>34281405</t>
        </is>
      </c>
      <c r="AW285" t="inlineStr">
        <is>
          <t>991003330189702656</t>
        </is>
      </c>
      <c r="AX285" t="inlineStr">
        <is>
          <t>991003330189702656</t>
        </is>
      </c>
      <c r="AY285" t="inlineStr">
        <is>
          <t>2259042420002656</t>
        </is>
      </c>
      <c r="AZ285" t="inlineStr">
        <is>
          <t>BOOK</t>
        </is>
      </c>
      <c r="BB285" t="inlineStr">
        <is>
          <t>9781560323952</t>
        </is>
      </c>
      <c r="BC285" t="inlineStr">
        <is>
          <t>32285004282165</t>
        </is>
      </c>
      <c r="BD285" t="inlineStr">
        <is>
          <t>893617239</t>
        </is>
      </c>
    </row>
    <row r="286">
      <c r="A286" t="inlineStr">
        <is>
          <t>No</t>
        </is>
      </c>
      <c r="B286" t="inlineStr">
        <is>
          <t>RJ505.M48 M55 1986</t>
        </is>
      </c>
      <c r="C286" t="inlineStr">
        <is>
          <t>0                      RJ 0505000M  48                 M  55          1986</t>
        </is>
      </c>
      <c r="D286" t="inlineStr">
        <is>
          <t>Therapeutic metaphors for children and the child within / by Joyce C. Mills &amp; Richard J. Crowley ; in collaboration with Margaret O. Ryan.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Mills, Joyce C., 1944-</t>
        </is>
      </c>
      <c r="L286" t="inlineStr">
        <is>
          <t>New York : Brunner/Mazel, c1986.</t>
        </is>
      </c>
      <c r="M286" t="inlineStr">
        <is>
          <t>1986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RJ </t>
        </is>
      </c>
      <c r="S286" t="n">
        <v>3</v>
      </c>
      <c r="T286" t="n">
        <v>3</v>
      </c>
      <c r="U286" t="inlineStr">
        <is>
          <t>1995-07-21</t>
        </is>
      </c>
      <c r="V286" t="inlineStr">
        <is>
          <t>1995-07-21</t>
        </is>
      </c>
      <c r="W286" t="inlineStr">
        <is>
          <t>1992-04-20</t>
        </is>
      </c>
      <c r="X286" t="inlineStr">
        <is>
          <t>1992-04-20</t>
        </is>
      </c>
      <c r="Y286" t="n">
        <v>432</v>
      </c>
      <c r="Z286" t="n">
        <v>372</v>
      </c>
      <c r="AA286" t="n">
        <v>416</v>
      </c>
      <c r="AB286" t="n">
        <v>3</v>
      </c>
      <c r="AC286" t="n">
        <v>3</v>
      </c>
      <c r="AD286" t="n">
        <v>18</v>
      </c>
      <c r="AE286" t="n">
        <v>20</v>
      </c>
      <c r="AF286" t="n">
        <v>6</v>
      </c>
      <c r="AG286" t="n">
        <v>8</v>
      </c>
      <c r="AH286" t="n">
        <v>3</v>
      </c>
      <c r="AI286" t="n">
        <v>3</v>
      </c>
      <c r="AJ286" t="n">
        <v>11</v>
      </c>
      <c r="AK286" t="n">
        <v>12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HYPERLINK("https://creighton-primo.hosted.exlibrisgroup.com/primo-explore/search?tab=default_tab&amp;search_scope=EVERYTHING&amp;vid=01CRU&amp;lang=en_US&amp;offset=0&amp;query=any,contains,991000842929702656","Catalog Record")</f>
        <v/>
      </c>
      <c r="AT286">
        <f>HYPERLINK("http://www.worldcat.org/oclc/13526635","WorldCat Record")</f>
        <v/>
      </c>
      <c r="AU286" t="inlineStr">
        <is>
          <t>7393798:eng</t>
        </is>
      </c>
      <c r="AV286" t="inlineStr">
        <is>
          <t>13526635</t>
        </is>
      </c>
      <c r="AW286" t="inlineStr">
        <is>
          <t>991000842929702656</t>
        </is>
      </c>
      <c r="AX286" t="inlineStr">
        <is>
          <t>991000842929702656</t>
        </is>
      </c>
      <c r="AY286" t="inlineStr">
        <is>
          <t>2261066420002656</t>
        </is>
      </c>
      <c r="AZ286" t="inlineStr">
        <is>
          <t>BOOK</t>
        </is>
      </c>
      <c r="BB286" t="inlineStr">
        <is>
          <t>9780876304297</t>
        </is>
      </c>
      <c r="BC286" t="inlineStr">
        <is>
          <t>32285001044378</t>
        </is>
      </c>
      <c r="BD286" t="inlineStr">
        <is>
          <t>893614536</t>
        </is>
      </c>
    </row>
    <row r="287">
      <c r="A287" t="inlineStr">
        <is>
          <t>No</t>
        </is>
      </c>
      <c r="B287" t="inlineStr">
        <is>
          <t>RJ505.M54 E26</t>
        </is>
      </c>
      <c r="C287" t="inlineStr">
        <is>
          <t>0                      RJ 0505000M  54                 E  26</t>
        </is>
      </c>
      <c r="D287" t="inlineStr">
        <is>
          <t>The Ecosystem of the "sick" child : implications for classification and intervention for disturbed and mentally retarded children / edited by Suzanne Salzinger, John Antrobus, Joseph Glick.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L287" t="inlineStr">
        <is>
          <t>New York : Academic Press, 1980.</t>
        </is>
      </c>
      <c r="M287" t="inlineStr">
        <is>
          <t>1980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RJ </t>
        </is>
      </c>
      <c r="S287" t="n">
        <v>7</v>
      </c>
      <c r="T287" t="n">
        <v>7</v>
      </c>
      <c r="U287" t="inlineStr">
        <is>
          <t>1995-09-25</t>
        </is>
      </c>
      <c r="V287" t="inlineStr">
        <is>
          <t>1995-09-25</t>
        </is>
      </c>
      <c r="W287" t="inlineStr">
        <is>
          <t>1992-04-15</t>
        </is>
      </c>
      <c r="X287" t="inlineStr">
        <is>
          <t>1992-04-15</t>
        </is>
      </c>
      <c r="Y287" t="n">
        <v>268</v>
      </c>
      <c r="Z287" t="n">
        <v>199</v>
      </c>
      <c r="AA287" t="n">
        <v>206</v>
      </c>
      <c r="AB287" t="n">
        <v>4</v>
      </c>
      <c r="AC287" t="n">
        <v>4</v>
      </c>
      <c r="AD287" t="n">
        <v>9</v>
      </c>
      <c r="AE287" t="n">
        <v>9</v>
      </c>
      <c r="AF287" t="n">
        <v>1</v>
      </c>
      <c r="AG287" t="n">
        <v>1</v>
      </c>
      <c r="AH287" t="n">
        <v>3</v>
      </c>
      <c r="AI287" t="n">
        <v>3</v>
      </c>
      <c r="AJ287" t="n">
        <v>5</v>
      </c>
      <c r="AK287" t="n">
        <v>5</v>
      </c>
      <c r="AL287" t="n">
        <v>2</v>
      </c>
      <c r="AM287" t="n">
        <v>2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HYPERLINK("http://catalog.hathitrust.org/Record/000185953","HathiTrust Record")</f>
        <v/>
      </c>
      <c r="AS287">
        <f>HYPERLINK("https://creighton-primo.hosted.exlibrisgroup.com/primo-explore/search?tab=default_tab&amp;search_scope=EVERYTHING&amp;vid=01CRU&amp;lang=en_US&amp;offset=0&amp;query=any,contains,991005048119702656","Catalog Record")</f>
        <v/>
      </c>
      <c r="AT287">
        <f>HYPERLINK("http://www.worldcat.org/oclc/6861724","WorldCat Record")</f>
        <v/>
      </c>
      <c r="AU287" t="inlineStr">
        <is>
          <t>934298135:eng</t>
        </is>
      </c>
      <c r="AV287" t="inlineStr">
        <is>
          <t>6861724</t>
        </is>
      </c>
      <c r="AW287" t="inlineStr">
        <is>
          <t>991005048119702656</t>
        </is>
      </c>
      <c r="AX287" t="inlineStr">
        <is>
          <t>991005048119702656</t>
        </is>
      </c>
      <c r="AY287" t="inlineStr">
        <is>
          <t>2271122000002656</t>
        </is>
      </c>
      <c r="AZ287" t="inlineStr">
        <is>
          <t>BOOK</t>
        </is>
      </c>
      <c r="BB287" t="inlineStr">
        <is>
          <t>9780126172508</t>
        </is>
      </c>
      <c r="BC287" t="inlineStr">
        <is>
          <t>32285001060556</t>
        </is>
      </c>
      <c r="BD287" t="inlineStr">
        <is>
          <t>893319941</t>
        </is>
      </c>
    </row>
    <row r="288">
      <c r="A288" t="inlineStr">
        <is>
          <t>No</t>
        </is>
      </c>
      <c r="B288" t="inlineStr">
        <is>
          <t>RJ505.M54 M3 1977</t>
        </is>
      </c>
      <c r="C288" t="inlineStr">
        <is>
          <t>0                      RJ 0505000M  54                 M  3           1977</t>
        </is>
      </c>
      <c r="D288" t="inlineStr">
        <is>
          <t>Lovey, a very special child / Mary MacCracken.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MacCracken, Mary.</t>
        </is>
      </c>
      <c r="L288" t="inlineStr">
        <is>
          <t>New York : New American Library, 1977, c1976.</t>
        </is>
      </c>
      <c r="M288" t="inlineStr">
        <is>
          <t>1977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RJ </t>
        </is>
      </c>
      <c r="S288" t="n">
        <v>4</v>
      </c>
      <c r="T288" t="n">
        <v>4</v>
      </c>
      <c r="U288" t="inlineStr">
        <is>
          <t>1995-10-10</t>
        </is>
      </c>
      <c r="V288" t="inlineStr">
        <is>
          <t>1995-10-10</t>
        </is>
      </c>
      <c r="W288" t="inlineStr">
        <is>
          <t>1993-02-09</t>
        </is>
      </c>
      <c r="X288" t="inlineStr">
        <is>
          <t>1993-02-09</t>
        </is>
      </c>
      <c r="Y288" t="n">
        <v>196</v>
      </c>
      <c r="Z288" t="n">
        <v>182</v>
      </c>
      <c r="AA288" t="n">
        <v>1185</v>
      </c>
      <c r="AB288" t="n">
        <v>3</v>
      </c>
      <c r="AC288" t="n">
        <v>15</v>
      </c>
      <c r="AD288" t="n">
        <v>1</v>
      </c>
      <c r="AE288" t="n">
        <v>15</v>
      </c>
      <c r="AF288" t="n">
        <v>1</v>
      </c>
      <c r="AG288" t="n">
        <v>5</v>
      </c>
      <c r="AH288" t="n">
        <v>0</v>
      </c>
      <c r="AI288" t="n">
        <v>3</v>
      </c>
      <c r="AJ288" t="n">
        <v>0</v>
      </c>
      <c r="AK288" t="n">
        <v>5</v>
      </c>
      <c r="AL288" t="n">
        <v>0</v>
      </c>
      <c r="AM288" t="n">
        <v>5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HYPERLINK("http://catalog.hathitrust.org/Record/012276315","HathiTrust Record")</f>
        <v/>
      </c>
      <c r="AS288">
        <f>HYPERLINK("https://creighton-primo.hosted.exlibrisgroup.com/primo-explore/search?tab=default_tab&amp;search_scope=EVERYTHING&amp;vid=01CRU&amp;lang=en_US&amp;offset=0&amp;query=any,contains,991000600019702656","Catalog Record")</f>
        <v/>
      </c>
      <c r="AT288">
        <f>HYPERLINK("http://www.worldcat.org/oclc/11839790","WorldCat Record")</f>
        <v/>
      </c>
      <c r="AU288" t="inlineStr">
        <is>
          <t>470148:eng</t>
        </is>
      </c>
      <c r="AV288" t="inlineStr">
        <is>
          <t>11839790</t>
        </is>
      </c>
      <c r="AW288" t="inlineStr">
        <is>
          <t>991000600019702656</t>
        </is>
      </c>
      <c r="AX288" t="inlineStr">
        <is>
          <t>991000600019702656</t>
        </is>
      </c>
      <c r="AY288" t="inlineStr">
        <is>
          <t>2269534980002656</t>
        </is>
      </c>
      <c r="AZ288" t="inlineStr">
        <is>
          <t>BOOK</t>
        </is>
      </c>
      <c r="BB288" t="inlineStr">
        <is>
          <t>9780451133649</t>
        </is>
      </c>
      <c r="BC288" t="inlineStr">
        <is>
          <t>32285001495877</t>
        </is>
      </c>
      <c r="BD288" t="inlineStr">
        <is>
          <t>893249497</t>
        </is>
      </c>
    </row>
    <row r="289">
      <c r="A289" t="inlineStr">
        <is>
          <t>No</t>
        </is>
      </c>
      <c r="B289" t="inlineStr">
        <is>
          <t>RJ505.P37 T74 1998</t>
        </is>
      </c>
      <c r="C289" t="inlineStr">
        <is>
          <t>0                      RJ 0505000P  37                 T  74          1998</t>
        </is>
      </c>
      <c r="D289" t="inlineStr">
        <is>
          <t>Treating children with sexually abusive behavior problems : guidelines for child and parent intervention / Jan Ellen Burton ... [et al.] ; David H. Justice, contributor.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L289" t="inlineStr">
        <is>
          <t>New York : Haworth Maltreatment and Trauma Press, c1998.</t>
        </is>
      </c>
      <c r="M289" t="inlineStr">
        <is>
          <t>1998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RJ </t>
        </is>
      </c>
      <c r="S289" t="n">
        <v>3</v>
      </c>
      <c r="T289" t="n">
        <v>3</v>
      </c>
      <c r="U289" t="inlineStr">
        <is>
          <t>2000-02-01</t>
        </is>
      </c>
      <c r="V289" t="inlineStr">
        <is>
          <t>2000-02-01</t>
        </is>
      </c>
      <c r="W289" t="inlineStr">
        <is>
          <t>1999-11-01</t>
        </is>
      </c>
      <c r="X289" t="inlineStr">
        <is>
          <t>1999-11-01</t>
        </is>
      </c>
      <c r="Y289" t="n">
        <v>327</v>
      </c>
      <c r="Z289" t="n">
        <v>287</v>
      </c>
      <c r="AA289" t="n">
        <v>306</v>
      </c>
      <c r="AB289" t="n">
        <v>2</v>
      </c>
      <c r="AC289" t="n">
        <v>2</v>
      </c>
      <c r="AD289" t="n">
        <v>17</v>
      </c>
      <c r="AE289" t="n">
        <v>17</v>
      </c>
      <c r="AF289" t="n">
        <v>8</v>
      </c>
      <c r="AG289" t="n">
        <v>8</v>
      </c>
      <c r="AH289" t="n">
        <v>5</v>
      </c>
      <c r="AI289" t="n">
        <v>5</v>
      </c>
      <c r="AJ289" t="n">
        <v>9</v>
      </c>
      <c r="AK289" t="n">
        <v>9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HYPERLINK("https://creighton-primo.hosted.exlibrisgroup.com/primo-explore/search?tab=default_tab&amp;search_scope=EVERYTHING&amp;vid=01CRU&amp;lang=en_US&amp;offset=0&amp;query=any,contains,991002916759702656","Catalog Record")</f>
        <v/>
      </c>
      <c r="AT289">
        <f>HYPERLINK("http://www.worldcat.org/oclc/38566254","WorldCat Record")</f>
        <v/>
      </c>
      <c r="AU289" t="inlineStr">
        <is>
          <t>373955524:eng</t>
        </is>
      </c>
      <c r="AV289" t="inlineStr">
        <is>
          <t>38566254</t>
        </is>
      </c>
      <c r="AW289" t="inlineStr">
        <is>
          <t>991002916759702656</t>
        </is>
      </c>
      <c r="AX289" t="inlineStr">
        <is>
          <t>991002916759702656</t>
        </is>
      </c>
      <c r="AY289" t="inlineStr">
        <is>
          <t>2260929600002656</t>
        </is>
      </c>
      <c r="AZ289" t="inlineStr">
        <is>
          <t>BOOK</t>
        </is>
      </c>
      <c r="BB289" t="inlineStr">
        <is>
          <t>9780789004727</t>
        </is>
      </c>
      <c r="BC289" t="inlineStr">
        <is>
          <t>32285003616033</t>
        </is>
      </c>
      <c r="BD289" t="inlineStr">
        <is>
          <t>893616757</t>
        </is>
      </c>
    </row>
    <row r="290">
      <c r="A290" t="inlineStr">
        <is>
          <t>No</t>
        </is>
      </c>
      <c r="B290" t="inlineStr">
        <is>
          <t>RJ505.P6 B37 1996</t>
        </is>
      </c>
      <c r="C290" t="inlineStr">
        <is>
          <t>0                      RJ 0505000P  6                  B  37          1996</t>
        </is>
      </c>
      <c r="D290" t="inlineStr">
        <is>
          <t>The healing path with children : an exploration for parents and professionals / by Mark Barnes.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Barnes, Mark A.</t>
        </is>
      </c>
      <c r="L290" t="inlineStr">
        <is>
          <t>Ontario, Canada ; Clayton, NY : Viktoria, Fermoyle &amp; Berrigan Pub. House, c1996.</t>
        </is>
      </c>
      <c r="M290" t="inlineStr">
        <is>
          <t>1996</t>
        </is>
      </c>
      <c r="O290" t="inlineStr">
        <is>
          <t>eng</t>
        </is>
      </c>
      <c r="P290" t="inlineStr">
        <is>
          <t>onc</t>
        </is>
      </c>
      <c r="R290" t="inlineStr">
        <is>
          <t xml:space="preserve">RJ </t>
        </is>
      </c>
      <c r="S290" t="n">
        <v>15</v>
      </c>
      <c r="T290" t="n">
        <v>15</v>
      </c>
      <c r="U290" t="inlineStr">
        <is>
          <t>2009-08-31</t>
        </is>
      </c>
      <c r="V290" t="inlineStr">
        <is>
          <t>2009-08-31</t>
        </is>
      </c>
      <c r="W290" t="inlineStr">
        <is>
          <t>1997-08-11</t>
        </is>
      </c>
      <c r="X290" t="inlineStr">
        <is>
          <t>1997-08-11</t>
        </is>
      </c>
      <c r="Y290" t="n">
        <v>42</v>
      </c>
      <c r="Z290" t="n">
        <v>18</v>
      </c>
      <c r="AA290" t="n">
        <v>19</v>
      </c>
      <c r="AB290" t="n">
        <v>1</v>
      </c>
      <c r="AC290" t="n">
        <v>1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HYPERLINK("http://catalog.hathitrust.org/Record/008386092","HathiTrust Record")</f>
        <v/>
      </c>
      <c r="AS290">
        <f>HYPERLINK("https://creighton-primo.hosted.exlibrisgroup.com/primo-explore/search?tab=default_tab&amp;search_scope=EVERYTHING&amp;vid=01CRU&amp;lang=en_US&amp;offset=0&amp;query=any,contains,991002755269702656","Catalog Record")</f>
        <v/>
      </c>
      <c r="AT290">
        <f>HYPERLINK("http://www.worldcat.org/oclc/36138231","WorldCat Record")</f>
        <v/>
      </c>
      <c r="AU290" t="inlineStr">
        <is>
          <t>436480170:eng</t>
        </is>
      </c>
      <c r="AV290" t="inlineStr">
        <is>
          <t>36138231</t>
        </is>
      </c>
      <c r="AW290" t="inlineStr">
        <is>
          <t>991002755269702656</t>
        </is>
      </c>
      <c r="AX290" t="inlineStr">
        <is>
          <t>991002755269702656</t>
        </is>
      </c>
      <c r="AY290" t="inlineStr">
        <is>
          <t>2260648690002656</t>
        </is>
      </c>
      <c r="AZ290" t="inlineStr">
        <is>
          <t>BOOK</t>
        </is>
      </c>
      <c r="BB290" t="inlineStr">
        <is>
          <t>9781896702001</t>
        </is>
      </c>
      <c r="BC290" t="inlineStr">
        <is>
          <t>32285003000964</t>
        </is>
      </c>
      <c r="BD290" t="inlineStr">
        <is>
          <t>893504783</t>
        </is>
      </c>
    </row>
    <row r="291">
      <c r="A291" t="inlineStr">
        <is>
          <t>No</t>
        </is>
      </c>
      <c r="B291" t="inlineStr">
        <is>
          <t>RJ505.P6 G36 1986</t>
        </is>
      </c>
      <c r="C291" t="inlineStr">
        <is>
          <t>0                      RJ 0505000P  6                  G  36          1986</t>
        </is>
      </c>
      <c r="D291" t="inlineStr">
        <is>
          <t>Game play : therapeutic use of childhood games / edited by Charles E. Schaefer, Steven E. Reid.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New York : Wiley, c1986.</t>
        </is>
      </c>
      <c r="M291" t="inlineStr">
        <is>
          <t>1986</t>
        </is>
      </c>
      <c r="O291" t="inlineStr">
        <is>
          <t>eng</t>
        </is>
      </c>
      <c r="P291" t="inlineStr">
        <is>
          <t>nyu</t>
        </is>
      </c>
      <c r="Q291" t="inlineStr">
        <is>
          <t>Wiley series on personality processes</t>
        </is>
      </c>
      <c r="R291" t="inlineStr">
        <is>
          <t xml:space="preserve">RJ </t>
        </is>
      </c>
      <c r="S291" t="n">
        <v>8</v>
      </c>
      <c r="T291" t="n">
        <v>8</v>
      </c>
      <c r="U291" t="inlineStr">
        <is>
          <t>2000-03-10</t>
        </is>
      </c>
      <c r="V291" t="inlineStr">
        <is>
          <t>2000-03-10</t>
        </is>
      </c>
      <c r="W291" t="inlineStr">
        <is>
          <t>1993-04-15</t>
        </is>
      </c>
      <c r="X291" t="inlineStr">
        <is>
          <t>1993-04-15</t>
        </is>
      </c>
      <c r="Y291" t="n">
        <v>762</v>
      </c>
      <c r="Z291" t="n">
        <v>650</v>
      </c>
      <c r="AA291" t="n">
        <v>1337</v>
      </c>
      <c r="AB291" t="n">
        <v>5</v>
      </c>
      <c r="AC291" t="n">
        <v>8</v>
      </c>
      <c r="AD291" t="n">
        <v>26</v>
      </c>
      <c r="AE291" t="n">
        <v>37</v>
      </c>
      <c r="AF291" t="n">
        <v>10</v>
      </c>
      <c r="AG291" t="n">
        <v>18</v>
      </c>
      <c r="AH291" t="n">
        <v>6</v>
      </c>
      <c r="AI291" t="n">
        <v>7</v>
      </c>
      <c r="AJ291" t="n">
        <v>12</v>
      </c>
      <c r="AK291" t="n">
        <v>16</v>
      </c>
      <c r="AL291" t="n">
        <v>4</v>
      </c>
      <c r="AM291" t="n">
        <v>6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HYPERLINK("http://catalog.hathitrust.org/Record/000472206","HathiTrust Record")</f>
        <v/>
      </c>
      <c r="AS291">
        <f>HYPERLINK("https://creighton-primo.hosted.exlibrisgroup.com/primo-explore/search?tab=default_tab&amp;search_scope=EVERYTHING&amp;vid=01CRU&amp;lang=en_US&amp;offset=0&amp;query=any,contains,991000733019702656","Catalog Record")</f>
        <v/>
      </c>
      <c r="AT291">
        <f>HYPERLINK("http://www.worldcat.org/oclc/12750353","WorldCat Record")</f>
        <v/>
      </c>
      <c r="AU291" t="inlineStr">
        <is>
          <t>864915044:eng</t>
        </is>
      </c>
      <c r="AV291" t="inlineStr">
        <is>
          <t>12750353</t>
        </is>
      </c>
      <c r="AW291" t="inlineStr">
        <is>
          <t>991000733019702656</t>
        </is>
      </c>
      <c r="AX291" t="inlineStr">
        <is>
          <t>991000733019702656</t>
        </is>
      </c>
      <c r="AY291" t="inlineStr">
        <is>
          <t>2270509520002656</t>
        </is>
      </c>
      <c r="AZ291" t="inlineStr">
        <is>
          <t>BOOK</t>
        </is>
      </c>
      <c r="BB291" t="inlineStr">
        <is>
          <t>9780471819721</t>
        </is>
      </c>
      <c r="BC291" t="inlineStr">
        <is>
          <t>32285001620524</t>
        </is>
      </c>
      <c r="BD291" t="inlineStr">
        <is>
          <t>893521953</t>
        </is>
      </c>
    </row>
    <row r="292">
      <c r="A292" t="inlineStr">
        <is>
          <t>No</t>
        </is>
      </c>
      <c r="B292" t="inlineStr">
        <is>
          <t>RJ505.P6 H36 1983</t>
        </is>
      </c>
      <c r="C292" t="inlineStr">
        <is>
          <t>0                      RJ 0505000P  6                  H  36          1983</t>
        </is>
      </c>
      <c r="D292" t="inlineStr">
        <is>
          <t>Handbook of play therapy / edited by Charles E. Schaefer and Kevin J. O'Connor.</t>
        </is>
      </c>
      <c r="F292" t="inlineStr">
        <is>
          <t>No</t>
        </is>
      </c>
      <c r="G292" t="inlineStr">
        <is>
          <t>1</t>
        </is>
      </c>
      <c r="H292" t="inlineStr">
        <is>
          <t>Yes</t>
        </is>
      </c>
      <c r="I292" t="inlineStr">
        <is>
          <t>No</t>
        </is>
      </c>
      <c r="J292" t="inlineStr">
        <is>
          <t>0</t>
        </is>
      </c>
      <c r="L292" t="inlineStr">
        <is>
          <t>New York : Wiley, c1983.</t>
        </is>
      </c>
      <c r="M292" t="inlineStr">
        <is>
          <t>1983</t>
        </is>
      </c>
      <c r="O292" t="inlineStr">
        <is>
          <t>eng</t>
        </is>
      </c>
      <c r="P292" t="inlineStr">
        <is>
          <t>nyu</t>
        </is>
      </c>
      <c r="Q292" t="inlineStr">
        <is>
          <t>Wiley series on personality processes, 0195-4008</t>
        </is>
      </c>
      <c r="R292" t="inlineStr">
        <is>
          <t xml:space="preserve">RJ </t>
        </is>
      </c>
      <c r="S292" t="n">
        <v>15</v>
      </c>
      <c r="T292" t="n">
        <v>28</v>
      </c>
      <c r="U292" t="inlineStr">
        <is>
          <t>2001-11-26</t>
        </is>
      </c>
      <c r="V292" t="inlineStr">
        <is>
          <t>2007-01-24</t>
        </is>
      </c>
      <c r="W292" t="inlineStr">
        <is>
          <t>1991-10-28</t>
        </is>
      </c>
      <c r="X292" t="inlineStr">
        <is>
          <t>1991-10-28</t>
        </is>
      </c>
      <c r="Y292" t="n">
        <v>823</v>
      </c>
      <c r="Z292" t="n">
        <v>708</v>
      </c>
      <c r="AA292" t="n">
        <v>1088</v>
      </c>
      <c r="AB292" t="n">
        <v>6</v>
      </c>
      <c r="AC292" t="n">
        <v>10</v>
      </c>
      <c r="AD292" t="n">
        <v>30</v>
      </c>
      <c r="AE292" t="n">
        <v>49</v>
      </c>
      <c r="AF292" t="n">
        <v>12</v>
      </c>
      <c r="AG292" t="n">
        <v>21</v>
      </c>
      <c r="AH292" t="n">
        <v>7</v>
      </c>
      <c r="AI292" t="n">
        <v>10</v>
      </c>
      <c r="AJ292" t="n">
        <v>15</v>
      </c>
      <c r="AK292" t="n">
        <v>21</v>
      </c>
      <c r="AL292" t="n">
        <v>4</v>
      </c>
      <c r="AM292" t="n">
        <v>8</v>
      </c>
      <c r="AN292" t="n">
        <v>0</v>
      </c>
      <c r="AO292" t="n">
        <v>1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HYPERLINK("http://catalog.hathitrust.org/Record/000475336","HathiTrust Record")</f>
        <v/>
      </c>
      <c r="AS292">
        <f>HYPERLINK("https://creighton-primo.hosted.exlibrisgroup.com/primo-explore/search?tab=default_tab&amp;search_scope=EVERYTHING&amp;vid=01CRU&amp;lang=en_US&amp;offset=0&amp;query=any,contains,991001772449702656","Catalog Record")</f>
        <v/>
      </c>
      <c r="AT292">
        <f>HYPERLINK("http://www.worldcat.org/oclc/9066768","WorldCat Record")</f>
        <v/>
      </c>
      <c r="AU292" t="inlineStr">
        <is>
          <t>349931010:eng</t>
        </is>
      </c>
      <c r="AV292" t="inlineStr">
        <is>
          <t>9066768</t>
        </is>
      </c>
      <c r="AW292" t="inlineStr">
        <is>
          <t>991001772449702656</t>
        </is>
      </c>
      <c r="AX292" t="inlineStr">
        <is>
          <t>991001772449702656</t>
        </is>
      </c>
      <c r="AY292" t="inlineStr">
        <is>
          <t>2269846610002656</t>
        </is>
      </c>
      <c r="AZ292" t="inlineStr">
        <is>
          <t>BOOK</t>
        </is>
      </c>
      <c r="BB292" t="inlineStr">
        <is>
          <t>9780471094623</t>
        </is>
      </c>
      <c r="BC292" t="inlineStr">
        <is>
          <t>32285000802131</t>
        </is>
      </c>
      <c r="BD292" t="inlineStr">
        <is>
          <t>893250485</t>
        </is>
      </c>
    </row>
    <row r="293">
      <c r="A293" t="inlineStr">
        <is>
          <t>No</t>
        </is>
      </c>
      <c r="B293" t="inlineStr">
        <is>
          <t>RJ505.P6 M68 1973</t>
        </is>
      </c>
      <c r="C293" t="inlineStr">
        <is>
          <t>0                      RJ 0505000P  6                  M  68          1973</t>
        </is>
      </c>
      <c r="D293" t="inlineStr">
        <is>
          <t>Children in play therapy / [by] Clark Moustakas.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Moustakas, Clark E.</t>
        </is>
      </c>
      <c r="L293" t="inlineStr">
        <is>
          <t>[New York] : J. Aronson, [1973]</t>
        </is>
      </c>
      <c r="M293" t="inlineStr">
        <is>
          <t>1973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RJ </t>
        </is>
      </c>
      <c r="S293" t="n">
        <v>14</v>
      </c>
      <c r="T293" t="n">
        <v>14</v>
      </c>
      <c r="U293" t="inlineStr">
        <is>
          <t>2001-03-12</t>
        </is>
      </c>
      <c r="V293" t="inlineStr">
        <is>
          <t>2001-03-12</t>
        </is>
      </c>
      <c r="W293" t="inlineStr">
        <is>
          <t>1992-03-11</t>
        </is>
      </c>
      <c r="X293" t="inlineStr">
        <is>
          <t>1992-03-11</t>
        </is>
      </c>
      <c r="Y293" t="n">
        <v>316</v>
      </c>
      <c r="Z293" t="n">
        <v>270</v>
      </c>
      <c r="AA293" t="n">
        <v>334</v>
      </c>
      <c r="AB293" t="n">
        <v>1</v>
      </c>
      <c r="AC293" t="n">
        <v>2</v>
      </c>
      <c r="AD293" t="n">
        <v>6</v>
      </c>
      <c r="AE293" t="n">
        <v>11</v>
      </c>
      <c r="AF293" t="n">
        <v>1</v>
      </c>
      <c r="AG293" t="n">
        <v>4</v>
      </c>
      <c r="AH293" t="n">
        <v>3</v>
      </c>
      <c r="AI293" t="n">
        <v>4</v>
      </c>
      <c r="AJ293" t="n">
        <v>2</v>
      </c>
      <c r="AK293" t="n">
        <v>4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HYPERLINK("http://catalog.hathitrust.org/Record/000010035","HathiTrust Record")</f>
        <v/>
      </c>
      <c r="AS293">
        <f>HYPERLINK("https://creighton-primo.hosted.exlibrisgroup.com/primo-explore/search?tab=default_tab&amp;search_scope=EVERYTHING&amp;vid=01CRU&amp;lang=en_US&amp;offset=0&amp;query=any,contains,991003166139702656","Catalog Record")</f>
        <v/>
      </c>
      <c r="AT293">
        <f>HYPERLINK("http://www.worldcat.org/oclc/703386","WorldCat Record")</f>
        <v/>
      </c>
      <c r="AU293" t="inlineStr">
        <is>
          <t>3855428141:eng</t>
        </is>
      </c>
      <c r="AV293" t="inlineStr">
        <is>
          <t>703386</t>
        </is>
      </c>
      <c r="AW293" t="inlineStr">
        <is>
          <t>991003166139702656</t>
        </is>
      </c>
      <c r="AX293" t="inlineStr">
        <is>
          <t>991003166139702656</t>
        </is>
      </c>
      <c r="AY293" t="inlineStr">
        <is>
          <t>2257449760002656</t>
        </is>
      </c>
      <c r="AZ293" t="inlineStr">
        <is>
          <t>BOOK</t>
        </is>
      </c>
      <c r="BB293" t="inlineStr">
        <is>
          <t>9780876681022</t>
        </is>
      </c>
      <c r="BC293" t="inlineStr">
        <is>
          <t>32285000996339</t>
        </is>
      </c>
      <c r="BD293" t="inlineStr">
        <is>
          <t>893323829</t>
        </is>
      </c>
    </row>
    <row r="294">
      <c r="A294" t="inlineStr">
        <is>
          <t>No</t>
        </is>
      </c>
      <c r="B294" t="inlineStr">
        <is>
          <t>RJ505.P6 S3</t>
        </is>
      </c>
      <c r="C294" t="inlineStr">
        <is>
          <t>0                      RJ 0505000P  6                  S  3</t>
        </is>
      </c>
      <c r="D294" t="inlineStr">
        <is>
          <t>The therapeutic play group / Mortimer Schiffer.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Schiffer, Mortimer.</t>
        </is>
      </c>
      <c r="L294" t="inlineStr">
        <is>
          <t>New York : Grune &amp; Stratton, c1969.</t>
        </is>
      </c>
      <c r="M294" t="inlineStr">
        <is>
          <t>1969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RJ </t>
        </is>
      </c>
      <c r="S294" t="n">
        <v>7</v>
      </c>
      <c r="T294" t="n">
        <v>7</v>
      </c>
      <c r="U294" t="inlineStr">
        <is>
          <t>2000-03-10</t>
        </is>
      </c>
      <c r="V294" t="inlineStr">
        <is>
          <t>2000-03-10</t>
        </is>
      </c>
      <c r="W294" t="inlineStr">
        <is>
          <t>1991-10-28</t>
        </is>
      </c>
      <c r="X294" t="inlineStr">
        <is>
          <t>1991-10-28</t>
        </is>
      </c>
      <c r="Y294" t="n">
        <v>346</v>
      </c>
      <c r="Z294" t="n">
        <v>276</v>
      </c>
      <c r="AA294" t="n">
        <v>317</v>
      </c>
      <c r="AB294" t="n">
        <v>4</v>
      </c>
      <c r="AC294" t="n">
        <v>4</v>
      </c>
      <c r="AD294" t="n">
        <v>13</v>
      </c>
      <c r="AE294" t="n">
        <v>13</v>
      </c>
      <c r="AF294" t="n">
        <v>2</v>
      </c>
      <c r="AG294" t="n">
        <v>2</v>
      </c>
      <c r="AH294" t="n">
        <v>4</v>
      </c>
      <c r="AI294" t="n">
        <v>4</v>
      </c>
      <c r="AJ294" t="n">
        <v>6</v>
      </c>
      <c r="AK294" t="n">
        <v>6</v>
      </c>
      <c r="AL294" t="n">
        <v>3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HYPERLINK("http://catalog.hathitrust.org/Record/001571010","HathiTrust Record")</f>
        <v/>
      </c>
      <c r="AS294">
        <f>HYPERLINK("https://creighton-primo.hosted.exlibrisgroup.com/primo-explore/search?tab=default_tab&amp;search_scope=EVERYTHING&amp;vid=01CRU&amp;lang=en_US&amp;offset=0&amp;query=any,contains,991005265609702656","Catalog Record")</f>
        <v/>
      </c>
      <c r="AT294">
        <f>HYPERLINK("http://www.worldcat.org/oclc/54933","WorldCat Record")</f>
        <v/>
      </c>
      <c r="AU294" t="inlineStr">
        <is>
          <t>1183614:eng</t>
        </is>
      </c>
      <c r="AV294" t="inlineStr">
        <is>
          <t>54933</t>
        </is>
      </c>
      <c r="AW294" t="inlineStr">
        <is>
          <t>991005265609702656</t>
        </is>
      </c>
      <c r="AX294" t="inlineStr">
        <is>
          <t>991005265609702656</t>
        </is>
      </c>
      <c r="AY294" t="inlineStr">
        <is>
          <t>2257963030002656</t>
        </is>
      </c>
      <c r="AZ294" t="inlineStr">
        <is>
          <t>BOOK</t>
        </is>
      </c>
      <c r="BC294" t="inlineStr">
        <is>
          <t>32285000802149</t>
        </is>
      </c>
      <c r="BD294" t="inlineStr">
        <is>
          <t>893248628</t>
        </is>
      </c>
    </row>
    <row r="295">
      <c r="A295" t="inlineStr">
        <is>
          <t>No</t>
        </is>
      </c>
      <c r="B295" t="inlineStr">
        <is>
          <t>RJ505.P92 P78 1992</t>
        </is>
      </c>
      <c r="C295" t="inlineStr">
        <is>
          <t>0                      RJ 0505000P  92                 P  78          1992</t>
        </is>
      </c>
      <c r="D295" t="inlineStr">
        <is>
          <t>Psychotherapies with children and adolescents : adapting the psychodynamic process / edited by John D. O'Brien, Daniel J. Pilowsky, Owen W. Lewis.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Washington, DC : American Psychiatric Press, c1992.</t>
        </is>
      </c>
      <c r="M295" t="inlineStr">
        <is>
          <t>1992</t>
        </is>
      </c>
      <c r="O295" t="inlineStr">
        <is>
          <t>eng</t>
        </is>
      </c>
      <c r="P295" t="inlineStr">
        <is>
          <t>dcu</t>
        </is>
      </c>
      <c r="R295" t="inlineStr">
        <is>
          <t xml:space="preserve">RJ </t>
        </is>
      </c>
      <c r="S295" t="n">
        <v>10</v>
      </c>
      <c r="T295" t="n">
        <v>10</v>
      </c>
      <c r="U295" t="inlineStr">
        <is>
          <t>1996-04-22</t>
        </is>
      </c>
      <c r="V295" t="inlineStr">
        <is>
          <t>1996-04-22</t>
        </is>
      </c>
      <c r="W295" t="inlineStr">
        <is>
          <t>1992-08-12</t>
        </is>
      </c>
      <c r="X295" t="inlineStr">
        <is>
          <t>1992-08-12</t>
        </is>
      </c>
      <c r="Y295" t="n">
        <v>168</v>
      </c>
      <c r="Z295" t="n">
        <v>141</v>
      </c>
      <c r="AA295" t="n">
        <v>190</v>
      </c>
      <c r="AB295" t="n">
        <v>1</v>
      </c>
      <c r="AC295" t="n">
        <v>1</v>
      </c>
      <c r="AD295" t="n">
        <v>10</v>
      </c>
      <c r="AE295" t="n">
        <v>11</v>
      </c>
      <c r="AF295" t="n">
        <v>3</v>
      </c>
      <c r="AG295" t="n">
        <v>3</v>
      </c>
      <c r="AH295" t="n">
        <v>3</v>
      </c>
      <c r="AI295" t="n">
        <v>3</v>
      </c>
      <c r="AJ295" t="n">
        <v>6</v>
      </c>
      <c r="AK295" t="n">
        <v>7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HYPERLINK("http://catalog.hathitrust.org/Record/002573718","HathiTrust Record")</f>
        <v/>
      </c>
      <c r="AS295">
        <f>HYPERLINK("https://creighton-primo.hosted.exlibrisgroup.com/primo-explore/search?tab=default_tab&amp;search_scope=EVERYTHING&amp;vid=01CRU&amp;lang=en_US&amp;offset=0&amp;query=any,contains,991001965569702656","Catalog Record")</f>
        <v/>
      </c>
      <c r="AT295">
        <f>HYPERLINK("http://www.worldcat.org/oclc/24909174","WorldCat Record")</f>
        <v/>
      </c>
      <c r="AU295" t="inlineStr">
        <is>
          <t>836864295:eng</t>
        </is>
      </c>
      <c r="AV295" t="inlineStr">
        <is>
          <t>24909174</t>
        </is>
      </c>
      <c r="AW295" t="inlineStr">
        <is>
          <t>991001965569702656</t>
        </is>
      </c>
      <c r="AX295" t="inlineStr">
        <is>
          <t>991001965569702656</t>
        </is>
      </c>
      <c r="AY295" t="inlineStr">
        <is>
          <t>2271447820002656</t>
        </is>
      </c>
      <c r="AZ295" t="inlineStr">
        <is>
          <t>BOOK</t>
        </is>
      </c>
      <c r="BB295" t="inlineStr">
        <is>
          <t>9780880484060</t>
        </is>
      </c>
      <c r="BC295" t="inlineStr">
        <is>
          <t>32285001197747</t>
        </is>
      </c>
      <c r="BD295" t="inlineStr">
        <is>
          <t>893232423</t>
        </is>
      </c>
    </row>
    <row r="296">
      <c r="A296" t="inlineStr">
        <is>
          <t>No</t>
        </is>
      </c>
      <c r="B296" t="inlineStr">
        <is>
          <t>RJ505.R33 V36 1998</t>
        </is>
      </c>
      <c r="C296" t="inlineStr">
        <is>
          <t>0                      RJ 0505000R  33                 V  36          1998</t>
        </is>
      </c>
      <c r="D296" t="inlineStr">
        <is>
          <t>The passport program : a journey through emotional, social, cognitive, and self-development / Ann Vernon.</t>
        </is>
      </c>
      <c r="E296" t="inlineStr">
        <is>
          <t>V.1</t>
        </is>
      </c>
      <c r="F296" t="inlineStr">
        <is>
          <t>Yes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Vernon, Ann.</t>
        </is>
      </c>
      <c r="L296" t="inlineStr">
        <is>
          <t>Champaign, Ill. : Research Press, c1998.</t>
        </is>
      </c>
      <c r="M296" t="inlineStr">
        <is>
          <t>1998</t>
        </is>
      </c>
      <c r="O296" t="inlineStr">
        <is>
          <t>eng</t>
        </is>
      </c>
      <c r="P296" t="inlineStr">
        <is>
          <t>ilu</t>
        </is>
      </c>
      <c r="R296" t="inlineStr">
        <is>
          <t xml:space="preserve">RJ </t>
        </is>
      </c>
      <c r="S296" t="n">
        <v>4</v>
      </c>
      <c r="T296" t="n">
        <v>7</v>
      </c>
      <c r="U296" t="inlineStr">
        <is>
          <t>2001-02-17</t>
        </is>
      </c>
      <c r="V296" t="inlineStr">
        <is>
          <t>2001-02-17</t>
        </is>
      </c>
      <c r="W296" t="inlineStr">
        <is>
          <t>1999-03-04</t>
        </is>
      </c>
      <c r="X296" t="inlineStr">
        <is>
          <t>1999-03-04</t>
        </is>
      </c>
      <c r="Y296" t="n">
        <v>96</v>
      </c>
      <c r="Z296" t="n">
        <v>87</v>
      </c>
      <c r="AA296" t="n">
        <v>88</v>
      </c>
      <c r="AB296" t="n">
        <v>2</v>
      </c>
      <c r="AC296" t="n">
        <v>2</v>
      </c>
      <c r="AD296" t="n">
        <v>5</v>
      </c>
      <c r="AE296" t="n">
        <v>5</v>
      </c>
      <c r="AF296" t="n">
        <v>3</v>
      </c>
      <c r="AG296" t="n">
        <v>3</v>
      </c>
      <c r="AH296" t="n">
        <v>1</v>
      </c>
      <c r="AI296" t="n">
        <v>1</v>
      </c>
      <c r="AJ296" t="n">
        <v>2</v>
      </c>
      <c r="AK296" t="n">
        <v>2</v>
      </c>
      <c r="AL296" t="n">
        <v>1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6">
        <f>HYPERLINK("http://www.worldcat.org/oclc/40899416","WorldCat Record")</f>
        <v/>
      </c>
      <c r="AU296" t="inlineStr">
        <is>
          <t>18000052:eng</t>
        </is>
      </c>
      <c r="AV296" t="inlineStr">
        <is>
          <t>40899416</t>
        </is>
      </c>
      <c r="AW296" t="inlineStr">
        <is>
          <t>991003009469702656</t>
        </is>
      </c>
      <c r="AX296" t="inlineStr">
        <is>
          <t>991003009469702656</t>
        </is>
      </c>
      <c r="AY296" t="inlineStr">
        <is>
          <t>2259056770002656</t>
        </is>
      </c>
      <c r="AZ296" t="inlineStr">
        <is>
          <t>BOOK</t>
        </is>
      </c>
      <c r="BB296" t="inlineStr">
        <is>
          <t>9780878223770</t>
        </is>
      </c>
      <c r="BC296" t="inlineStr">
        <is>
          <t>32285003529426</t>
        </is>
      </c>
      <c r="BD296" t="inlineStr">
        <is>
          <t>893227581</t>
        </is>
      </c>
    </row>
    <row r="297">
      <c r="A297" t="inlineStr">
        <is>
          <t>No</t>
        </is>
      </c>
      <c r="B297" t="inlineStr">
        <is>
          <t>RJ505.R33 V36 1998</t>
        </is>
      </c>
      <c r="C297" t="inlineStr">
        <is>
          <t>0                      RJ 0505000R  33                 V  36          1998</t>
        </is>
      </c>
      <c r="D297" t="inlineStr">
        <is>
          <t>The passport program : a journey through emotional, social, cognitive, and self-development / Ann Vernon.</t>
        </is>
      </c>
      <c r="E297" t="inlineStr">
        <is>
          <t>V.2</t>
        </is>
      </c>
      <c r="F297" t="inlineStr">
        <is>
          <t>Yes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Vernon, Ann.</t>
        </is>
      </c>
      <c r="L297" t="inlineStr">
        <is>
          <t>Champaign, Ill. : Research Press, c1998.</t>
        </is>
      </c>
      <c r="M297" t="inlineStr">
        <is>
          <t>1998</t>
        </is>
      </c>
      <c r="O297" t="inlineStr">
        <is>
          <t>eng</t>
        </is>
      </c>
      <c r="P297" t="inlineStr">
        <is>
          <t>ilu</t>
        </is>
      </c>
      <c r="R297" t="inlineStr">
        <is>
          <t xml:space="preserve">RJ </t>
        </is>
      </c>
      <c r="S297" t="n">
        <v>3</v>
      </c>
      <c r="T297" t="n">
        <v>7</v>
      </c>
      <c r="U297" t="inlineStr">
        <is>
          <t>1999-06-14</t>
        </is>
      </c>
      <c r="V297" t="inlineStr">
        <is>
          <t>2001-02-17</t>
        </is>
      </c>
      <c r="W297" t="inlineStr">
        <is>
          <t>1999-03-04</t>
        </is>
      </c>
      <c r="X297" t="inlineStr">
        <is>
          <t>1999-03-04</t>
        </is>
      </c>
      <c r="Y297" t="n">
        <v>96</v>
      </c>
      <c r="Z297" t="n">
        <v>87</v>
      </c>
      <c r="AA297" t="n">
        <v>88</v>
      </c>
      <c r="AB297" t="n">
        <v>2</v>
      </c>
      <c r="AC297" t="n">
        <v>2</v>
      </c>
      <c r="AD297" t="n">
        <v>5</v>
      </c>
      <c r="AE297" t="n">
        <v>5</v>
      </c>
      <c r="AF297" t="n">
        <v>3</v>
      </c>
      <c r="AG297" t="n">
        <v>3</v>
      </c>
      <c r="AH297" t="n">
        <v>1</v>
      </c>
      <c r="AI297" t="n">
        <v>1</v>
      </c>
      <c r="AJ297" t="n">
        <v>2</v>
      </c>
      <c r="AK297" t="n">
        <v>2</v>
      </c>
      <c r="AL297" t="n">
        <v>1</v>
      </c>
      <c r="AM297" t="n">
        <v>1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7">
        <f>HYPERLINK("http://www.worldcat.org/oclc/40899416","WorldCat Record")</f>
        <v/>
      </c>
      <c r="AU297" t="inlineStr">
        <is>
          <t>18000052:eng</t>
        </is>
      </c>
      <c r="AV297" t="inlineStr">
        <is>
          <t>40899416</t>
        </is>
      </c>
      <c r="AW297" t="inlineStr">
        <is>
          <t>991003009469702656</t>
        </is>
      </c>
      <c r="AX297" t="inlineStr">
        <is>
          <t>991003009469702656</t>
        </is>
      </c>
      <c r="AY297" t="inlineStr">
        <is>
          <t>2259056770002656</t>
        </is>
      </c>
      <c r="AZ297" t="inlineStr">
        <is>
          <t>BOOK</t>
        </is>
      </c>
      <c r="BB297" t="inlineStr">
        <is>
          <t>9780878223770</t>
        </is>
      </c>
      <c r="BC297" t="inlineStr">
        <is>
          <t>32285003529434</t>
        </is>
      </c>
      <c r="BD297" t="inlineStr">
        <is>
          <t>893245928</t>
        </is>
      </c>
    </row>
    <row r="298">
      <c r="A298" t="inlineStr">
        <is>
          <t>No</t>
        </is>
      </c>
      <c r="B298" t="inlineStr">
        <is>
          <t>RJ505.R33 V36 1998</t>
        </is>
      </c>
      <c r="C298" t="inlineStr">
        <is>
          <t>0                      RJ 0505000R  33                 V  36          1998</t>
        </is>
      </c>
      <c r="D298" t="inlineStr">
        <is>
          <t>The passport program : a journey through emotional, social, cognitive, and self-development / Ann Vernon.</t>
        </is>
      </c>
      <c r="E298" t="inlineStr">
        <is>
          <t>V.3</t>
        </is>
      </c>
      <c r="F298" t="inlineStr">
        <is>
          <t>Yes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Vernon, Ann.</t>
        </is>
      </c>
      <c r="L298" t="inlineStr">
        <is>
          <t>Champaign, Ill. : Research Press, c1998.</t>
        </is>
      </c>
      <c r="M298" t="inlineStr">
        <is>
          <t>1998</t>
        </is>
      </c>
      <c r="O298" t="inlineStr">
        <is>
          <t>eng</t>
        </is>
      </c>
      <c r="P298" t="inlineStr">
        <is>
          <t>ilu</t>
        </is>
      </c>
      <c r="R298" t="inlineStr">
        <is>
          <t xml:space="preserve">RJ </t>
        </is>
      </c>
      <c r="S298" t="n">
        <v>0</v>
      </c>
      <c r="T298" t="n">
        <v>7</v>
      </c>
      <c r="V298" t="inlineStr">
        <is>
          <t>2001-02-17</t>
        </is>
      </c>
      <c r="W298" t="inlineStr">
        <is>
          <t>1999-03-04</t>
        </is>
      </c>
      <c r="X298" t="inlineStr">
        <is>
          <t>1999-03-04</t>
        </is>
      </c>
      <c r="Y298" t="n">
        <v>96</v>
      </c>
      <c r="Z298" t="n">
        <v>87</v>
      </c>
      <c r="AA298" t="n">
        <v>88</v>
      </c>
      <c r="AB298" t="n">
        <v>2</v>
      </c>
      <c r="AC298" t="n">
        <v>2</v>
      </c>
      <c r="AD298" t="n">
        <v>5</v>
      </c>
      <c r="AE298" t="n">
        <v>5</v>
      </c>
      <c r="AF298" t="n">
        <v>3</v>
      </c>
      <c r="AG298" t="n">
        <v>3</v>
      </c>
      <c r="AH298" t="n">
        <v>1</v>
      </c>
      <c r="AI298" t="n">
        <v>1</v>
      </c>
      <c r="AJ298" t="n">
        <v>2</v>
      </c>
      <c r="AK298" t="n">
        <v>2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8">
        <f>HYPERLINK("http://www.worldcat.org/oclc/40899416","WorldCat Record")</f>
        <v/>
      </c>
      <c r="AU298" t="inlineStr">
        <is>
          <t>18000052:eng</t>
        </is>
      </c>
      <c r="AV298" t="inlineStr">
        <is>
          <t>40899416</t>
        </is>
      </c>
      <c r="AW298" t="inlineStr">
        <is>
          <t>991003009469702656</t>
        </is>
      </c>
      <c r="AX298" t="inlineStr">
        <is>
          <t>991003009469702656</t>
        </is>
      </c>
      <c r="AY298" t="inlineStr">
        <is>
          <t>2259056770002656</t>
        </is>
      </c>
      <c r="AZ298" t="inlineStr">
        <is>
          <t>BOOK</t>
        </is>
      </c>
      <c r="BB298" t="inlineStr">
        <is>
          <t>9780878223770</t>
        </is>
      </c>
      <c r="BC298" t="inlineStr">
        <is>
          <t>32285003529442</t>
        </is>
      </c>
      <c r="BD298" t="inlineStr">
        <is>
          <t>893227580</t>
        </is>
      </c>
    </row>
    <row r="299">
      <c r="A299" t="inlineStr">
        <is>
          <t>No</t>
        </is>
      </c>
      <c r="B299" t="inlineStr">
        <is>
          <t>RJ505.R36 C73 1985</t>
        </is>
      </c>
      <c r="C299" t="inlineStr">
        <is>
          <t>0                      RJ 0505000R  36                 C  73          1985</t>
        </is>
      </c>
      <c r="D299" t="inlineStr">
        <is>
          <t>If we could hear the grass grow / Eleanor Craig.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Craig, Eleanor.</t>
        </is>
      </c>
      <c r="L299" t="inlineStr">
        <is>
          <t>New York, N.Y. : New American Library, 1985, c1983.</t>
        </is>
      </c>
      <c r="M299" t="inlineStr">
        <is>
          <t>1985</t>
        </is>
      </c>
      <c r="O299" t="inlineStr">
        <is>
          <t>eng</t>
        </is>
      </c>
      <c r="P299" t="inlineStr">
        <is>
          <t>nyu</t>
        </is>
      </c>
      <c r="R299" t="inlineStr">
        <is>
          <t xml:space="preserve">RJ </t>
        </is>
      </c>
      <c r="S299" t="n">
        <v>7</v>
      </c>
      <c r="T299" t="n">
        <v>7</v>
      </c>
      <c r="U299" t="inlineStr">
        <is>
          <t>2004-05-04</t>
        </is>
      </c>
      <c r="V299" t="inlineStr">
        <is>
          <t>2004-05-04</t>
        </is>
      </c>
      <c r="W299" t="inlineStr">
        <is>
          <t>1993-03-03</t>
        </is>
      </c>
      <c r="X299" t="inlineStr">
        <is>
          <t>1993-03-03</t>
        </is>
      </c>
      <c r="Y299" t="n">
        <v>28</v>
      </c>
      <c r="Z299" t="n">
        <v>26</v>
      </c>
      <c r="AA299" t="n">
        <v>377</v>
      </c>
      <c r="AB299" t="n">
        <v>1</v>
      </c>
      <c r="AC299" t="n">
        <v>5</v>
      </c>
      <c r="AD299" t="n">
        <v>0</v>
      </c>
      <c r="AE299" t="n">
        <v>5</v>
      </c>
      <c r="AF299" t="n">
        <v>0</v>
      </c>
      <c r="AG299" t="n">
        <v>2</v>
      </c>
      <c r="AH299" t="n">
        <v>0</v>
      </c>
      <c r="AI299" t="n">
        <v>0</v>
      </c>
      <c r="AJ299" t="n">
        <v>0</v>
      </c>
      <c r="AK299" t="n">
        <v>2</v>
      </c>
      <c r="AL299" t="n">
        <v>0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HYPERLINK("https://creighton-primo.hosted.exlibrisgroup.com/primo-explore/search?tab=default_tab&amp;search_scope=EVERYTHING&amp;vid=01CRU&amp;lang=en_US&amp;offset=0&amp;query=any,contains,991000648059702656","Catalog Record")</f>
        <v/>
      </c>
      <c r="AT299">
        <f>HYPERLINK("http://www.worldcat.org/oclc/12143088","WorldCat Record")</f>
        <v/>
      </c>
      <c r="AU299" t="inlineStr">
        <is>
          <t>5264514:eng</t>
        </is>
      </c>
      <c r="AV299" t="inlineStr">
        <is>
          <t>12143088</t>
        </is>
      </c>
      <c r="AW299" t="inlineStr">
        <is>
          <t>991000648059702656</t>
        </is>
      </c>
      <c r="AX299" t="inlineStr">
        <is>
          <t>991000648059702656</t>
        </is>
      </c>
      <c r="AY299" t="inlineStr">
        <is>
          <t>2265807210002656</t>
        </is>
      </c>
      <c r="AZ299" t="inlineStr">
        <is>
          <t>BOOK</t>
        </is>
      </c>
      <c r="BB299" t="inlineStr">
        <is>
          <t>9780451136190</t>
        </is>
      </c>
      <c r="BC299" t="inlineStr">
        <is>
          <t>32285001529592</t>
        </is>
      </c>
      <c r="BD299" t="inlineStr">
        <is>
          <t>893534250</t>
        </is>
      </c>
    </row>
    <row r="300">
      <c r="A300" t="inlineStr">
        <is>
          <t>No</t>
        </is>
      </c>
      <c r="B300" t="inlineStr">
        <is>
          <t>RJ506.A35 C665 2002</t>
        </is>
      </c>
      <c r="C300" t="inlineStr">
        <is>
          <t>0                      RJ 0506000A  35                 C  665         2002</t>
        </is>
      </c>
      <c r="D300" t="inlineStr">
        <is>
          <t>Aggression and antisocial behavior in children and adolescents : research and treatment / Daniel F. Connor ; foreword by Russell A. Barkley.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Connor, Daniel F.</t>
        </is>
      </c>
      <c r="L300" t="inlineStr">
        <is>
          <t>New York : Guilford Press, c2002.</t>
        </is>
      </c>
      <c r="M300" t="inlineStr">
        <is>
          <t>2002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RJ </t>
        </is>
      </c>
      <c r="S300" t="n">
        <v>4</v>
      </c>
      <c r="T300" t="n">
        <v>4</v>
      </c>
      <c r="U300" t="inlineStr">
        <is>
          <t>2008-11-17</t>
        </is>
      </c>
      <c r="V300" t="inlineStr">
        <is>
          <t>2008-11-17</t>
        </is>
      </c>
      <c r="W300" t="inlineStr">
        <is>
          <t>2003-09-03</t>
        </is>
      </c>
      <c r="X300" t="inlineStr">
        <is>
          <t>2003-09-03</t>
        </is>
      </c>
      <c r="Y300" t="n">
        <v>424</v>
      </c>
      <c r="Z300" t="n">
        <v>341</v>
      </c>
      <c r="AA300" t="n">
        <v>398</v>
      </c>
      <c r="AB300" t="n">
        <v>3</v>
      </c>
      <c r="AC300" t="n">
        <v>3</v>
      </c>
      <c r="AD300" t="n">
        <v>12</v>
      </c>
      <c r="AE300" t="n">
        <v>14</v>
      </c>
      <c r="AF300" t="n">
        <v>5</v>
      </c>
      <c r="AG300" t="n">
        <v>6</v>
      </c>
      <c r="AH300" t="n">
        <v>2</v>
      </c>
      <c r="AI300" t="n">
        <v>3</v>
      </c>
      <c r="AJ300" t="n">
        <v>5</v>
      </c>
      <c r="AK300" t="n">
        <v>5</v>
      </c>
      <c r="AL300" t="n">
        <v>2</v>
      </c>
      <c r="AM300" t="n">
        <v>2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HYPERLINK("https://creighton-primo.hosted.exlibrisgroup.com/primo-explore/search?tab=default_tab&amp;search_scope=EVERYTHING&amp;vid=01CRU&amp;lang=en_US&amp;offset=0&amp;query=any,contains,991004101609702656","Catalog Record")</f>
        <v/>
      </c>
      <c r="AT300">
        <f>HYPERLINK("http://www.worldcat.org/oclc/49305842","WorldCat Record")</f>
        <v/>
      </c>
      <c r="AU300" t="inlineStr">
        <is>
          <t>839003308:eng</t>
        </is>
      </c>
      <c r="AV300" t="inlineStr">
        <is>
          <t>49305842</t>
        </is>
      </c>
      <c r="AW300" t="inlineStr">
        <is>
          <t>991004101609702656</t>
        </is>
      </c>
      <c r="AX300" t="inlineStr">
        <is>
          <t>991004101609702656</t>
        </is>
      </c>
      <c r="AY300" t="inlineStr">
        <is>
          <t>2262334910002656</t>
        </is>
      </c>
      <c r="AZ300" t="inlineStr">
        <is>
          <t>BOOK</t>
        </is>
      </c>
      <c r="BB300" t="inlineStr">
        <is>
          <t>9781572307384</t>
        </is>
      </c>
      <c r="BC300" t="inlineStr">
        <is>
          <t>32285004781307</t>
        </is>
      </c>
      <c r="BD300" t="inlineStr">
        <is>
          <t>893611923</t>
        </is>
      </c>
    </row>
    <row r="301">
      <c r="A301" t="inlineStr">
        <is>
          <t>No</t>
        </is>
      </c>
      <c r="B301" t="inlineStr">
        <is>
          <t>RJ506.A35 D482 2005</t>
        </is>
      </c>
      <c r="C301" t="inlineStr">
        <is>
          <t>0                      RJ 0506000A  35                 D  482         2005</t>
        </is>
      </c>
      <c r="D301" t="inlineStr">
        <is>
          <t>The development and treatment of girlhood aggression / edited by Debra Pepler ... [et al.].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L301" t="inlineStr">
        <is>
          <t>Mahwah, N.J. ; London : Lawrence Erlbaum, c2005.</t>
        </is>
      </c>
      <c r="M301" t="inlineStr">
        <is>
          <t>2005</t>
        </is>
      </c>
      <c r="O301" t="inlineStr">
        <is>
          <t>eng</t>
        </is>
      </c>
      <c r="P301" t="inlineStr">
        <is>
          <t>nju</t>
        </is>
      </c>
      <c r="R301" t="inlineStr">
        <is>
          <t xml:space="preserve">RJ </t>
        </is>
      </c>
      <c r="S301" t="n">
        <v>1</v>
      </c>
      <c r="T301" t="n">
        <v>1</v>
      </c>
      <c r="U301" t="inlineStr">
        <is>
          <t>2008-10-28</t>
        </is>
      </c>
      <c r="V301" t="inlineStr">
        <is>
          <t>2008-10-28</t>
        </is>
      </c>
      <c r="W301" t="inlineStr">
        <is>
          <t>2004-11-01</t>
        </is>
      </c>
      <c r="X301" t="inlineStr">
        <is>
          <t>2004-11-01</t>
        </is>
      </c>
      <c r="Y301" t="n">
        <v>242</v>
      </c>
      <c r="Z301" t="n">
        <v>195</v>
      </c>
      <c r="AA301" t="n">
        <v>779</v>
      </c>
      <c r="AB301" t="n">
        <v>3</v>
      </c>
      <c r="AC301" t="n">
        <v>31</v>
      </c>
      <c r="AD301" t="n">
        <v>11</v>
      </c>
      <c r="AE301" t="n">
        <v>30</v>
      </c>
      <c r="AF301" t="n">
        <v>3</v>
      </c>
      <c r="AG301" t="n">
        <v>8</v>
      </c>
      <c r="AH301" t="n">
        <v>3</v>
      </c>
      <c r="AI301" t="n">
        <v>4</v>
      </c>
      <c r="AJ301" t="n">
        <v>5</v>
      </c>
      <c r="AK301" t="n">
        <v>10</v>
      </c>
      <c r="AL301" t="n">
        <v>2</v>
      </c>
      <c r="AM301" t="n">
        <v>12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HYPERLINK("https://creighton-primo.hosted.exlibrisgroup.com/primo-explore/search?tab=default_tab&amp;search_scope=EVERYTHING&amp;vid=01CRU&amp;lang=en_US&amp;offset=0&amp;query=any,contains,991004391639702656","Catalog Record")</f>
        <v/>
      </c>
      <c r="AT301">
        <f>HYPERLINK("http://www.worldcat.org/oclc/57240367","WorldCat Record")</f>
        <v/>
      </c>
      <c r="AU301" t="inlineStr">
        <is>
          <t>766006035:eng</t>
        </is>
      </c>
      <c r="AV301" t="inlineStr">
        <is>
          <t>57240367</t>
        </is>
      </c>
      <c r="AW301" t="inlineStr">
        <is>
          <t>991004391639702656</t>
        </is>
      </c>
      <c r="AX301" t="inlineStr">
        <is>
          <t>991004391639702656</t>
        </is>
      </c>
      <c r="AY301" t="inlineStr">
        <is>
          <t>2255201270002656</t>
        </is>
      </c>
      <c r="AZ301" t="inlineStr">
        <is>
          <t>BOOK</t>
        </is>
      </c>
      <c r="BB301" t="inlineStr">
        <is>
          <t>9780805840391</t>
        </is>
      </c>
      <c r="BC301" t="inlineStr">
        <is>
          <t>32285005007645</t>
        </is>
      </c>
      <c r="BD301" t="inlineStr">
        <is>
          <t>893718850</t>
        </is>
      </c>
    </row>
    <row r="302">
      <c r="A302" t="inlineStr">
        <is>
          <t>No</t>
        </is>
      </c>
      <c r="B302" t="inlineStr">
        <is>
          <t>RJ506.A58 A59 1986</t>
        </is>
      </c>
      <c r="C302" t="inlineStr">
        <is>
          <t>0                      RJ 0506000A  58                 A  59          1986</t>
        </is>
      </c>
      <c r="D302" t="inlineStr">
        <is>
          <t>Anxiety disorders of childhood / edited by Rachel Gittelman.</t>
        </is>
      </c>
      <c r="F302" t="inlineStr">
        <is>
          <t>No</t>
        </is>
      </c>
      <c r="G302" t="inlineStr">
        <is>
          <t>1</t>
        </is>
      </c>
      <c r="H302" t="inlineStr">
        <is>
          <t>Yes</t>
        </is>
      </c>
      <c r="I302" t="inlineStr">
        <is>
          <t>No</t>
        </is>
      </c>
      <c r="J302" t="inlineStr">
        <is>
          <t>0</t>
        </is>
      </c>
      <c r="L302" t="inlineStr">
        <is>
          <t>New York : Guilford Press, c1986.</t>
        </is>
      </c>
      <c r="M302" t="inlineStr">
        <is>
          <t>1986</t>
        </is>
      </c>
      <c r="O302" t="inlineStr">
        <is>
          <t>eng</t>
        </is>
      </c>
      <c r="P302" t="inlineStr">
        <is>
          <t>nyu</t>
        </is>
      </c>
      <c r="R302" t="inlineStr">
        <is>
          <t xml:space="preserve">RJ </t>
        </is>
      </c>
      <c r="S302" t="n">
        <v>15</v>
      </c>
      <c r="T302" t="n">
        <v>15</v>
      </c>
      <c r="U302" t="inlineStr">
        <is>
          <t>1999-09-26</t>
        </is>
      </c>
      <c r="V302" t="inlineStr">
        <is>
          <t>1999-09-26</t>
        </is>
      </c>
      <c r="W302" t="inlineStr">
        <is>
          <t>1990-07-02</t>
        </is>
      </c>
      <c r="X302" t="inlineStr">
        <is>
          <t>1990-07-02</t>
        </is>
      </c>
      <c r="Y302" t="n">
        <v>481</v>
      </c>
      <c r="Z302" t="n">
        <v>422</v>
      </c>
      <c r="AA302" t="n">
        <v>428</v>
      </c>
      <c r="AB302" t="n">
        <v>3</v>
      </c>
      <c r="AC302" t="n">
        <v>3</v>
      </c>
      <c r="AD302" t="n">
        <v>16</v>
      </c>
      <c r="AE302" t="n">
        <v>16</v>
      </c>
      <c r="AF302" t="n">
        <v>4</v>
      </c>
      <c r="AG302" t="n">
        <v>4</v>
      </c>
      <c r="AH302" t="n">
        <v>6</v>
      </c>
      <c r="AI302" t="n">
        <v>6</v>
      </c>
      <c r="AJ302" t="n">
        <v>10</v>
      </c>
      <c r="AK302" t="n">
        <v>10</v>
      </c>
      <c r="AL302" t="n">
        <v>1</v>
      </c>
      <c r="AM302" t="n">
        <v>1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HYPERLINK("https://creighton-primo.hosted.exlibrisgroup.com/primo-explore/search?tab=default_tab&amp;search_scope=EVERYTHING&amp;vid=01CRU&amp;lang=en_US&amp;offset=0&amp;query=any,contains,991000760449702656","Catalog Record")</f>
        <v/>
      </c>
      <c r="AT302">
        <f>HYPERLINK("http://www.worldcat.org/oclc/12972897","WorldCat Record")</f>
        <v/>
      </c>
      <c r="AU302" t="inlineStr">
        <is>
          <t>54779734:eng</t>
        </is>
      </c>
      <c r="AV302" t="inlineStr">
        <is>
          <t>12972897</t>
        </is>
      </c>
      <c r="AW302" t="inlineStr">
        <is>
          <t>991000760449702656</t>
        </is>
      </c>
      <c r="AX302" t="inlineStr">
        <is>
          <t>991000760449702656</t>
        </is>
      </c>
      <c r="AY302" t="inlineStr">
        <is>
          <t>2263631120002656</t>
        </is>
      </c>
      <c r="AZ302" t="inlineStr">
        <is>
          <t>BOOK</t>
        </is>
      </c>
      <c r="BB302" t="inlineStr">
        <is>
          <t>9780898626582</t>
        </is>
      </c>
      <c r="BC302" t="inlineStr">
        <is>
          <t>32285000219070</t>
        </is>
      </c>
      <c r="BD302" t="inlineStr">
        <is>
          <t>893626432</t>
        </is>
      </c>
    </row>
    <row r="303">
      <c r="A303" t="inlineStr">
        <is>
          <t>No</t>
        </is>
      </c>
      <c r="B303" t="inlineStr">
        <is>
          <t>RJ506.A58 H87 1992</t>
        </is>
      </c>
      <c r="C303" t="inlineStr">
        <is>
          <t>0                      RJ 0506000A  58                 H  87          1992</t>
        </is>
      </c>
      <c r="D303" t="inlineStr">
        <is>
          <t>Anxiety disorders in children and adolescents / Syed Arshad Husain, Javad H. Kashani.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Husain, Syed Arshad.</t>
        </is>
      </c>
      <c r="L303" t="inlineStr">
        <is>
          <t>Washington, DC : American Psychiatric Press, c1992.</t>
        </is>
      </c>
      <c r="M303" t="inlineStr">
        <is>
          <t>1991</t>
        </is>
      </c>
      <c r="N303" t="inlineStr">
        <is>
          <t>1st ed.</t>
        </is>
      </c>
      <c r="O303" t="inlineStr">
        <is>
          <t>eng</t>
        </is>
      </c>
      <c r="P303" t="inlineStr">
        <is>
          <t>dcu</t>
        </is>
      </c>
      <c r="Q303" t="inlineStr">
        <is>
          <t>Clinical practice ; no. 22</t>
        </is>
      </c>
      <c r="R303" t="inlineStr">
        <is>
          <t xml:space="preserve">RJ </t>
        </is>
      </c>
      <c r="S303" t="n">
        <v>21</v>
      </c>
      <c r="T303" t="n">
        <v>21</v>
      </c>
      <c r="U303" t="inlineStr">
        <is>
          <t>2001-03-01</t>
        </is>
      </c>
      <c r="V303" t="inlineStr">
        <is>
          <t>2001-03-01</t>
        </is>
      </c>
      <c r="W303" t="inlineStr">
        <is>
          <t>1992-01-22</t>
        </is>
      </c>
      <c r="X303" t="inlineStr">
        <is>
          <t>1992-01-22</t>
        </is>
      </c>
      <c r="Y303" t="n">
        <v>333</v>
      </c>
      <c r="Z303" t="n">
        <v>298</v>
      </c>
      <c r="AA303" t="n">
        <v>318</v>
      </c>
      <c r="AB303" t="n">
        <v>3</v>
      </c>
      <c r="AC303" t="n">
        <v>3</v>
      </c>
      <c r="AD303" t="n">
        <v>15</v>
      </c>
      <c r="AE303" t="n">
        <v>16</v>
      </c>
      <c r="AF303" t="n">
        <v>3</v>
      </c>
      <c r="AG303" t="n">
        <v>4</v>
      </c>
      <c r="AH303" t="n">
        <v>5</v>
      </c>
      <c r="AI303" t="n">
        <v>5</v>
      </c>
      <c r="AJ303" t="n">
        <v>8</v>
      </c>
      <c r="AK303" t="n">
        <v>8</v>
      </c>
      <c r="AL303" t="n">
        <v>2</v>
      </c>
      <c r="AM303" t="n">
        <v>2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HYPERLINK("http://catalog.hathitrust.org/Record/002512800","HathiTrust Record")</f>
        <v/>
      </c>
      <c r="AS303">
        <f>HYPERLINK("https://creighton-primo.hosted.exlibrisgroup.com/primo-explore/search?tab=default_tab&amp;search_scope=EVERYTHING&amp;vid=01CRU&amp;lang=en_US&amp;offset=0&amp;query=any,contains,991001897379702656","Catalog Record")</f>
        <v/>
      </c>
      <c r="AT303">
        <f>HYPERLINK("http://www.worldcat.org/oclc/23972978","WorldCat Record")</f>
        <v/>
      </c>
      <c r="AU303" t="inlineStr">
        <is>
          <t>25209824:eng</t>
        </is>
      </c>
      <c r="AV303" t="inlineStr">
        <is>
          <t>23972978</t>
        </is>
      </c>
      <c r="AW303" t="inlineStr">
        <is>
          <t>991001897379702656</t>
        </is>
      </c>
      <c r="AX303" t="inlineStr">
        <is>
          <t>991001897379702656</t>
        </is>
      </c>
      <c r="AY303" t="inlineStr">
        <is>
          <t>2259046920002656</t>
        </is>
      </c>
      <c r="AZ303" t="inlineStr">
        <is>
          <t>BOOK</t>
        </is>
      </c>
      <c r="BB303" t="inlineStr">
        <is>
          <t>9780880484671</t>
        </is>
      </c>
      <c r="BC303" t="inlineStr">
        <is>
          <t>32285000866177</t>
        </is>
      </c>
      <c r="BD303" t="inlineStr">
        <is>
          <t>893797904</t>
        </is>
      </c>
    </row>
    <row r="304">
      <c r="A304" t="inlineStr">
        <is>
          <t>No</t>
        </is>
      </c>
      <c r="B304" t="inlineStr">
        <is>
          <t>RJ506.A9 A67 1998</t>
        </is>
      </c>
      <c r="C304" t="inlineStr">
        <is>
          <t>0                      RJ 0506000A  9                  A  67          1998</t>
        </is>
      </c>
      <c r="D304" t="inlineStr">
        <is>
          <t>Sensory motor issues in autism / Johanna M. Anderson.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Anderson, Johanna M.</t>
        </is>
      </c>
      <c r="L304" t="inlineStr">
        <is>
          <t>San Antonio, Tex. : Therapy Skill Builders, c1998.</t>
        </is>
      </c>
      <c r="M304" t="inlineStr">
        <is>
          <t>1998</t>
        </is>
      </c>
      <c r="O304" t="inlineStr">
        <is>
          <t>eng</t>
        </is>
      </c>
      <c r="P304" t="inlineStr">
        <is>
          <t>txu</t>
        </is>
      </c>
      <c r="R304" t="inlineStr">
        <is>
          <t xml:space="preserve">RJ </t>
        </is>
      </c>
      <c r="S304" t="n">
        <v>5</v>
      </c>
      <c r="T304" t="n">
        <v>5</v>
      </c>
      <c r="U304" t="inlineStr">
        <is>
          <t>2007-11-19</t>
        </is>
      </c>
      <c r="V304" t="inlineStr">
        <is>
          <t>2007-11-19</t>
        </is>
      </c>
      <c r="W304" t="inlineStr">
        <is>
          <t>2000-03-28</t>
        </is>
      </c>
      <c r="X304" t="inlineStr">
        <is>
          <t>2000-03-28</t>
        </is>
      </c>
      <c r="Y304" t="n">
        <v>73</v>
      </c>
      <c r="Z304" t="n">
        <v>55</v>
      </c>
      <c r="AA304" t="n">
        <v>61</v>
      </c>
      <c r="AB304" t="n">
        <v>1</v>
      </c>
      <c r="AC304" t="n">
        <v>1</v>
      </c>
      <c r="AD304" t="n">
        <v>3</v>
      </c>
      <c r="AE304" t="n">
        <v>3</v>
      </c>
      <c r="AF304" t="n">
        <v>2</v>
      </c>
      <c r="AG304" t="n">
        <v>2</v>
      </c>
      <c r="AH304" t="n">
        <v>1</v>
      </c>
      <c r="AI304" t="n">
        <v>1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HYPERLINK("http://catalog.hathitrust.org/Record/007064317","HathiTrust Record")</f>
        <v/>
      </c>
      <c r="AS304">
        <f>HYPERLINK("https://creighton-primo.hosted.exlibrisgroup.com/primo-explore/search?tab=default_tab&amp;search_scope=EVERYTHING&amp;vid=01CRU&amp;lang=en_US&amp;offset=0&amp;query=any,contains,991003028299702656","Catalog Record")</f>
        <v/>
      </c>
      <c r="AT304">
        <f>HYPERLINK("http://www.worldcat.org/oclc/41425895","WorldCat Record")</f>
        <v/>
      </c>
      <c r="AU304" t="inlineStr">
        <is>
          <t>27126309:eng</t>
        </is>
      </c>
      <c r="AV304" t="inlineStr">
        <is>
          <t>41425895</t>
        </is>
      </c>
      <c r="AW304" t="inlineStr">
        <is>
          <t>991003028299702656</t>
        </is>
      </c>
      <c r="AX304" t="inlineStr">
        <is>
          <t>991003028299702656</t>
        </is>
      </c>
      <c r="AY304" t="inlineStr">
        <is>
          <t>2256281620002656</t>
        </is>
      </c>
      <c r="AZ304" t="inlineStr">
        <is>
          <t>BOOK</t>
        </is>
      </c>
      <c r="BB304" t="inlineStr">
        <is>
          <t>9780761671008</t>
        </is>
      </c>
      <c r="BC304" t="inlineStr">
        <is>
          <t>32285003674289</t>
        </is>
      </c>
      <c r="BD304" t="inlineStr">
        <is>
          <t>893880740</t>
        </is>
      </c>
    </row>
    <row r="305">
      <c r="A305" t="inlineStr">
        <is>
          <t>No</t>
        </is>
      </c>
      <c r="B305" t="inlineStr">
        <is>
          <t>RJ506.A9 A86 1988</t>
        </is>
      </c>
      <c r="C305" t="inlineStr">
        <is>
          <t>0                      RJ 0506000A  9                  A  86          1988</t>
        </is>
      </c>
      <c r="D305" t="inlineStr">
        <is>
          <t>Aspects of autism : biological research / edited by Lorna Wing.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London : Gaskell, 1988.</t>
        </is>
      </c>
      <c r="M305" t="inlineStr">
        <is>
          <t>1988</t>
        </is>
      </c>
      <c r="O305" t="inlineStr">
        <is>
          <t>eng</t>
        </is>
      </c>
      <c r="P305" t="inlineStr">
        <is>
          <t>enk</t>
        </is>
      </c>
      <c r="R305" t="inlineStr">
        <is>
          <t xml:space="preserve">RJ </t>
        </is>
      </c>
      <c r="S305" t="n">
        <v>38</v>
      </c>
      <c r="T305" t="n">
        <v>38</v>
      </c>
      <c r="U305" t="inlineStr">
        <is>
          <t>1999-10-11</t>
        </is>
      </c>
      <c r="V305" t="inlineStr">
        <is>
          <t>1999-10-11</t>
        </is>
      </c>
      <c r="W305" t="inlineStr">
        <is>
          <t>1991-12-17</t>
        </is>
      </c>
      <c r="X305" t="inlineStr">
        <is>
          <t>1991-12-17</t>
        </is>
      </c>
      <c r="Y305" t="n">
        <v>96</v>
      </c>
      <c r="Z305" t="n">
        <v>75</v>
      </c>
      <c r="AA305" t="n">
        <v>78</v>
      </c>
      <c r="AB305" t="n">
        <v>1</v>
      </c>
      <c r="AC305" t="n">
        <v>1</v>
      </c>
      <c r="AD305" t="n">
        <v>4</v>
      </c>
      <c r="AE305" t="n">
        <v>4</v>
      </c>
      <c r="AF305" t="n">
        <v>2</v>
      </c>
      <c r="AG305" t="n">
        <v>2</v>
      </c>
      <c r="AH305" t="n">
        <v>0</v>
      </c>
      <c r="AI305" t="n">
        <v>0</v>
      </c>
      <c r="AJ305" t="n">
        <v>4</v>
      </c>
      <c r="AK305" t="n">
        <v>4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HYPERLINK("http://catalog.hathitrust.org/Record/001546252","HathiTrust Record")</f>
        <v/>
      </c>
      <c r="AS305">
        <f>HYPERLINK("https://creighton-primo.hosted.exlibrisgroup.com/primo-explore/search?tab=default_tab&amp;search_scope=EVERYTHING&amp;vid=01CRU&amp;lang=en_US&amp;offset=0&amp;query=any,contains,991001475879702656","Catalog Record")</f>
        <v/>
      </c>
      <c r="AT305">
        <f>HYPERLINK("http://www.worldcat.org/oclc/19561451","WorldCat Record")</f>
        <v/>
      </c>
      <c r="AU305" t="inlineStr">
        <is>
          <t>21298597:eng</t>
        </is>
      </c>
      <c r="AV305" t="inlineStr">
        <is>
          <t>19561451</t>
        </is>
      </c>
      <c r="AW305" t="inlineStr">
        <is>
          <t>991001475879702656</t>
        </is>
      </c>
      <c r="AX305" t="inlineStr">
        <is>
          <t>991001475879702656</t>
        </is>
      </c>
      <c r="AY305" t="inlineStr">
        <is>
          <t>2259779120002656</t>
        </is>
      </c>
      <c r="AZ305" t="inlineStr">
        <is>
          <t>BOOK</t>
        </is>
      </c>
      <c r="BB305" t="inlineStr">
        <is>
          <t>9780902241251</t>
        </is>
      </c>
      <c r="BC305" t="inlineStr">
        <is>
          <t>32285000907195</t>
        </is>
      </c>
      <c r="BD305" t="inlineStr">
        <is>
          <t>893615154</t>
        </is>
      </c>
    </row>
    <row r="306">
      <c r="A306" t="inlineStr">
        <is>
          <t>No</t>
        </is>
      </c>
      <c r="B306" t="inlineStr">
        <is>
          <t>RJ506.A9 A92</t>
        </is>
      </c>
      <c r="C306" t="inlineStr">
        <is>
          <t>0                      RJ 0506000A  9                  A  92</t>
        </is>
      </c>
      <c r="D306" t="inlineStr">
        <is>
          <t>Autism--diagnosis, current research, and management / editor, Edward R. Ritvo, co-editors, Betty Jo Freeman, Edward M. Ornitz, Peter E. Tanguay.</t>
        </is>
      </c>
      <c r="F306" t="inlineStr">
        <is>
          <t>No</t>
        </is>
      </c>
      <c r="G306" t="inlineStr">
        <is>
          <t>1</t>
        </is>
      </c>
      <c r="H306" t="inlineStr">
        <is>
          <t>Yes</t>
        </is>
      </c>
      <c r="I306" t="inlineStr">
        <is>
          <t>No</t>
        </is>
      </c>
      <c r="J306" t="inlineStr">
        <is>
          <t>0</t>
        </is>
      </c>
      <c r="L306" t="inlineStr">
        <is>
          <t>New York : SP Books Division of Spectrum Publications : distributed by Halsted Press, c1976.</t>
        </is>
      </c>
      <c r="M306" t="inlineStr">
        <is>
          <t>1976</t>
        </is>
      </c>
      <c r="O306" t="inlineStr">
        <is>
          <t>eng</t>
        </is>
      </c>
      <c r="P306" t="inlineStr">
        <is>
          <t>nyu</t>
        </is>
      </c>
      <c r="Q306" t="inlineStr">
        <is>
          <t>Series on child behavior and development ; v. 2</t>
        </is>
      </c>
      <c r="R306" t="inlineStr">
        <is>
          <t xml:space="preserve">RJ </t>
        </is>
      </c>
      <c r="S306" t="n">
        <v>35</v>
      </c>
      <c r="T306" t="n">
        <v>45</v>
      </c>
      <c r="U306" t="inlineStr">
        <is>
          <t>2005-08-10</t>
        </is>
      </c>
      <c r="V306" t="inlineStr">
        <is>
          <t>2005-08-10</t>
        </is>
      </c>
      <c r="W306" t="inlineStr">
        <is>
          <t>1990-12-28</t>
        </is>
      </c>
      <c r="X306" t="inlineStr">
        <is>
          <t>1990-12-28</t>
        </is>
      </c>
      <c r="Y306" t="n">
        <v>561</v>
      </c>
      <c r="Z306" t="n">
        <v>460</v>
      </c>
      <c r="AA306" t="n">
        <v>467</v>
      </c>
      <c r="AB306" t="n">
        <v>6</v>
      </c>
      <c r="AC306" t="n">
        <v>6</v>
      </c>
      <c r="AD306" t="n">
        <v>23</v>
      </c>
      <c r="AE306" t="n">
        <v>23</v>
      </c>
      <c r="AF306" t="n">
        <v>9</v>
      </c>
      <c r="AG306" t="n">
        <v>9</v>
      </c>
      <c r="AH306" t="n">
        <v>6</v>
      </c>
      <c r="AI306" t="n">
        <v>6</v>
      </c>
      <c r="AJ306" t="n">
        <v>11</v>
      </c>
      <c r="AK306" t="n">
        <v>11</v>
      </c>
      <c r="AL306" t="n">
        <v>3</v>
      </c>
      <c r="AM306" t="n">
        <v>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HYPERLINK("http://catalog.hathitrust.org/Record/000710503","HathiTrust Record")</f>
        <v/>
      </c>
      <c r="AS306">
        <f>HYPERLINK("https://creighton-primo.hosted.exlibrisgroup.com/primo-explore/search?tab=default_tab&amp;search_scope=EVERYTHING&amp;vid=01CRU&amp;lang=en_US&amp;offset=0&amp;query=any,contains,991001786629702656","Catalog Record")</f>
        <v/>
      </c>
      <c r="AT306">
        <f>HYPERLINK("http://www.worldcat.org/oclc/2020544","WorldCat Record")</f>
        <v/>
      </c>
      <c r="AU306" t="inlineStr">
        <is>
          <t>2703997:eng</t>
        </is>
      </c>
      <c r="AV306" t="inlineStr">
        <is>
          <t>2020544</t>
        </is>
      </c>
      <c r="AW306" t="inlineStr">
        <is>
          <t>991001786629702656</t>
        </is>
      </c>
      <c r="AX306" t="inlineStr">
        <is>
          <t>991001786629702656</t>
        </is>
      </c>
      <c r="AY306" t="inlineStr">
        <is>
          <t>2271395820002656</t>
        </is>
      </c>
      <c r="AZ306" t="inlineStr">
        <is>
          <t>BOOK</t>
        </is>
      </c>
      <c r="BC306" t="inlineStr">
        <is>
          <t>32285000426709</t>
        </is>
      </c>
      <c r="BD306" t="inlineStr">
        <is>
          <t>893791705</t>
        </is>
      </c>
    </row>
    <row r="307">
      <c r="A307" t="inlineStr">
        <is>
          <t>No</t>
        </is>
      </c>
      <c r="B307" t="inlineStr">
        <is>
          <t>RJ506.A9 A922 1981</t>
        </is>
      </c>
      <c r="C307" t="inlineStr">
        <is>
          <t>0                      RJ 0506000A  9                  A  922         1981</t>
        </is>
      </c>
      <c r="D307" t="inlineStr">
        <is>
          <t>Autism, diagnosis, instruction, management, and research / edited by James E. Gilliam.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L307" t="inlineStr">
        <is>
          <t>Springfield, Ill. : Thomas, c1981.</t>
        </is>
      </c>
      <c r="M307" t="inlineStr">
        <is>
          <t>1981</t>
        </is>
      </c>
      <c r="O307" t="inlineStr">
        <is>
          <t>eng</t>
        </is>
      </c>
      <c r="P307" t="inlineStr">
        <is>
          <t>ilu</t>
        </is>
      </c>
      <c r="R307" t="inlineStr">
        <is>
          <t xml:space="preserve">RJ </t>
        </is>
      </c>
      <c r="S307" t="n">
        <v>33</v>
      </c>
      <c r="T307" t="n">
        <v>33</v>
      </c>
      <c r="U307" t="inlineStr">
        <is>
          <t>2004-10-12</t>
        </is>
      </c>
      <c r="V307" t="inlineStr">
        <is>
          <t>2004-10-12</t>
        </is>
      </c>
      <c r="W307" t="inlineStr">
        <is>
          <t>1990-07-02</t>
        </is>
      </c>
      <c r="X307" t="inlineStr">
        <is>
          <t>1990-07-02</t>
        </is>
      </c>
      <c r="Y307" t="n">
        <v>231</v>
      </c>
      <c r="Z307" t="n">
        <v>208</v>
      </c>
      <c r="AA307" t="n">
        <v>213</v>
      </c>
      <c r="AB307" t="n">
        <v>2</v>
      </c>
      <c r="AC307" t="n">
        <v>2</v>
      </c>
      <c r="AD307" t="n">
        <v>3</v>
      </c>
      <c r="AE307" t="n">
        <v>3</v>
      </c>
      <c r="AF307" t="n">
        <v>1</v>
      </c>
      <c r="AG307" t="n">
        <v>1</v>
      </c>
      <c r="AH307" t="n">
        <v>0</v>
      </c>
      <c r="AI307" t="n">
        <v>0</v>
      </c>
      <c r="AJ307" t="n">
        <v>1</v>
      </c>
      <c r="AK307" t="n">
        <v>1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HYPERLINK("https://creighton-primo.hosted.exlibrisgroup.com/primo-explore/search?tab=default_tab&amp;search_scope=EVERYTHING&amp;vid=01CRU&amp;lang=en_US&amp;offset=0&amp;query=any,contains,991005082729702656","Catalog Record")</f>
        <v/>
      </c>
      <c r="AT307">
        <f>HYPERLINK("http://www.worldcat.org/oclc/7175089","WorldCat Record")</f>
        <v/>
      </c>
      <c r="AU307" t="inlineStr">
        <is>
          <t>472189:eng</t>
        </is>
      </c>
      <c r="AV307" t="inlineStr">
        <is>
          <t>7175089</t>
        </is>
      </c>
      <c r="AW307" t="inlineStr">
        <is>
          <t>991005082729702656</t>
        </is>
      </c>
      <c r="AX307" t="inlineStr">
        <is>
          <t>991005082729702656</t>
        </is>
      </c>
      <c r="AY307" t="inlineStr">
        <is>
          <t>2272208420002656</t>
        </is>
      </c>
      <c r="AZ307" t="inlineStr">
        <is>
          <t>BOOK</t>
        </is>
      </c>
      <c r="BB307" t="inlineStr">
        <is>
          <t>9780398040727</t>
        </is>
      </c>
      <c r="BC307" t="inlineStr">
        <is>
          <t>32285000219088</t>
        </is>
      </c>
      <c r="BD307" t="inlineStr">
        <is>
          <t>893895830</t>
        </is>
      </c>
    </row>
    <row r="308">
      <c r="A308" t="inlineStr">
        <is>
          <t>No</t>
        </is>
      </c>
      <c r="B308" t="inlineStr">
        <is>
          <t>RJ506.A9 A9223 1992</t>
        </is>
      </c>
      <c r="C308" t="inlineStr">
        <is>
          <t>0                      RJ 0506000A  9                  A  9223        1992</t>
        </is>
      </c>
      <c r="D308" t="inlineStr">
        <is>
          <t>Autism : identification, education, and treatment / edited by Dianne E. Berkell.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Yes</t>
        </is>
      </c>
      <c r="J308" t="inlineStr">
        <is>
          <t>0</t>
        </is>
      </c>
      <c r="L308" t="inlineStr">
        <is>
          <t>Hillsdale, N.J. : L. Erlbaum, 1992.</t>
        </is>
      </c>
      <c r="M308" t="inlineStr">
        <is>
          <t>1992</t>
        </is>
      </c>
      <c r="O308" t="inlineStr">
        <is>
          <t>eng</t>
        </is>
      </c>
      <c r="P308" t="inlineStr">
        <is>
          <t>nju</t>
        </is>
      </c>
      <c r="R308" t="inlineStr">
        <is>
          <t xml:space="preserve">RJ </t>
        </is>
      </c>
      <c r="S308" t="n">
        <v>70</v>
      </c>
      <c r="T308" t="n">
        <v>70</v>
      </c>
      <c r="U308" t="inlineStr">
        <is>
          <t>2010-09-07</t>
        </is>
      </c>
      <c r="V308" t="inlineStr">
        <is>
          <t>2010-09-07</t>
        </is>
      </c>
      <c r="W308" t="inlineStr">
        <is>
          <t>1992-12-16</t>
        </is>
      </c>
      <c r="X308" t="inlineStr">
        <is>
          <t>1992-12-16</t>
        </is>
      </c>
      <c r="Y308" t="n">
        <v>248</v>
      </c>
      <c r="Z308" t="n">
        <v>188</v>
      </c>
      <c r="AA308" t="n">
        <v>1422</v>
      </c>
      <c r="AB308" t="n">
        <v>2</v>
      </c>
      <c r="AC308" t="n">
        <v>43</v>
      </c>
      <c r="AD308" t="n">
        <v>5</v>
      </c>
      <c r="AE308" t="n">
        <v>39</v>
      </c>
      <c r="AF308" t="n">
        <v>0</v>
      </c>
      <c r="AG308" t="n">
        <v>15</v>
      </c>
      <c r="AH308" t="n">
        <v>1</v>
      </c>
      <c r="AI308" t="n">
        <v>8</v>
      </c>
      <c r="AJ308" t="n">
        <v>3</v>
      </c>
      <c r="AK308" t="n">
        <v>13</v>
      </c>
      <c r="AL308" t="n">
        <v>1</v>
      </c>
      <c r="AM308" t="n">
        <v>11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HYPERLINK("http://catalog.hathitrust.org/Record/002809725","HathiTrust Record")</f>
        <v/>
      </c>
      <c r="AS308">
        <f>HYPERLINK("https://creighton-primo.hosted.exlibrisgroup.com/primo-explore/search?tab=default_tab&amp;search_scope=EVERYTHING&amp;vid=01CRU&amp;lang=en_US&amp;offset=0&amp;query=any,contains,991005266649702656","Catalog Record")</f>
        <v/>
      </c>
      <c r="AT308">
        <f>HYPERLINK("http://www.worldcat.org/oclc/24067303","WorldCat Record")</f>
        <v/>
      </c>
      <c r="AU308" t="inlineStr">
        <is>
          <t>799777087:eng</t>
        </is>
      </c>
      <c r="AV308" t="inlineStr">
        <is>
          <t>24067303</t>
        </is>
      </c>
      <c r="AW308" t="inlineStr">
        <is>
          <t>991005266649702656</t>
        </is>
      </c>
      <c r="AX308" t="inlineStr">
        <is>
          <t>991005266649702656</t>
        </is>
      </c>
      <c r="AY308" t="inlineStr">
        <is>
          <t>2258361940002656</t>
        </is>
      </c>
      <c r="AZ308" t="inlineStr">
        <is>
          <t>BOOK</t>
        </is>
      </c>
      <c r="BC308" t="inlineStr">
        <is>
          <t>32285001403061</t>
        </is>
      </c>
      <c r="BD308" t="inlineStr">
        <is>
          <t>893501607</t>
        </is>
      </c>
    </row>
    <row r="309">
      <c r="A309" t="inlineStr">
        <is>
          <t>No</t>
        </is>
      </c>
      <c r="B309" t="inlineStr">
        <is>
          <t>RJ506.A9 A925</t>
        </is>
      </c>
      <c r="C309" t="inlineStr">
        <is>
          <t>0                      RJ 0506000A  9                  A  925</t>
        </is>
      </c>
      <c r="D309" t="inlineStr">
        <is>
          <t>Autistic children : teaching, community, and research approaches / compiled and edited by Barbara Furneaux and Brian Roberts ; with contributions from Sybil Elgar ... [et al.].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London ; Boston : Routledge &amp; Kegan Paul, 1977.</t>
        </is>
      </c>
      <c r="M309" t="inlineStr">
        <is>
          <t>1977</t>
        </is>
      </c>
      <c r="O309" t="inlineStr">
        <is>
          <t>eng</t>
        </is>
      </c>
      <c r="P309" t="inlineStr">
        <is>
          <t>enk</t>
        </is>
      </c>
      <c r="Q309" t="inlineStr">
        <is>
          <t>Special needs in education</t>
        </is>
      </c>
      <c r="R309" t="inlineStr">
        <is>
          <t xml:space="preserve">RJ </t>
        </is>
      </c>
      <c r="S309" t="n">
        <v>20</v>
      </c>
      <c r="T309" t="n">
        <v>20</v>
      </c>
      <c r="U309" t="inlineStr">
        <is>
          <t>1999-04-24</t>
        </is>
      </c>
      <c r="V309" t="inlineStr">
        <is>
          <t>1999-04-24</t>
        </is>
      </c>
      <c r="W309" t="inlineStr">
        <is>
          <t>1990-07-02</t>
        </is>
      </c>
      <c r="X309" t="inlineStr">
        <is>
          <t>1990-07-02</t>
        </is>
      </c>
      <c r="Y309" t="n">
        <v>661</v>
      </c>
      <c r="Z309" t="n">
        <v>456</v>
      </c>
      <c r="AA309" t="n">
        <v>497</v>
      </c>
      <c r="AB309" t="n">
        <v>4</v>
      </c>
      <c r="AC309" t="n">
        <v>4</v>
      </c>
      <c r="AD309" t="n">
        <v>21</v>
      </c>
      <c r="AE309" t="n">
        <v>21</v>
      </c>
      <c r="AF309" t="n">
        <v>6</v>
      </c>
      <c r="AG309" t="n">
        <v>6</v>
      </c>
      <c r="AH309" t="n">
        <v>5</v>
      </c>
      <c r="AI309" t="n">
        <v>5</v>
      </c>
      <c r="AJ309" t="n">
        <v>10</v>
      </c>
      <c r="AK309" t="n">
        <v>10</v>
      </c>
      <c r="AL309" t="n">
        <v>3</v>
      </c>
      <c r="AM309" t="n">
        <v>3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HYPERLINK("http://catalog.hathitrust.org/Record/004415571","HathiTrust Record")</f>
        <v/>
      </c>
      <c r="AS309">
        <f>HYPERLINK("https://creighton-primo.hosted.exlibrisgroup.com/primo-explore/search?tab=default_tab&amp;search_scope=EVERYTHING&amp;vid=01CRU&amp;lang=en_US&amp;offset=0&amp;query=any,contains,991004545599702656","Catalog Record")</f>
        <v/>
      </c>
      <c r="AT309">
        <f>HYPERLINK("http://www.worldcat.org/oclc/3680115","WorldCat Record")</f>
        <v/>
      </c>
      <c r="AU309" t="inlineStr">
        <is>
          <t>353259066:eng</t>
        </is>
      </c>
      <c r="AV309" t="inlineStr">
        <is>
          <t>3680115</t>
        </is>
      </c>
      <c r="AW309" t="inlineStr">
        <is>
          <t>991004545599702656</t>
        </is>
      </c>
      <c r="AX309" t="inlineStr">
        <is>
          <t>991004545599702656</t>
        </is>
      </c>
      <c r="AY309" t="inlineStr">
        <is>
          <t>2258234820002656</t>
        </is>
      </c>
      <c r="AZ309" t="inlineStr">
        <is>
          <t>BOOK</t>
        </is>
      </c>
      <c r="BB309" t="inlineStr">
        <is>
          <t>9780710087041</t>
        </is>
      </c>
      <c r="BC309" t="inlineStr">
        <is>
          <t>32285000219096</t>
        </is>
      </c>
      <c r="BD309" t="inlineStr">
        <is>
          <t>893807210</t>
        </is>
      </c>
    </row>
    <row r="310">
      <c r="A310" t="inlineStr">
        <is>
          <t>No</t>
        </is>
      </c>
      <c r="B310" t="inlineStr">
        <is>
          <t>RJ506.A9 A93</t>
        </is>
      </c>
      <c r="C310" t="inlineStr">
        <is>
          <t>0                      RJ 0506000A  9                  A  93</t>
        </is>
      </c>
      <c r="D310" t="inlineStr">
        <is>
          <t>The Autistic syndromes / Mary Coleman, editor.</t>
        </is>
      </c>
      <c r="F310" t="inlineStr">
        <is>
          <t>No</t>
        </is>
      </c>
      <c r="G310" t="inlineStr">
        <is>
          <t>1</t>
        </is>
      </c>
      <c r="H310" t="inlineStr">
        <is>
          <t>Yes</t>
        </is>
      </c>
      <c r="I310" t="inlineStr">
        <is>
          <t>No</t>
        </is>
      </c>
      <c r="J310" t="inlineStr">
        <is>
          <t>0</t>
        </is>
      </c>
      <c r="L310" t="inlineStr">
        <is>
          <t>Amsterdam : North-Holland Pub. Co. ; New York : American Elsevier Pub. Co., 1976.</t>
        </is>
      </c>
      <c r="M310" t="inlineStr">
        <is>
          <t>1976</t>
        </is>
      </c>
      <c r="O310" t="inlineStr">
        <is>
          <t>eng</t>
        </is>
      </c>
      <c r="P310" t="inlineStr">
        <is>
          <t xml:space="preserve">ne </t>
        </is>
      </c>
      <c r="R310" t="inlineStr">
        <is>
          <t xml:space="preserve">RJ </t>
        </is>
      </c>
      <c r="S310" t="n">
        <v>12</v>
      </c>
      <c r="T310" t="n">
        <v>16</v>
      </c>
      <c r="U310" t="inlineStr">
        <is>
          <t>2001-02-24</t>
        </is>
      </c>
      <c r="V310" t="inlineStr">
        <is>
          <t>2003-11-17</t>
        </is>
      </c>
      <c r="W310" t="inlineStr">
        <is>
          <t>1992-01-28</t>
        </is>
      </c>
      <c r="X310" t="inlineStr">
        <is>
          <t>1992-01-28</t>
        </is>
      </c>
      <c r="Y310" t="n">
        <v>206</v>
      </c>
      <c r="Z310" t="n">
        <v>126</v>
      </c>
      <c r="AA310" t="n">
        <v>128</v>
      </c>
      <c r="AB310" t="n">
        <v>2</v>
      </c>
      <c r="AC310" t="n">
        <v>2</v>
      </c>
      <c r="AD310" t="n">
        <v>3</v>
      </c>
      <c r="AE310" t="n">
        <v>3</v>
      </c>
      <c r="AF310" t="n">
        <v>1</v>
      </c>
      <c r="AG310" t="n">
        <v>1</v>
      </c>
      <c r="AH310" t="n">
        <v>0</v>
      </c>
      <c r="AI310" t="n">
        <v>0</v>
      </c>
      <c r="AJ310" t="n">
        <v>2</v>
      </c>
      <c r="AK310" t="n">
        <v>2</v>
      </c>
      <c r="AL310" t="n">
        <v>0</v>
      </c>
      <c r="AM310" t="n">
        <v>0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HYPERLINK("http://catalog.hathitrust.org/Record/000737537","HathiTrust Record")</f>
        <v/>
      </c>
      <c r="AS310">
        <f>HYPERLINK("https://creighton-primo.hosted.exlibrisgroup.com/primo-explore/search?tab=default_tab&amp;search_scope=EVERYTHING&amp;vid=01CRU&amp;lang=en_US&amp;offset=0&amp;query=any,contains,991001772699702656","Catalog Record")</f>
        <v/>
      </c>
      <c r="AT310">
        <f>HYPERLINK("http://www.worldcat.org/oclc/2358084","WorldCat Record")</f>
        <v/>
      </c>
      <c r="AU310" t="inlineStr">
        <is>
          <t>54125976:eng</t>
        </is>
      </c>
      <c r="AV310" t="inlineStr">
        <is>
          <t>2358084</t>
        </is>
      </c>
      <c r="AW310" t="inlineStr">
        <is>
          <t>991001772699702656</t>
        </is>
      </c>
      <c r="AX310" t="inlineStr">
        <is>
          <t>991001772699702656</t>
        </is>
      </c>
      <c r="AY310" t="inlineStr">
        <is>
          <t>2261003130002656</t>
        </is>
      </c>
      <c r="AZ310" t="inlineStr">
        <is>
          <t>BOOK</t>
        </is>
      </c>
      <c r="BB310" t="inlineStr">
        <is>
          <t>9780444112019</t>
        </is>
      </c>
      <c r="BC310" t="inlineStr">
        <is>
          <t>32285000919224</t>
        </is>
      </c>
      <c r="BD310" t="inlineStr">
        <is>
          <t>893879158</t>
        </is>
      </c>
    </row>
    <row r="311">
      <c r="A311" t="inlineStr">
        <is>
          <t>No</t>
        </is>
      </c>
      <c r="B311" t="inlineStr">
        <is>
          <t>RJ506.A9 B28 1993</t>
        </is>
      </c>
      <c r="C311" t="inlineStr">
        <is>
          <t>0                      RJ 0506000A  9                  B  28          1993</t>
        </is>
      </c>
      <c r="D311" t="inlineStr">
        <is>
          <t>Autism : the facts / Simon Baron-Cohen and Patrick Bolton.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Baron-Cohen, Simon.</t>
        </is>
      </c>
      <c r="L311" t="inlineStr">
        <is>
          <t>Oxford ; New York : Oxford University Press, 1993.</t>
        </is>
      </c>
      <c r="M311" t="inlineStr">
        <is>
          <t>1993</t>
        </is>
      </c>
      <c r="O311" t="inlineStr">
        <is>
          <t>eng</t>
        </is>
      </c>
      <c r="P311" t="inlineStr">
        <is>
          <t>enk</t>
        </is>
      </c>
      <c r="Q311" t="inlineStr">
        <is>
          <t>Oxford medical publications</t>
        </is>
      </c>
      <c r="R311" t="inlineStr">
        <is>
          <t xml:space="preserve">RJ </t>
        </is>
      </c>
      <c r="S311" t="n">
        <v>75</v>
      </c>
      <c r="T311" t="n">
        <v>75</v>
      </c>
      <c r="U311" t="inlineStr">
        <is>
          <t>2010-11-28</t>
        </is>
      </c>
      <c r="V311" t="inlineStr">
        <is>
          <t>2010-11-28</t>
        </is>
      </c>
      <c r="W311" t="inlineStr">
        <is>
          <t>1993-08-25</t>
        </is>
      </c>
      <c r="X311" t="inlineStr">
        <is>
          <t>1993-08-25</t>
        </is>
      </c>
      <c r="Y311" t="n">
        <v>491</v>
      </c>
      <c r="Z311" t="n">
        <v>269</v>
      </c>
      <c r="AA311" t="n">
        <v>281</v>
      </c>
      <c r="AB311" t="n">
        <v>2</v>
      </c>
      <c r="AC311" t="n">
        <v>2</v>
      </c>
      <c r="AD311" t="n">
        <v>7</v>
      </c>
      <c r="AE311" t="n">
        <v>7</v>
      </c>
      <c r="AF311" t="n">
        <v>2</v>
      </c>
      <c r="AG311" t="n">
        <v>2</v>
      </c>
      <c r="AH311" t="n">
        <v>2</v>
      </c>
      <c r="AI311" t="n">
        <v>2</v>
      </c>
      <c r="AJ311" t="n">
        <v>3</v>
      </c>
      <c r="AK311" t="n">
        <v>3</v>
      </c>
      <c r="AL311" t="n">
        <v>1</v>
      </c>
      <c r="AM311" t="n">
        <v>1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HYPERLINK("https://creighton-primo.hosted.exlibrisgroup.com/primo-explore/search?tab=default_tab&amp;search_scope=EVERYTHING&amp;vid=01CRU&amp;lang=en_US&amp;offset=0&amp;query=any,contains,991002053399702656","Catalog Record")</f>
        <v/>
      </c>
      <c r="AT311">
        <f>HYPERLINK("http://www.worldcat.org/oclc/26219576","WorldCat Record")</f>
        <v/>
      </c>
      <c r="AU311" t="inlineStr">
        <is>
          <t>9999935:eng</t>
        </is>
      </c>
      <c r="AV311" t="inlineStr">
        <is>
          <t>26219576</t>
        </is>
      </c>
      <c r="AW311" t="inlineStr">
        <is>
          <t>991002053399702656</t>
        </is>
      </c>
      <c r="AX311" t="inlineStr">
        <is>
          <t>991002053399702656</t>
        </is>
      </c>
      <c r="AY311" t="inlineStr">
        <is>
          <t>2267829990002656</t>
        </is>
      </c>
      <c r="AZ311" t="inlineStr">
        <is>
          <t>BOOK</t>
        </is>
      </c>
      <c r="BB311" t="inlineStr">
        <is>
          <t>9780192623270</t>
        </is>
      </c>
      <c r="BC311" t="inlineStr">
        <is>
          <t>32285001728525</t>
        </is>
      </c>
      <c r="BD311" t="inlineStr">
        <is>
          <t>893703615</t>
        </is>
      </c>
    </row>
    <row r="312">
      <c r="A312" t="inlineStr">
        <is>
          <t>No</t>
        </is>
      </c>
      <c r="B312" t="inlineStr">
        <is>
          <t>RJ506.A9 B4</t>
        </is>
      </c>
      <c r="C312" t="inlineStr">
        <is>
          <t>0                      RJ 0506000A  9                  B  4</t>
        </is>
      </c>
      <c r="D312" t="inlineStr">
        <is>
          <t>The empty fortress : infantile autism and the birth of the self.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Bettelheim, Bruno.</t>
        </is>
      </c>
      <c r="L312" t="inlineStr">
        <is>
          <t>New York : Free Press, [1967]</t>
        </is>
      </c>
      <c r="M312" t="inlineStr">
        <is>
          <t>1967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RJ </t>
        </is>
      </c>
      <c r="S312" t="n">
        <v>1</v>
      </c>
      <c r="T312" t="n">
        <v>1</v>
      </c>
      <c r="U312" t="inlineStr">
        <is>
          <t>1992-11-16</t>
        </is>
      </c>
      <c r="V312" t="inlineStr">
        <is>
          <t>1992-11-16</t>
        </is>
      </c>
      <c r="W312" t="inlineStr">
        <is>
          <t>1992-11-16</t>
        </is>
      </c>
      <c r="X312" t="inlineStr">
        <is>
          <t>1992-11-16</t>
        </is>
      </c>
      <c r="Y312" t="n">
        <v>1521</v>
      </c>
      <c r="Z312" t="n">
        <v>1292</v>
      </c>
      <c r="AA312" t="n">
        <v>1379</v>
      </c>
      <c r="AB312" t="n">
        <v>11</v>
      </c>
      <c r="AC312" t="n">
        <v>11</v>
      </c>
      <c r="AD312" t="n">
        <v>48</v>
      </c>
      <c r="AE312" t="n">
        <v>49</v>
      </c>
      <c r="AF312" t="n">
        <v>18</v>
      </c>
      <c r="AG312" t="n">
        <v>18</v>
      </c>
      <c r="AH312" t="n">
        <v>10</v>
      </c>
      <c r="AI312" t="n">
        <v>11</v>
      </c>
      <c r="AJ312" t="n">
        <v>24</v>
      </c>
      <c r="AK312" t="n">
        <v>25</v>
      </c>
      <c r="AL312" t="n">
        <v>8</v>
      </c>
      <c r="AM312" t="n">
        <v>8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HYPERLINK("http://catalog.hathitrust.org/Record/001571014","HathiTrust Record")</f>
        <v/>
      </c>
      <c r="AS312">
        <f>HYPERLINK("https://creighton-primo.hosted.exlibrisgroup.com/primo-explore/search?tab=default_tab&amp;search_scope=EVERYTHING&amp;vid=01CRU&amp;lang=en_US&amp;offset=0&amp;query=any,contains,991005265339702656","Catalog Record")</f>
        <v/>
      </c>
      <c r="AT312">
        <f>HYPERLINK("http://www.worldcat.org/oclc/619444","WorldCat Record")</f>
        <v/>
      </c>
      <c r="AU312" t="inlineStr">
        <is>
          <t>400372:eng</t>
        </is>
      </c>
      <c r="AV312" t="inlineStr">
        <is>
          <t>619444</t>
        </is>
      </c>
      <c r="AW312" t="inlineStr">
        <is>
          <t>991005265339702656</t>
        </is>
      </c>
      <c r="AX312" t="inlineStr">
        <is>
          <t>991005265339702656</t>
        </is>
      </c>
      <c r="AY312" t="inlineStr">
        <is>
          <t>2269873090002656</t>
        </is>
      </c>
      <c r="AZ312" t="inlineStr">
        <is>
          <t>BOOK</t>
        </is>
      </c>
      <c r="BC312" t="inlineStr">
        <is>
          <t>32285001364404</t>
        </is>
      </c>
      <c r="BD312" t="inlineStr">
        <is>
          <t>893707554</t>
        </is>
      </c>
    </row>
    <row r="313">
      <c r="A313" t="inlineStr">
        <is>
          <t>No</t>
        </is>
      </c>
      <c r="B313" t="inlineStr">
        <is>
          <t>RJ506.A9 B6713</t>
        </is>
      </c>
      <c r="C313" t="inlineStr">
        <is>
          <t>0                      RJ 0506000A  9                  B  6713</t>
        </is>
      </c>
      <c r="D313" t="inlineStr">
        <is>
          <t>Infantile autism : a clinical and phenomenological-anthropological investigation taking language as the guide / translated by Derek and Inge Jordan. With a foreword by Bruno Bettelheim.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Bosch, Gerhard, 1918-</t>
        </is>
      </c>
      <c r="L313" t="inlineStr">
        <is>
          <t>Berlin ; New York : Springer-Verlag, 1970.</t>
        </is>
      </c>
      <c r="M313" t="inlineStr">
        <is>
          <t>1970</t>
        </is>
      </c>
      <c r="O313" t="inlineStr">
        <is>
          <t>eng</t>
        </is>
      </c>
      <c r="P313" t="inlineStr">
        <is>
          <t xml:space="preserve">gw </t>
        </is>
      </c>
      <c r="R313" t="inlineStr">
        <is>
          <t xml:space="preserve">RJ </t>
        </is>
      </c>
      <c r="S313" t="n">
        <v>7</v>
      </c>
      <c r="T313" t="n">
        <v>7</v>
      </c>
      <c r="U313" t="inlineStr">
        <is>
          <t>1999-04-24</t>
        </is>
      </c>
      <c r="V313" t="inlineStr">
        <is>
          <t>1999-04-24</t>
        </is>
      </c>
      <c r="W313" t="inlineStr">
        <is>
          <t>1992-11-16</t>
        </is>
      </c>
      <c r="X313" t="inlineStr">
        <is>
          <t>1992-11-16</t>
        </is>
      </c>
      <c r="Y313" t="n">
        <v>285</v>
      </c>
      <c r="Z313" t="n">
        <v>217</v>
      </c>
      <c r="AA313" t="n">
        <v>242</v>
      </c>
      <c r="AB313" t="n">
        <v>2</v>
      </c>
      <c r="AC313" t="n">
        <v>2</v>
      </c>
      <c r="AD313" t="n">
        <v>9</v>
      </c>
      <c r="AE313" t="n">
        <v>9</v>
      </c>
      <c r="AF313" t="n">
        <v>2</v>
      </c>
      <c r="AG313" t="n">
        <v>2</v>
      </c>
      <c r="AH313" t="n">
        <v>2</v>
      </c>
      <c r="AI313" t="n">
        <v>2</v>
      </c>
      <c r="AJ313" t="n">
        <v>6</v>
      </c>
      <c r="AK313" t="n">
        <v>6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HYPERLINK("http://catalog.hathitrust.org/Record/000001262","HathiTrust Record")</f>
        <v/>
      </c>
      <c r="AS313">
        <f>HYPERLINK("https://creighton-primo.hosted.exlibrisgroup.com/primo-explore/search?tab=default_tab&amp;search_scope=EVERYTHING&amp;vid=01CRU&amp;lang=en_US&amp;offset=0&amp;query=any,contains,991000557729702656","Catalog Record")</f>
        <v/>
      </c>
      <c r="AT313">
        <f>HYPERLINK("http://www.worldcat.org/oclc/93352","WorldCat Record")</f>
        <v/>
      </c>
      <c r="AU313" t="inlineStr">
        <is>
          <t>355960269:eng</t>
        </is>
      </c>
      <c r="AV313" t="inlineStr">
        <is>
          <t>93352</t>
        </is>
      </c>
      <c r="AW313" t="inlineStr">
        <is>
          <t>991000557729702656</t>
        </is>
      </c>
      <c r="AX313" t="inlineStr">
        <is>
          <t>991000557729702656</t>
        </is>
      </c>
      <c r="AY313" t="inlineStr">
        <is>
          <t>2262957640002656</t>
        </is>
      </c>
      <c r="AZ313" t="inlineStr">
        <is>
          <t>BOOK</t>
        </is>
      </c>
      <c r="BC313" t="inlineStr">
        <is>
          <t>32285001384972</t>
        </is>
      </c>
      <c r="BD313" t="inlineStr">
        <is>
          <t>893339658</t>
        </is>
      </c>
    </row>
    <row r="314">
      <c r="A314" t="inlineStr">
        <is>
          <t>No</t>
        </is>
      </c>
      <c r="B314" t="inlineStr">
        <is>
          <t>RJ506.A9 C47</t>
        </is>
      </c>
      <c r="C314" t="inlineStr">
        <is>
          <t>0                      RJ 0506000A  9                  C  47</t>
        </is>
      </c>
      <c r="D314" t="inlineStr">
        <is>
          <t>Language of autistic children / Don W. Churchill.</t>
        </is>
      </c>
      <c r="F314" t="inlineStr">
        <is>
          <t>No</t>
        </is>
      </c>
      <c r="G314" t="inlineStr">
        <is>
          <t>1</t>
        </is>
      </c>
      <c r="H314" t="inlineStr">
        <is>
          <t>Yes</t>
        </is>
      </c>
      <c r="I314" t="inlineStr">
        <is>
          <t>No</t>
        </is>
      </c>
      <c r="J314" t="inlineStr">
        <is>
          <t>0</t>
        </is>
      </c>
      <c r="K314" t="inlineStr">
        <is>
          <t>Churchill, Don W., 1930-</t>
        </is>
      </c>
      <c r="L314" t="inlineStr">
        <is>
          <t>Washington : V. H. Winston ; New York : distributed solely by Halsted Press, 1978.</t>
        </is>
      </c>
      <c r="M314" t="inlineStr">
        <is>
          <t>1978</t>
        </is>
      </c>
      <c r="O314" t="inlineStr">
        <is>
          <t>eng</t>
        </is>
      </c>
      <c r="P314" t="inlineStr">
        <is>
          <t>dcu</t>
        </is>
      </c>
      <c r="R314" t="inlineStr">
        <is>
          <t xml:space="preserve">RJ </t>
        </is>
      </c>
      <c r="S314" t="n">
        <v>25</v>
      </c>
      <c r="T314" t="n">
        <v>28</v>
      </c>
      <c r="U314" t="inlineStr">
        <is>
          <t>2000-04-19</t>
        </is>
      </c>
      <c r="V314" t="inlineStr">
        <is>
          <t>2003-11-17</t>
        </is>
      </c>
      <c r="W314" t="inlineStr">
        <is>
          <t>1990-05-25</t>
        </is>
      </c>
      <c r="X314" t="inlineStr">
        <is>
          <t>1990-05-25</t>
        </is>
      </c>
      <c r="Y314" t="n">
        <v>586</v>
      </c>
      <c r="Z314" t="n">
        <v>464</v>
      </c>
      <c r="AA314" t="n">
        <v>466</v>
      </c>
      <c r="AB314" t="n">
        <v>2</v>
      </c>
      <c r="AC314" t="n">
        <v>2</v>
      </c>
      <c r="AD314" t="n">
        <v>14</v>
      </c>
      <c r="AE314" t="n">
        <v>14</v>
      </c>
      <c r="AF314" t="n">
        <v>7</v>
      </c>
      <c r="AG314" t="n">
        <v>7</v>
      </c>
      <c r="AH314" t="n">
        <v>1</v>
      </c>
      <c r="AI314" t="n">
        <v>1</v>
      </c>
      <c r="AJ314" t="n">
        <v>7</v>
      </c>
      <c r="AK314" t="n">
        <v>7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HYPERLINK("http://catalog.hathitrust.org/Record/000687040","HathiTrust Record")</f>
        <v/>
      </c>
      <c r="AS314">
        <f>HYPERLINK("https://creighton-primo.hosted.exlibrisgroup.com/primo-explore/search?tab=default_tab&amp;search_scope=EVERYTHING&amp;vid=01CRU&amp;lang=en_US&amp;offset=0&amp;query=any,contains,991001772779702656","Catalog Record")</f>
        <v/>
      </c>
      <c r="AT314">
        <f>HYPERLINK("http://www.worldcat.org/oclc/3933172","WorldCat Record")</f>
        <v/>
      </c>
      <c r="AU314" t="inlineStr">
        <is>
          <t>13681022:eng</t>
        </is>
      </c>
      <c r="AV314" t="inlineStr">
        <is>
          <t>3933172</t>
        </is>
      </c>
      <c r="AW314" t="inlineStr">
        <is>
          <t>991001772779702656</t>
        </is>
      </c>
      <c r="AX314" t="inlineStr">
        <is>
          <t>991001772779702656</t>
        </is>
      </c>
      <c r="AY314" t="inlineStr">
        <is>
          <t>2266561540002656</t>
        </is>
      </c>
      <c r="AZ314" t="inlineStr">
        <is>
          <t>BOOK</t>
        </is>
      </c>
      <c r="BB314" t="inlineStr">
        <is>
          <t>9780470264171</t>
        </is>
      </c>
      <c r="BC314" t="inlineStr">
        <is>
          <t>32285000167170</t>
        </is>
      </c>
      <c r="BD314" t="inlineStr">
        <is>
          <t>893439437</t>
        </is>
      </c>
    </row>
    <row r="315">
      <c r="A315" t="inlineStr">
        <is>
          <t>No</t>
        </is>
      </c>
      <c r="B315" t="inlineStr">
        <is>
          <t>RJ506.A9 C48</t>
        </is>
      </c>
      <c r="C315" t="inlineStr">
        <is>
          <t>0                      RJ 0506000A  9                  C  48</t>
        </is>
      </c>
      <c r="D315" t="inlineStr">
        <is>
          <t>Psychopathology and child development : research and treatment / edited by Eric Schopler and Robert J. Reichler.</t>
        </is>
      </c>
      <c r="F315" t="inlineStr">
        <is>
          <t>No</t>
        </is>
      </c>
      <c r="G315" t="inlineStr">
        <is>
          <t>1</t>
        </is>
      </c>
      <c r="H315" t="inlineStr">
        <is>
          <t>Yes</t>
        </is>
      </c>
      <c r="I315" t="inlineStr">
        <is>
          <t>No</t>
        </is>
      </c>
      <c r="J315" t="inlineStr">
        <is>
          <t>0</t>
        </is>
      </c>
      <c r="L315" t="inlineStr">
        <is>
          <t>New York : Plenum Press, c1976.</t>
        </is>
      </c>
      <c r="M315" t="inlineStr">
        <is>
          <t>1976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RJ </t>
        </is>
      </c>
      <c r="S315" t="n">
        <v>4</v>
      </c>
      <c r="T315" t="n">
        <v>4</v>
      </c>
      <c r="U315" t="inlineStr">
        <is>
          <t>1994-12-01</t>
        </is>
      </c>
      <c r="V315" t="inlineStr">
        <is>
          <t>1994-12-01</t>
        </is>
      </c>
      <c r="W315" t="inlineStr">
        <is>
          <t>1992-01-28</t>
        </is>
      </c>
      <c r="X315" t="inlineStr">
        <is>
          <t>1992-01-28</t>
        </is>
      </c>
      <c r="Y315" t="n">
        <v>528</v>
      </c>
      <c r="Z315" t="n">
        <v>427</v>
      </c>
      <c r="AA315" t="n">
        <v>447</v>
      </c>
      <c r="AB315" t="n">
        <v>5</v>
      </c>
      <c r="AC315" t="n">
        <v>5</v>
      </c>
      <c r="AD315" t="n">
        <v>25</v>
      </c>
      <c r="AE315" t="n">
        <v>26</v>
      </c>
      <c r="AF315" t="n">
        <v>11</v>
      </c>
      <c r="AG315" t="n">
        <v>12</v>
      </c>
      <c r="AH315" t="n">
        <v>5</v>
      </c>
      <c r="AI315" t="n">
        <v>5</v>
      </c>
      <c r="AJ315" t="n">
        <v>17</v>
      </c>
      <c r="AK315" t="n">
        <v>17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HYPERLINK("http://catalog.hathitrust.org/Record/000687150","HathiTrust Record")</f>
        <v/>
      </c>
      <c r="AS315">
        <f>HYPERLINK("https://creighton-primo.hosted.exlibrisgroup.com/primo-explore/search?tab=default_tab&amp;search_scope=EVERYTHING&amp;vid=01CRU&amp;lang=en_US&amp;offset=0&amp;query=any,contains,991001772289702656","Catalog Record")</f>
        <v/>
      </c>
      <c r="AT315">
        <f>HYPERLINK("http://www.worldcat.org/oclc/1976831","WorldCat Record")</f>
        <v/>
      </c>
      <c r="AU315" t="inlineStr">
        <is>
          <t>889336678:eng</t>
        </is>
      </c>
      <c r="AV315" t="inlineStr">
        <is>
          <t>1976831</t>
        </is>
      </c>
      <c r="AW315" t="inlineStr">
        <is>
          <t>991001772289702656</t>
        </is>
      </c>
      <c r="AX315" t="inlineStr">
        <is>
          <t>991001772289702656</t>
        </is>
      </c>
      <c r="AY315" t="inlineStr">
        <is>
          <t>2268553860002656</t>
        </is>
      </c>
      <c r="AZ315" t="inlineStr">
        <is>
          <t>BOOK</t>
        </is>
      </c>
      <c r="BB315" t="inlineStr">
        <is>
          <t>9780306308703</t>
        </is>
      </c>
      <c r="BC315" t="inlineStr">
        <is>
          <t>32285000919216</t>
        </is>
      </c>
      <c r="BD315" t="inlineStr">
        <is>
          <t>893346764</t>
        </is>
      </c>
    </row>
    <row r="316">
      <c r="A316" t="inlineStr">
        <is>
          <t>No</t>
        </is>
      </c>
      <c r="B316" t="inlineStr">
        <is>
          <t>RJ506.A9 C53 1985</t>
        </is>
      </c>
      <c r="C316" t="inlineStr">
        <is>
          <t>0                      RJ 0506000A  9                  C  53          1985</t>
        </is>
      </c>
      <c r="D316" t="inlineStr">
        <is>
          <t>Classic readings in autism / edited by Anne M. Donnellan.</t>
        </is>
      </c>
      <c r="F316" t="inlineStr">
        <is>
          <t>No</t>
        </is>
      </c>
      <c r="G316" t="inlineStr">
        <is>
          <t>1</t>
        </is>
      </c>
      <c r="H316" t="inlineStr">
        <is>
          <t>Yes</t>
        </is>
      </c>
      <c r="I316" t="inlineStr">
        <is>
          <t>No</t>
        </is>
      </c>
      <c r="J316" t="inlineStr">
        <is>
          <t>0</t>
        </is>
      </c>
      <c r="L316" t="inlineStr">
        <is>
          <t>New York : Teachers College, Columbia University, c1985.</t>
        </is>
      </c>
      <c r="M316" t="inlineStr">
        <is>
          <t>1985</t>
        </is>
      </c>
      <c r="O316" t="inlineStr">
        <is>
          <t>eng</t>
        </is>
      </c>
      <c r="P316" t="inlineStr">
        <is>
          <t>nyu</t>
        </is>
      </c>
      <c r="Q316" t="inlineStr">
        <is>
          <t>Special education series</t>
        </is>
      </c>
      <c r="R316" t="inlineStr">
        <is>
          <t xml:space="preserve">RJ </t>
        </is>
      </c>
      <c r="S316" t="n">
        <v>20</v>
      </c>
      <c r="T316" t="n">
        <v>28</v>
      </c>
      <c r="U316" t="inlineStr">
        <is>
          <t>1998-11-12</t>
        </is>
      </c>
      <c r="V316" t="inlineStr">
        <is>
          <t>1998-11-12</t>
        </is>
      </c>
      <c r="W316" t="inlineStr">
        <is>
          <t>1990-07-02</t>
        </is>
      </c>
      <c r="X316" t="inlineStr">
        <is>
          <t>1990-07-02</t>
        </is>
      </c>
      <c r="Y316" t="n">
        <v>427</v>
      </c>
      <c r="Z316" t="n">
        <v>379</v>
      </c>
      <c r="AA316" t="n">
        <v>380</v>
      </c>
      <c r="AB316" t="n">
        <v>4</v>
      </c>
      <c r="AC316" t="n">
        <v>4</v>
      </c>
      <c r="AD316" t="n">
        <v>14</v>
      </c>
      <c r="AE316" t="n">
        <v>14</v>
      </c>
      <c r="AF316" t="n">
        <v>4</v>
      </c>
      <c r="AG316" t="n">
        <v>4</v>
      </c>
      <c r="AH316" t="n">
        <v>2</v>
      </c>
      <c r="AI316" t="n">
        <v>2</v>
      </c>
      <c r="AJ316" t="n">
        <v>8</v>
      </c>
      <c r="AK316" t="n">
        <v>8</v>
      </c>
      <c r="AL316" t="n">
        <v>2</v>
      </c>
      <c r="AM316" t="n">
        <v>2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HYPERLINK("https://creighton-primo.hosted.exlibrisgroup.com/primo-explore/search?tab=default_tab&amp;search_scope=EVERYTHING&amp;vid=01CRU&amp;lang=en_US&amp;offset=0&amp;query=any,contains,991001772979702656","Catalog Record")</f>
        <v/>
      </c>
      <c r="AT316">
        <f>HYPERLINK("http://www.worldcat.org/oclc/11726472","WorldCat Record")</f>
        <v/>
      </c>
      <c r="AU316" t="inlineStr">
        <is>
          <t>54694522:eng</t>
        </is>
      </c>
      <c r="AV316" t="inlineStr">
        <is>
          <t>11726472</t>
        </is>
      </c>
      <c r="AW316" t="inlineStr">
        <is>
          <t>991001772979702656</t>
        </is>
      </c>
      <c r="AX316" t="inlineStr">
        <is>
          <t>991001772979702656</t>
        </is>
      </c>
      <c r="AY316" t="inlineStr">
        <is>
          <t>2255105240002656</t>
        </is>
      </c>
      <c r="AZ316" t="inlineStr">
        <is>
          <t>BOOK</t>
        </is>
      </c>
      <c r="BB316" t="inlineStr">
        <is>
          <t>9780807727744</t>
        </is>
      </c>
      <c r="BC316" t="inlineStr">
        <is>
          <t>32285000219104</t>
        </is>
      </c>
      <c r="BD316" t="inlineStr">
        <is>
          <t>893602881</t>
        </is>
      </c>
    </row>
    <row r="317">
      <c r="A317" t="inlineStr">
        <is>
          <t>No</t>
        </is>
      </c>
      <c r="B317" t="inlineStr">
        <is>
          <t>RJ506.A9 C6</t>
        </is>
      </c>
      <c r="C317" t="inlineStr">
        <is>
          <t>0                      RJ 0506000A  9                  C  6</t>
        </is>
      </c>
      <c r="D317" t="inlineStr">
        <is>
          <t>Group treatment of autistic children / [by] Hubert S. Coffey [and] Louise L. Wiener. Collaborators: Carter Umbarger [and others]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Coffey, Hubert S.</t>
        </is>
      </c>
      <c r="L317" t="inlineStr">
        <is>
          <t>Englewood Cliffs, N.J. : Prentice-Hall, [1967]</t>
        </is>
      </c>
      <c r="M317" t="inlineStr">
        <is>
          <t>1967</t>
        </is>
      </c>
      <c r="O317" t="inlineStr">
        <is>
          <t>eng</t>
        </is>
      </c>
      <c r="P317" t="inlineStr">
        <is>
          <t>nju</t>
        </is>
      </c>
      <c r="Q317" t="inlineStr">
        <is>
          <t>Prentice-Hall psychology series</t>
        </is>
      </c>
      <c r="R317" t="inlineStr">
        <is>
          <t xml:space="preserve">RJ </t>
        </is>
      </c>
      <c r="S317" t="n">
        <v>4</v>
      </c>
      <c r="T317" t="n">
        <v>4</v>
      </c>
      <c r="U317" t="inlineStr">
        <is>
          <t>1993-10-15</t>
        </is>
      </c>
      <c r="V317" t="inlineStr">
        <is>
          <t>1993-10-15</t>
        </is>
      </c>
      <c r="W317" t="inlineStr">
        <is>
          <t>1992-11-16</t>
        </is>
      </c>
      <c r="X317" t="inlineStr">
        <is>
          <t>1992-11-16</t>
        </is>
      </c>
      <c r="Y317" t="n">
        <v>403</v>
      </c>
      <c r="Z317" t="n">
        <v>300</v>
      </c>
      <c r="AA317" t="n">
        <v>302</v>
      </c>
      <c r="AB317" t="n">
        <v>5</v>
      </c>
      <c r="AC317" t="n">
        <v>5</v>
      </c>
      <c r="AD317" t="n">
        <v>18</v>
      </c>
      <c r="AE317" t="n">
        <v>18</v>
      </c>
      <c r="AF317" t="n">
        <v>3</v>
      </c>
      <c r="AG317" t="n">
        <v>3</v>
      </c>
      <c r="AH317" t="n">
        <v>6</v>
      </c>
      <c r="AI317" t="n">
        <v>6</v>
      </c>
      <c r="AJ317" t="n">
        <v>9</v>
      </c>
      <c r="AK317" t="n">
        <v>9</v>
      </c>
      <c r="AL317" t="n">
        <v>4</v>
      </c>
      <c r="AM317" t="n">
        <v>4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HYPERLINK("http://catalog.hathitrust.org/Record/001571015","HathiTrust Record")</f>
        <v/>
      </c>
      <c r="AS317">
        <f>HYPERLINK("https://creighton-primo.hosted.exlibrisgroup.com/primo-explore/search?tab=default_tab&amp;search_scope=EVERYTHING&amp;vid=01CRU&amp;lang=en_US&amp;offset=0&amp;query=any,contains,991003041769702656","Catalog Record")</f>
        <v/>
      </c>
      <c r="AT317">
        <f>HYPERLINK("http://www.worldcat.org/oclc/602986","WorldCat Record")</f>
        <v/>
      </c>
      <c r="AU317" t="inlineStr">
        <is>
          <t>505216477:eng</t>
        </is>
      </c>
      <c r="AV317" t="inlineStr">
        <is>
          <t>602986</t>
        </is>
      </c>
      <c r="AW317" t="inlineStr">
        <is>
          <t>991003041769702656</t>
        </is>
      </c>
      <c r="AX317" t="inlineStr">
        <is>
          <t>991003041769702656</t>
        </is>
      </c>
      <c r="AY317" t="inlineStr">
        <is>
          <t>2260177560002656</t>
        </is>
      </c>
      <c r="AZ317" t="inlineStr">
        <is>
          <t>BOOK</t>
        </is>
      </c>
      <c r="BC317" t="inlineStr">
        <is>
          <t>32285001384964</t>
        </is>
      </c>
      <c r="BD317" t="inlineStr">
        <is>
          <t>893692335</t>
        </is>
      </c>
    </row>
    <row r="318">
      <c r="A318" t="inlineStr">
        <is>
          <t>No</t>
        </is>
      </c>
      <c r="B318" t="inlineStr">
        <is>
          <t>RJ506.A9 C64 1985</t>
        </is>
      </c>
      <c r="C318" t="inlineStr">
        <is>
          <t>0                      RJ 0506000A  9                  C  64          1985</t>
        </is>
      </c>
      <c r="D318" t="inlineStr">
        <is>
          <t>The biology of the autistic syndromes / by Mary Coleman, Christopher Gillberg.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Coleman, Mary.</t>
        </is>
      </c>
      <c r="L318" t="inlineStr">
        <is>
          <t>[New York, N.Y.] : Praeger, 1985.</t>
        </is>
      </c>
      <c r="M318" t="inlineStr">
        <is>
          <t>1985</t>
        </is>
      </c>
      <c r="O318" t="inlineStr">
        <is>
          <t>eng</t>
        </is>
      </c>
      <c r="P318" t="inlineStr">
        <is>
          <t>nyu</t>
        </is>
      </c>
      <c r="R318" t="inlineStr">
        <is>
          <t xml:space="preserve">RJ </t>
        </is>
      </c>
      <c r="S318" t="n">
        <v>20</v>
      </c>
      <c r="T318" t="n">
        <v>20</v>
      </c>
      <c r="U318" t="inlineStr">
        <is>
          <t>2000-11-04</t>
        </is>
      </c>
      <c r="V318" t="inlineStr">
        <is>
          <t>2000-11-04</t>
        </is>
      </c>
      <c r="W318" t="inlineStr">
        <is>
          <t>1991-12-17</t>
        </is>
      </c>
      <c r="X318" t="inlineStr">
        <is>
          <t>1991-12-17</t>
        </is>
      </c>
      <c r="Y318" t="n">
        <v>186</v>
      </c>
      <c r="Z318" t="n">
        <v>153</v>
      </c>
      <c r="AA318" t="n">
        <v>357</v>
      </c>
      <c r="AB318" t="n">
        <v>3</v>
      </c>
      <c r="AC318" t="n">
        <v>3</v>
      </c>
      <c r="AD318" t="n">
        <v>4</v>
      </c>
      <c r="AE318" t="n">
        <v>18</v>
      </c>
      <c r="AF318" t="n">
        <v>0</v>
      </c>
      <c r="AG318" t="n">
        <v>6</v>
      </c>
      <c r="AH318" t="n">
        <v>1</v>
      </c>
      <c r="AI318" t="n">
        <v>6</v>
      </c>
      <c r="AJ318" t="n">
        <v>2</v>
      </c>
      <c r="AK318" t="n">
        <v>9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HYPERLINK("https://creighton-primo.hosted.exlibrisgroup.com/primo-explore/search?tab=default_tab&amp;search_scope=EVERYTHING&amp;vid=01CRU&amp;lang=en_US&amp;offset=0&amp;query=any,contains,991000546999702656","Catalog Record")</f>
        <v/>
      </c>
      <c r="AT318">
        <f>HYPERLINK("http://www.worldcat.org/oclc/11518907","WorldCat Record")</f>
        <v/>
      </c>
      <c r="AU318" t="inlineStr">
        <is>
          <t>20441215:eng</t>
        </is>
      </c>
      <c r="AV318" t="inlineStr">
        <is>
          <t>11518907</t>
        </is>
      </c>
      <c r="AW318" t="inlineStr">
        <is>
          <t>991000546999702656</t>
        </is>
      </c>
      <c r="AX318" t="inlineStr">
        <is>
          <t>991000546999702656</t>
        </is>
      </c>
      <c r="AY318" t="inlineStr">
        <is>
          <t>2269681770002656</t>
        </is>
      </c>
      <c r="AZ318" t="inlineStr">
        <is>
          <t>BOOK</t>
        </is>
      </c>
      <c r="BB318" t="inlineStr">
        <is>
          <t>9780030008344</t>
        </is>
      </c>
      <c r="BC318" t="inlineStr">
        <is>
          <t>32285000907203</t>
        </is>
      </c>
      <c r="BD318" t="inlineStr">
        <is>
          <t>893601847</t>
        </is>
      </c>
    </row>
    <row r="319">
      <c r="A319" t="inlineStr">
        <is>
          <t>No</t>
        </is>
      </c>
      <c r="B319" t="inlineStr">
        <is>
          <t>RJ506.A9 C65 1968</t>
        </is>
      </c>
      <c r="C319" t="inlineStr">
        <is>
          <t>0                      RJ 0506000A  9                  C  65          1968</t>
        </is>
      </c>
      <c r="D319" t="inlineStr">
        <is>
          <t>Infantile autism : proceedings of the Indiana University colloquium / edited by Don W. Churchill, Gerald D. Alpern [and] Marian K. DeMyer.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Colloquium on Infantile Autism (1968 : Indiana University)</t>
        </is>
      </c>
      <c r="L319" t="inlineStr">
        <is>
          <t>Springfield, Ill. : C. C. Thomas, [1971]</t>
        </is>
      </c>
      <c r="M319" t="inlineStr">
        <is>
          <t>1971</t>
        </is>
      </c>
      <c r="O319" t="inlineStr">
        <is>
          <t>eng</t>
        </is>
      </c>
      <c r="P319" t="inlineStr">
        <is>
          <t>ilu</t>
        </is>
      </c>
      <c r="R319" t="inlineStr">
        <is>
          <t xml:space="preserve">RJ </t>
        </is>
      </c>
      <c r="S319" t="n">
        <v>4</v>
      </c>
      <c r="T319" t="n">
        <v>4</v>
      </c>
      <c r="U319" t="inlineStr">
        <is>
          <t>1995-11-07</t>
        </is>
      </c>
      <c r="V319" t="inlineStr">
        <is>
          <t>1995-11-07</t>
        </is>
      </c>
      <c r="W319" t="inlineStr">
        <is>
          <t>1992-11-04</t>
        </is>
      </c>
      <c r="X319" t="inlineStr">
        <is>
          <t>1992-11-04</t>
        </is>
      </c>
      <c r="Y319" t="n">
        <v>350</v>
      </c>
      <c r="Z319" t="n">
        <v>287</v>
      </c>
      <c r="AA319" t="n">
        <v>294</v>
      </c>
      <c r="AB319" t="n">
        <v>4</v>
      </c>
      <c r="AC319" t="n">
        <v>4</v>
      </c>
      <c r="AD319" t="n">
        <v>14</v>
      </c>
      <c r="AE319" t="n">
        <v>14</v>
      </c>
      <c r="AF319" t="n">
        <v>4</v>
      </c>
      <c r="AG319" t="n">
        <v>4</v>
      </c>
      <c r="AH319" t="n">
        <v>4</v>
      </c>
      <c r="AI319" t="n">
        <v>4</v>
      </c>
      <c r="AJ319" t="n">
        <v>7</v>
      </c>
      <c r="AK319" t="n">
        <v>7</v>
      </c>
      <c r="AL319" t="n">
        <v>3</v>
      </c>
      <c r="AM319" t="n">
        <v>3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HYPERLINK("http://catalog.hathitrust.org/Record/001571016","HathiTrust Record")</f>
        <v/>
      </c>
      <c r="AS319">
        <f>HYPERLINK("https://creighton-primo.hosted.exlibrisgroup.com/primo-explore/search?tab=default_tab&amp;search_scope=EVERYTHING&amp;vid=01CRU&amp;lang=en_US&amp;offset=0&amp;query=any,contains,991000741129702656","Catalog Record")</f>
        <v/>
      </c>
      <c r="AT319">
        <f>HYPERLINK("http://www.worldcat.org/oclc/129416","WorldCat Record")</f>
        <v/>
      </c>
      <c r="AU319" t="inlineStr">
        <is>
          <t>1261202:eng</t>
        </is>
      </c>
      <c r="AV319" t="inlineStr">
        <is>
          <t>129416</t>
        </is>
      </c>
      <c r="AW319" t="inlineStr">
        <is>
          <t>991000741129702656</t>
        </is>
      </c>
      <c r="AX319" t="inlineStr">
        <is>
          <t>991000741129702656</t>
        </is>
      </c>
      <c r="AY319" t="inlineStr">
        <is>
          <t>2266645990002656</t>
        </is>
      </c>
      <c r="AZ319" t="inlineStr">
        <is>
          <t>BOOK</t>
        </is>
      </c>
      <c r="BC319" t="inlineStr">
        <is>
          <t>32285001380483</t>
        </is>
      </c>
      <c r="BD319" t="inlineStr">
        <is>
          <t>893884717</t>
        </is>
      </c>
    </row>
    <row r="320">
      <c r="A320" t="inlineStr">
        <is>
          <t>No</t>
        </is>
      </c>
      <c r="B320" t="inlineStr">
        <is>
          <t>RJ506.A9 C75 1980</t>
        </is>
      </c>
      <c r="C320" t="inlineStr">
        <is>
          <t>0                      RJ 0506000A  9                  C  75          1980</t>
        </is>
      </c>
      <c r="D320" t="inlineStr">
        <is>
          <t>Critical issues in educating autistic children and youth / Barbara Wilcox and Anneke Thompson, editors ; [sponsored by] U.S. Department of Education, Office of Special Education.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Washington, D.C. (1234 Massachusetts Ave., N.W., Suite 1017, Washington, D.C.) : NSAC National Society for Children and Adults with Autism, 1980, 1981 printing.</t>
        </is>
      </c>
      <c r="M320" t="inlineStr">
        <is>
          <t>1981</t>
        </is>
      </c>
      <c r="N320" t="inlineStr">
        <is>
          <t>2nd print.</t>
        </is>
      </c>
      <c r="O320" t="inlineStr">
        <is>
          <t>eng</t>
        </is>
      </c>
      <c r="P320" t="inlineStr">
        <is>
          <t>dcu</t>
        </is>
      </c>
      <c r="R320" t="inlineStr">
        <is>
          <t xml:space="preserve">RJ </t>
        </is>
      </c>
      <c r="S320" t="n">
        <v>23</v>
      </c>
      <c r="T320" t="n">
        <v>23</v>
      </c>
      <c r="U320" t="inlineStr">
        <is>
          <t>2000-02-27</t>
        </is>
      </c>
      <c r="V320" t="inlineStr">
        <is>
          <t>2000-02-27</t>
        </is>
      </c>
      <c r="W320" t="inlineStr">
        <is>
          <t>1994-06-22</t>
        </is>
      </c>
      <c r="X320" t="inlineStr">
        <is>
          <t>1994-06-22</t>
        </is>
      </c>
      <c r="Y320" t="n">
        <v>91</v>
      </c>
      <c r="Z320" t="n">
        <v>91</v>
      </c>
      <c r="AA320" t="n">
        <v>208</v>
      </c>
      <c r="AB320" t="n">
        <v>1</v>
      </c>
      <c r="AC320" t="n">
        <v>3</v>
      </c>
      <c r="AD320" t="n">
        <v>2</v>
      </c>
      <c r="AE320" t="n">
        <v>5</v>
      </c>
      <c r="AF320" t="n">
        <v>0</v>
      </c>
      <c r="AG320" t="n">
        <v>1</v>
      </c>
      <c r="AH320" t="n">
        <v>1</v>
      </c>
      <c r="AI320" t="n">
        <v>1</v>
      </c>
      <c r="AJ320" t="n">
        <v>2</v>
      </c>
      <c r="AK320" t="n">
        <v>2</v>
      </c>
      <c r="AL320" t="n">
        <v>0</v>
      </c>
      <c r="AM320" t="n">
        <v>2</v>
      </c>
      <c r="AN320" t="n">
        <v>0</v>
      </c>
      <c r="AO320" t="n">
        <v>0</v>
      </c>
      <c r="AP320" t="inlineStr">
        <is>
          <t>Yes</t>
        </is>
      </c>
      <c r="AQ320" t="inlineStr">
        <is>
          <t>No</t>
        </is>
      </c>
      <c r="AR320">
        <f>HYPERLINK("http://catalog.hathitrust.org/Record/102490270","HathiTrust Record")</f>
        <v/>
      </c>
      <c r="AS320">
        <f>HYPERLINK("https://creighton-primo.hosted.exlibrisgroup.com/primo-explore/search?tab=default_tab&amp;search_scope=EVERYTHING&amp;vid=01CRU&amp;lang=en_US&amp;offset=0&amp;query=any,contains,991000057989702656","Catalog Record")</f>
        <v/>
      </c>
      <c r="AT320">
        <f>HYPERLINK("http://www.worldcat.org/oclc/8712629","WorldCat Record")</f>
        <v/>
      </c>
      <c r="AU320" t="inlineStr">
        <is>
          <t>427553947:eng</t>
        </is>
      </c>
      <c r="AV320" t="inlineStr">
        <is>
          <t>8712629</t>
        </is>
      </c>
      <c r="AW320" t="inlineStr">
        <is>
          <t>991000057989702656</t>
        </is>
      </c>
      <c r="AX320" t="inlineStr">
        <is>
          <t>991000057989702656</t>
        </is>
      </c>
      <c r="AY320" t="inlineStr">
        <is>
          <t>2271799440002656</t>
        </is>
      </c>
      <c r="AZ320" t="inlineStr">
        <is>
          <t>BOOK</t>
        </is>
      </c>
      <c r="BC320" t="inlineStr">
        <is>
          <t>32285001777720</t>
        </is>
      </c>
      <c r="BD320" t="inlineStr">
        <is>
          <t>893314636</t>
        </is>
      </c>
    </row>
    <row r="321">
      <c r="A321" t="inlineStr">
        <is>
          <t>No</t>
        </is>
      </c>
      <c r="B321" t="inlineStr">
        <is>
          <t>RJ506.A9 D34</t>
        </is>
      </c>
      <c r="C321" t="inlineStr">
        <is>
          <t>0                      RJ 0506000A  9                  D  34</t>
        </is>
      </c>
      <c r="D321" t="inlineStr">
        <is>
          <t>No language but a cry / by Richard D'Ambrosio.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D'Ambrosio, Richard.</t>
        </is>
      </c>
      <c r="L321" t="inlineStr">
        <is>
          <t>New York : Doubleday, 1970.</t>
        </is>
      </c>
      <c r="M321" t="inlineStr">
        <is>
          <t>1970</t>
        </is>
      </c>
      <c r="N321" t="inlineStr">
        <is>
          <t>[1st ed.]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RJ </t>
        </is>
      </c>
      <c r="S321" t="n">
        <v>5</v>
      </c>
      <c r="T321" t="n">
        <v>5</v>
      </c>
      <c r="U321" t="inlineStr">
        <is>
          <t>2000-02-01</t>
        </is>
      </c>
      <c r="V321" t="inlineStr">
        <is>
          <t>2000-02-01</t>
        </is>
      </c>
      <c r="W321" t="inlineStr">
        <is>
          <t>1992-12-22</t>
        </is>
      </c>
      <c r="X321" t="inlineStr">
        <is>
          <t>1992-12-22</t>
        </is>
      </c>
      <c r="Y321" t="n">
        <v>785</v>
      </c>
      <c r="Z321" t="n">
        <v>731</v>
      </c>
      <c r="AA321" t="n">
        <v>978</v>
      </c>
      <c r="AB321" t="n">
        <v>12</v>
      </c>
      <c r="AC321" t="n">
        <v>14</v>
      </c>
      <c r="AD321" t="n">
        <v>22</v>
      </c>
      <c r="AE321" t="n">
        <v>29</v>
      </c>
      <c r="AF321" t="n">
        <v>10</v>
      </c>
      <c r="AG321" t="n">
        <v>12</v>
      </c>
      <c r="AH321" t="n">
        <v>2</v>
      </c>
      <c r="AI321" t="n">
        <v>4</v>
      </c>
      <c r="AJ321" t="n">
        <v>10</v>
      </c>
      <c r="AK321" t="n">
        <v>13</v>
      </c>
      <c r="AL321" t="n">
        <v>5</v>
      </c>
      <c r="AM321" t="n">
        <v>6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HYPERLINK("http://catalog.hathitrust.org/Record/001578996","HathiTrust Record")</f>
        <v/>
      </c>
      <c r="AS321">
        <f>HYPERLINK("https://creighton-primo.hosted.exlibrisgroup.com/primo-explore/search?tab=default_tab&amp;search_scope=EVERYTHING&amp;vid=01CRU&amp;lang=en_US&amp;offset=0&amp;query=any,contains,991000569089702656","Catalog Record")</f>
        <v/>
      </c>
      <c r="AT321">
        <f>HYPERLINK("http://www.worldcat.org/oclc/94607","WorldCat Record")</f>
        <v/>
      </c>
      <c r="AU321" t="inlineStr">
        <is>
          <t>453721:eng</t>
        </is>
      </c>
      <c r="AV321" t="inlineStr">
        <is>
          <t>94607</t>
        </is>
      </c>
      <c r="AW321" t="inlineStr">
        <is>
          <t>991000569089702656</t>
        </is>
      </c>
      <c r="AX321" t="inlineStr">
        <is>
          <t>991000569089702656</t>
        </is>
      </c>
      <c r="AY321" t="inlineStr">
        <is>
          <t>2266086780002656</t>
        </is>
      </c>
      <c r="AZ321" t="inlineStr">
        <is>
          <t>BOOK</t>
        </is>
      </c>
      <c r="BC321" t="inlineStr">
        <is>
          <t>32285001471183</t>
        </is>
      </c>
      <c r="BD321" t="inlineStr">
        <is>
          <t>893438376</t>
        </is>
      </c>
    </row>
    <row r="322">
      <c r="A322" t="inlineStr">
        <is>
          <t>No</t>
        </is>
      </c>
      <c r="B322" t="inlineStr">
        <is>
          <t>RJ506.A9 D46</t>
        </is>
      </c>
      <c r="C322" t="inlineStr">
        <is>
          <t>0                      RJ 0506000A  9                  D  46</t>
        </is>
      </c>
      <c r="D322" t="inlineStr">
        <is>
          <t>Your child is asleep; early infantile autism: etiology, treatment, parental influences [by] Austin M. DesLauriers [and] Carole F. Carlson.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Des Lauriers, Austin M.</t>
        </is>
      </c>
      <c r="L322" t="inlineStr">
        <is>
          <t>Homewood, Ill., Dorsey Press, 1969.</t>
        </is>
      </c>
      <c r="M322" t="inlineStr">
        <is>
          <t>1969</t>
        </is>
      </c>
      <c r="O322" t="inlineStr">
        <is>
          <t>eng</t>
        </is>
      </c>
      <c r="P322" t="inlineStr">
        <is>
          <t>ilu</t>
        </is>
      </c>
      <c r="Q322" t="inlineStr">
        <is>
          <t>The Dorsey series in psychology</t>
        </is>
      </c>
      <c r="R322" t="inlineStr">
        <is>
          <t xml:space="preserve">RJ </t>
        </is>
      </c>
      <c r="S322" t="n">
        <v>3</v>
      </c>
      <c r="T322" t="n">
        <v>3</v>
      </c>
      <c r="U322" t="inlineStr">
        <is>
          <t>1999-04-24</t>
        </is>
      </c>
      <c r="V322" t="inlineStr">
        <is>
          <t>1999-04-24</t>
        </is>
      </c>
      <c r="W322" t="inlineStr">
        <is>
          <t>1997-08-12</t>
        </is>
      </c>
      <c r="X322" t="inlineStr">
        <is>
          <t>1997-08-12</t>
        </is>
      </c>
      <c r="Y322" t="n">
        <v>497</v>
      </c>
      <c r="Z322" t="n">
        <v>413</v>
      </c>
      <c r="AA322" t="n">
        <v>420</v>
      </c>
      <c r="AB322" t="n">
        <v>3</v>
      </c>
      <c r="AC322" t="n">
        <v>3</v>
      </c>
      <c r="AD322" t="n">
        <v>19</v>
      </c>
      <c r="AE322" t="n">
        <v>19</v>
      </c>
      <c r="AF322" t="n">
        <v>6</v>
      </c>
      <c r="AG322" t="n">
        <v>6</v>
      </c>
      <c r="AH322" t="n">
        <v>6</v>
      </c>
      <c r="AI322" t="n">
        <v>6</v>
      </c>
      <c r="AJ322" t="n">
        <v>10</v>
      </c>
      <c r="AK322" t="n">
        <v>10</v>
      </c>
      <c r="AL322" t="n">
        <v>2</v>
      </c>
      <c r="AM322" t="n">
        <v>2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HYPERLINK("http://catalog.hathitrust.org/Record/001571018","HathiTrust Record")</f>
        <v/>
      </c>
      <c r="AS322">
        <f>HYPERLINK("https://creighton-primo.hosted.exlibrisgroup.com/primo-explore/search?tab=default_tab&amp;search_scope=EVERYTHING&amp;vid=01CRU&amp;lang=en_US&amp;offset=0&amp;query=any,contains,991005434939702656","Catalog Record")</f>
        <v/>
      </c>
      <c r="AT322">
        <f>HYPERLINK("http://www.worldcat.org/oclc/2685","WorldCat Record")</f>
        <v/>
      </c>
      <c r="AU322" t="inlineStr">
        <is>
          <t>905528840:eng</t>
        </is>
      </c>
      <c r="AV322" t="inlineStr">
        <is>
          <t>2685</t>
        </is>
      </c>
      <c r="AW322" t="inlineStr">
        <is>
          <t>991005434939702656</t>
        </is>
      </c>
      <c r="AX322" t="inlineStr">
        <is>
          <t>991005434939702656</t>
        </is>
      </c>
      <c r="AY322" t="inlineStr">
        <is>
          <t>2262766710002656</t>
        </is>
      </c>
      <c r="AZ322" t="inlineStr">
        <is>
          <t>BOOK</t>
        </is>
      </c>
      <c r="BC322" t="inlineStr">
        <is>
          <t>32285003094207</t>
        </is>
      </c>
      <c r="BD322" t="inlineStr">
        <is>
          <t>893248920</t>
        </is>
      </c>
    </row>
    <row r="323">
      <c r="A323" t="inlineStr">
        <is>
          <t>No</t>
        </is>
      </c>
      <c r="B323" t="inlineStr">
        <is>
          <t>RJ506.A9 E38</t>
        </is>
      </c>
      <c r="C323" t="inlineStr">
        <is>
          <t>0                      RJ 0506000A  9                  E  38</t>
        </is>
      </c>
      <c r="D323" t="inlineStr">
        <is>
          <t>Educating and understanding autistic children / Robert L. Koegel, Arnold Rincover, and Andrew L. Egel, editors.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Houston : College-Hill Press, 1982.</t>
        </is>
      </c>
      <c r="M323" t="inlineStr">
        <is>
          <t>1981</t>
        </is>
      </c>
      <c r="O323" t="inlineStr">
        <is>
          <t>eng</t>
        </is>
      </c>
      <c r="P323" t="inlineStr">
        <is>
          <t>txu</t>
        </is>
      </c>
      <c r="R323" t="inlineStr">
        <is>
          <t xml:space="preserve">RJ </t>
        </is>
      </c>
      <c r="S323" t="n">
        <v>17</v>
      </c>
      <c r="T323" t="n">
        <v>17</v>
      </c>
      <c r="U323" t="inlineStr">
        <is>
          <t>1997-03-18</t>
        </is>
      </c>
      <c r="V323" t="inlineStr">
        <is>
          <t>1997-03-18</t>
        </is>
      </c>
      <c r="W323" t="inlineStr">
        <is>
          <t>1990-07-02</t>
        </is>
      </c>
      <c r="X323" t="inlineStr">
        <is>
          <t>1990-07-02</t>
        </is>
      </c>
      <c r="Y323" t="n">
        <v>527</v>
      </c>
      <c r="Z323" t="n">
        <v>417</v>
      </c>
      <c r="AA323" t="n">
        <v>423</v>
      </c>
      <c r="AB323" t="n">
        <v>3</v>
      </c>
      <c r="AC323" t="n">
        <v>3</v>
      </c>
      <c r="AD323" t="n">
        <v>16</v>
      </c>
      <c r="AE323" t="n">
        <v>16</v>
      </c>
      <c r="AF323" t="n">
        <v>8</v>
      </c>
      <c r="AG323" t="n">
        <v>8</v>
      </c>
      <c r="AH323" t="n">
        <v>2</v>
      </c>
      <c r="AI323" t="n">
        <v>2</v>
      </c>
      <c r="AJ323" t="n">
        <v>7</v>
      </c>
      <c r="AK323" t="n">
        <v>7</v>
      </c>
      <c r="AL323" t="n">
        <v>2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HYPERLINK("https://creighton-primo.hosted.exlibrisgroup.com/primo-explore/search?tab=default_tab&amp;search_scope=EVERYTHING&amp;vid=01CRU&amp;lang=en_US&amp;offset=0&amp;query=any,contains,991005147619702656","Catalog Record")</f>
        <v/>
      </c>
      <c r="AT323">
        <f>HYPERLINK("http://www.worldcat.org/oclc/7672422","WorldCat Record")</f>
        <v/>
      </c>
      <c r="AU323" t="inlineStr">
        <is>
          <t>355389904:eng</t>
        </is>
      </c>
      <c r="AV323" t="inlineStr">
        <is>
          <t>7672422</t>
        </is>
      </c>
      <c r="AW323" t="inlineStr">
        <is>
          <t>991005147619702656</t>
        </is>
      </c>
      <c r="AX323" t="inlineStr">
        <is>
          <t>991005147619702656</t>
        </is>
      </c>
      <c r="AY323" t="inlineStr">
        <is>
          <t>2271456470002656</t>
        </is>
      </c>
      <c r="AZ323" t="inlineStr">
        <is>
          <t>BOOK</t>
        </is>
      </c>
      <c r="BB323" t="inlineStr">
        <is>
          <t>9780933014688</t>
        </is>
      </c>
      <c r="BC323" t="inlineStr">
        <is>
          <t>32285000219112</t>
        </is>
      </c>
      <c r="BD323" t="inlineStr">
        <is>
          <t>893242285</t>
        </is>
      </c>
    </row>
    <row r="324">
      <c r="A324" t="inlineStr">
        <is>
          <t>No</t>
        </is>
      </c>
      <c r="B324" t="inlineStr">
        <is>
          <t>RJ506.A9 F695 1989</t>
        </is>
      </c>
      <c r="C324" t="inlineStr">
        <is>
          <t>0                      RJ 0506000A  9                  F  695         1989</t>
        </is>
      </c>
      <c r="D324" t="inlineStr">
        <is>
          <t>Autism : explaining the enigma / Uta Frith.</t>
        </is>
      </c>
      <c r="F324" t="inlineStr">
        <is>
          <t>No</t>
        </is>
      </c>
      <c r="G324" t="inlineStr">
        <is>
          <t>1</t>
        </is>
      </c>
      <c r="H324" t="inlineStr">
        <is>
          <t>Yes</t>
        </is>
      </c>
      <c r="I324" t="inlineStr">
        <is>
          <t>No</t>
        </is>
      </c>
      <c r="J324" t="inlineStr">
        <is>
          <t>0</t>
        </is>
      </c>
      <c r="K324" t="inlineStr">
        <is>
          <t>Frith, Uta.</t>
        </is>
      </c>
      <c r="L324" t="inlineStr">
        <is>
          <t>Oxford, UK ; Cambridge, MA, USA : Basil Blackwell, 1989 (1990 printing).</t>
        </is>
      </c>
      <c r="M324" t="inlineStr">
        <is>
          <t>1989</t>
        </is>
      </c>
      <c r="O324" t="inlineStr">
        <is>
          <t>eng</t>
        </is>
      </c>
      <c r="P324" t="inlineStr">
        <is>
          <t>enk</t>
        </is>
      </c>
      <c r="Q324" t="inlineStr">
        <is>
          <t>Cognitive development</t>
        </is>
      </c>
      <c r="R324" t="inlineStr">
        <is>
          <t xml:space="preserve">RJ </t>
        </is>
      </c>
      <c r="S324" t="n">
        <v>49</v>
      </c>
      <c r="T324" t="n">
        <v>49</v>
      </c>
      <c r="U324" t="inlineStr">
        <is>
          <t>2006-11-16</t>
        </is>
      </c>
      <c r="V324" t="inlineStr">
        <is>
          <t>2006-11-16</t>
        </is>
      </c>
      <c r="W324" t="inlineStr">
        <is>
          <t>1991-08-27</t>
        </is>
      </c>
      <c r="X324" t="inlineStr">
        <is>
          <t>1991-08-27</t>
        </is>
      </c>
      <c r="Y324" t="n">
        <v>746</v>
      </c>
      <c r="Z324" t="n">
        <v>534</v>
      </c>
      <c r="AA324" t="n">
        <v>920</v>
      </c>
      <c r="AB324" t="n">
        <v>6</v>
      </c>
      <c r="AC324" t="n">
        <v>9</v>
      </c>
      <c r="AD324" t="n">
        <v>13</v>
      </c>
      <c r="AE324" t="n">
        <v>30</v>
      </c>
      <c r="AF324" t="n">
        <v>3</v>
      </c>
      <c r="AG324" t="n">
        <v>13</v>
      </c>
      <c r="AH324" t="n">
        <v>3</v>
      </c>
      <c r="AI324" t="n">
        <v>5</v>
      </c>
      <c r="AJ324" t="n">
        <v>5</v>
      </c>
      <c r="AK324" t="n">
        <v>13</v>
      </c>
      <c r="AL324" t="n">
        <v>4</v>
      </c>
      <c r="AM324" t="n">
        <v>7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HYPERLINK("https://creighton-primo.hosted.exlibrisgroup.com/primo-explore/search?tab=default_tab&amp;search_scope=EVERYTHING&amp;vid=01CRU&amp;lang=en_US&amp;offset=0&amp;query=any,contains,991001386479702656","Catalog Record")</f>
        <v/>
      </c>
      <c r="AT324">
        <f>HYPERLINK("http://www.worldcat.org/oclc/18716337","WorldCat Record")</f>
        <v/>
      </c>
      <c r="AU324" t="inlineStr">
        <is>
          <t>5974821:eng</t>
        </is>
      </c>
      <c r="AV324" t="inlineStr">
        <is>
          <t>18716337</t>
        </is>
      </c>
      <c r="AW324" t="inlineStr">
        <is>
          <t>991001386479702656</t>
        </is>
      </c>
      <c r="AX324" t="inlineStr">
        <is>
          <t>991001386479702656</t>
        </is>
      </c>
      <c r="AY324" t="inlineStr">
        <is>
          <t>2265145830002656</t>
        </is>
      </c>
      <c r="AZ324" t="inlineStr">
        <is>
          <t>BOOK</t>
        </is>
      </c>
      <c r="BB324" t="inlineStr">
        <is>
          <t>9780631168249</t>
        </is>
      </c>
      <c r="BC324" t="inlineStr">
        <is>
          <t>32285000702331</t>
        </is>
      </c>
      <c r="BD324" t="inlineStr">
        <is>
          <t>893608819</t>
        </is>
      </c>
    </row>
    <row r="325">
      <c r="A325" t="inlineStr">
        <is>
          <t>No</t>
        </is>
      </c>
      <c r="B325" t="inlineStr">
        <is>
          <t>RJ506.A9 H27 1994</t>
        </is>
      </c>
      <c r="C325" t="inlineStr">
        <is>
          <t>0                      RJ 0506000A  9                  H  27          1994</t>
        </is>
      </c>
      <c r="D325" t="inlineStr">
        <is>
          <t>Siblings of children with autism : a guide for families / Sandra L. Harris.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Harris, Sandra L.</t>
        </is>
      </c>
      <c r="L325" t="inlineStr">
        <is>
          <t>Rockville, MD : Woodbine House, 1994.</t>
        </is>
      </c>
      <c r="M325" t="inlineStr">
        <is>
          <t>1994</t>
        </is>
      </c>
      <c r="O325" t="inlineStr">
        <is>
          <t>eng</t>
        </is>
      </c>
      <c r="P325" t="inlineStr">
        <is>
          <t>mdu</t>
        </is>
      </c>
      <c r="Q325" t="inlineStr">
        <is>
          <t>Topics in autism</t>
        </is>
      </c>
      <c r="R325" t="inlineStr">
        <is>
          <t xml:space="preserve">RJ </t>
        </is>
      </c>
      <c r="S325" t="n">
        <v>14</v>
      </c>
      <c r="T325" t="n">
        <v>14</v>
      </c>
      <c r="U325" t="inlineStr">
        <is>
          <t>2005-08-10</t>
        </is>
      </c>
      <c r="V325" t="inlineStr">
        <is>
          <t>2005-08-10</t>
        </is>
      </c>
      <c r="W325" t="inlineStr">
        <is>
          <t>1996-11-20</t>
        </is>
      </c>
      <c r="X325" t="inlineStr">
        <is>
          <t>1996-11-20</t>
        </is>
      </c>
      <c r="Y325" t="n">
        <v>390</v>
      </c>
      <c r="Z325" t="n">
        <v>338</v>
      </c>
      <c r="AA325" t="n">
        <v>886</v>
      </c>
      <c r="AB325" t="n">
        <v>1</v>
      </c>
      <c r="AC325" t="n">
        <v>6</v>
      </c>
      <c r="AD325" t="n">
        <v>2</v>
      </c>
      <c r="AE325" t="n">
        <v>8</v>
      </c>
      <c r="AF325" t="n">
        <v>1</v>
      </c>
      <c r="AG325" t="n">
        <v>3</v>
      </c>
      <c r="AH325" t="n">
        <v>0</v>
      </c>
      <c r="AI325" t="n">
        <v>1</v>
      </c>
      <c r="AJ325" t="n">
        <v>2</v>
      </c>
      <c r="AK325" t="n">
        <v>3</v>
      </c>
      <c r="AL325" t="n">
        <v>0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HYPERLINK("https://creighton-primo.hosted.exlibrisgroup.com/primo-explore/search?tab=default_tab&amp;search_scope=EVERYTHING&amp;vid=01CRU&amp;lang=en_US&amp;offset=0&amp;query=any,contains,991002342159702656","Catalog Record")</f>
        <v/>
      </c>
      <c r="AT325">
        <f>HYPERLINK("http://www.worldcat.org/oclc/30508178","WorldCat Record")</f>
        <v/>
      </c>
      <c r="AU325" t="inlineStr">
        <is>
          <t>840642015:eng</t>
        </is>
      </c>
      <c r="AV325" t="inlineStr">
        <is>
          <t>30508178</t>
        </is>
      </c>
      <c r="AW325" t="inlineStr">
        <is>
          <t>991002342159702656</t>
        </is>
      </c>
      <c r="AX325" t="inlineStr">
        <is>
          <t>991002342159702656</t>
        </is>
      </c>
      <c r="AY325" t="inlineStr">
        <is>
          <t>2272659720002656</t>
        </is>
      </c>
      <c r="AZ325" t="inlineStr">
        <is>
          <t>BOOK</t>
        </is>
      </c>
      <c r="BB325" t="inlineStr">
        <is>
          <t>9780933149717</t>
        </is>
      </c>
      <c r="BC325" t="inlineStr">
        <is>
          <t>32285002374691</t>
        </is>
      </c>
      <c r="BD325" t="inlineStr">
        <is>
          <t>893873390</t>
        </is>
      </c>
    </row>
    <row r="326">
      <c r="A326" t="inlineStr">
        <is>
          <t>No</t>
        </is>
      </c>
      <c r="B326" t="inlineStr">
        <is>
          <t>RJ506.A9 H46 1970</t>
        </is>
      </c>
      <c r="C326" t="inlineStr">
        <is>
          <t>0                      RJ 0506000A  9                  H  46          1970</t>
        </is>
      </c>
      <c r="D326" t="inlineStr">
        <is>
          <t>Psychological experiments with autistic children / by B. Hermelin and N. O'Connor.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Hermelin, Beate.</t>
        </is>
      </c>
      <c r="L326" t="inlineStr">
        <is>
          <t>Oxford ; New York : Pergamon Press, [1970]</t>
        </is>
      </c>
      <c r="M326" t="inlineStr">
        <is>
          <t>1970</t>
        </is>
      </c>
      <c r="N326" t="inlineStr">
        <is>
          <t>[1st ed.]</t>
        </is>
      </c>
      <c r="O326" t="inlineStr">
        <is>
          <t>eng</t>
        </is>
      </c>
      <c r="P326" t="inlineStr">
        <is>
          <t>enk</t>
        </is>
      </c>
      <c r="R326" t="inlineStr">
        <is>
          <t xml:space="preserve">RJ </t>
        </is>
      </c>
      <c r="S326" t="n">
        <v>21</v>
      </c>
      <c r="T326" t="n">
        <v>21</v>
      </c>
      <c r="U326" t="inlineStr">
        <is>
          <t>2004-02-19</t>
        </is>
      </c>
      <c r="V326" t="inlineStr">
        <is>
          <t>2004-02-19</t>
        </is>
      </c>
      <c r="W326" t="inlineStr">
        <is>
          <t>1990-02-24</t>
        </is>
      </c>
      <c r="X326" t="inlineStr">
        <is>
          <t>1990-02-24</t>
        </is>
      </c>
      <c r="Y326" t="n">
        <v>415</v>
      </c>
      <c r="Z326" t="n">
        <v>275</v>
      </c>
      <c r="AA326" t="n">
        <v>277</v>
      </c>
      <c r="AB326" t="n">
        <v>2</v>
      </c>
      <c r="AC326" t="n">
        <v>2</v>
      </c>
      <c r="AD326" t="n">
        <v>10</v>
      </c>
      <c r="AE326" t="n">
        <v>10</v>
      </c>
      <c r="AF326" t="n">
        <v>4</v>
      </c>
      <c r="AG326" t="n">
        <v>4</v>
      </c>
      <c r="AH326" t="n">
        <v>3</v>
      </c>
      <c r="AI326" t="n">
        <v>3</v>
      </c>
      <c r="AJ326" t="n">
        <v>5</v>
      </c>
      <c r="AK326" t="n">
        <v>5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HYPERLINK("http://catalog.hathitrust.org/Record/001571020","HathiTrust Record")</f>
        <v/>
      </c>
      <c r="AS326">
        <f>HYPERLINK("https://creighton-primo.hosted.exlibrisgroup.com/primo-explore/search?tab=default_tab&amp;search_scope=EVERYTHING&amp;vid=01CRU&amp;lang=en_US&amp;offset=0&amp;query=any,contains,991000544939702656","Catalog Record")</f>
        <v/>
      </c>
      <c r="AT326">
        <f>HYPERLINK("http://www.worldcat.org/oclc/91259","WorldCat Record")</f>
        <v/>
      </c>
      <c r="AU326" t="inlineStr">
        <is>
          <t>407106:eng</t>
        </is>
      </c>
      <c r="AV326" t="inlineStr">
        <is>
          <t>91259</t>
        </is>
      </c>
      <c r="AW326" t="inlineStr">
        <is>
          <t>991000544939702656</t>
        </is>
      </c>
      <c r="AX326" t="inlineStr">
        <is>
          <t>991000544939702656</t>
        </is>
      </c>
      <c r="AY326" t="inlineStr">
        <is>
          <t>2264567250002656</t>
        </is>
      </c>
      <c r="AZ326" t="inlineStr">
        <is>
          <t>BOOK</t>
        </is>
      </c>
      <c r="BB326" t="inlineStr">
        <is>
          <t>9780080160887</t>
        </is>
      </c>
      <c r="BC326" t="inlineStr">
        <is>
          <t>32285000061282</t>
        </is>
      </c>
      <c r="BD326" t="inlineStr">
        <is>
          <t>893778021</t>
        </is>
      </c>
    </row>
    <row r="327">
      <c r="A327" t="inlineStr">
        <is>
          <t>No</t>
        </is>
      </c>
      <c r="B327" t="inlineStr">
        <is>
          <t>RJ506.A9 H63 1993</t>
        </is>
      </c>
      <c r="C327" t="inlineStr">
        <is>
          <t>0                      RJ 0506000A  9                  H  63          1993</t>
        </is>
      </c>
      <c r="D327" t="inlineStr">
        <is>
          <t>Autism and the development of mind / R. Peter Hobson.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Hobson, R. Peter.</t>
        </is>
      </c>
      <c r="L327" t="inlineStr">
        <is>
          <t>Hove : Lawrence Erlbaum Associates, c1993.</t>
        </is>
      </c>
      <c r="M327" t="inlineStr">
        <is>
          <t>1993</t>
        </is>
      </c>
      <c r="O327" t="inlineStr">
        <is>
          <t>eng</t>
        </is>
      </c>
      <c r="P327" t="inlineStr">
        <is>
          <t>enk</t>
        </is>
      </c>
      <c r="Q327" t="inlineStr">
        <is>
          <t>Essays in developmental psychology</t>
        </is>
      </c>
      <c r="R327" t="inlineStr">
        <is>
          <t xml:space="preserve">RJ </t>
        </is>
      </c>
      <c r="S327" t="n">
        <v>45</v>
      </c>
      <c r="T327" t="n">
        <v>45</v>
      </c>
      <c r="U327" t="inlineStr">
        <is>
          <t>2009-09-15</t>
        </is>
      </c>
      <c r="V327" t="inlineStr">
        <is>
          <t>2009-09-15</t>
        </is>
      </c>
      <c r="W327" t="inlineStr">
        <is>
          <t>1994-08-02</t>
        </is>
      </c>
      <c r="X327" t="inlineStr">
        <is>
          <t>1994-08-02</t>
        </is>
      </c>
      <c r="Y327" t="n">
        <v>440</v>
      </c>
      <c r="Z327" t="n">
        <v>312</v>
      </c>
      <c r="AA327" t="n">
        <v>322</v>
      </c>
      <c r="AB327" t="n">
        <v>3</v>
      </c>
      <c r="AC327" t="n">
        <v>3</v>
      </c>
      <c r="AD327" t="n">
        <v>14</v>
      </c>
      <c r="AE327" t="n">
        <v>14</v>
      </c>
      <c r="AF327" t="n">
        <v>5</v>
      </c>
      <c r="AG327" t="n">
        <v>5</v>
      </c>
      <c r="AH327" t="n">
        <v>2</v>
      </c>
      <c r="AI327" t="n">
        <v>2</v>
      </c>
      <c r="AJ327" t="n">
        <v>9</v>
      </c>
      <c r="AK327" t="n">
        <v>9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HYPERLINK("https://creighton-primo.hosted.exlibrisgroup.com/primo-explore/search?tab=default_tab&amp;search_scope=EVERYTHING&amp;vid=01CRU&amp;lang=en_US&amp;offset=0&amp;query=any,contains,991002273969702656","Catalog Record")</f>
        <v/>
      </c>
      <c r="AT327">
        <f>HYPERLINK("http://www.worldcat.org/oclc/30921671","WorldCat Record")</f>
        <v/>
      </c>
      <c r="AU327" t="inlineStr">
        <is>
          <t>15049050:eng</t>
        </is>
      </c>
      <c r="AV327" t="inlineStr">
        <is>
          <t>30921671</t>
        </is>
      </c>
      <c r="AW327" t="inlineStr">
        <is>
          <t>991002273969702656</t>
        </is>
      </c>
      <c r="AX327" t="inlineStr">
        <is>
          <t>991002273969702656</t>
        </is>
      </c>
      <c r="AY327" t="inlineStr">
        <is>
          <t>2272148250002656</t>
        </is>
      </c>
      <c r="AZ327" t="inlineStr">
        <is>
          <t>BOOK</t>
        </is>
      </c>
      <c r="BB327" t="inlineStr">
        <is>
          <t>9780863772290</t>
        </is>
      </c>
      <c r="BC327" t="inlineStr">
        <is>
          <t>32285001934750</t>
        </is>
      </c>
      <c r="BD327" t="inlineStr">
        <is>
          <t>893415013</t>
        </is>
      </c>
    </row>
    <row r="328">
      <c r="A328" t="inlineStr">
        <is>
          <t>No</t>
        </is>
      </c>
      <c r="B328" t="inlineStr">
        <is>
          <t>RJ506.A9 H68 1987</t>
        </is>
      </c>
      <c r="C328" t="inlineStr">
        <is>
          <t>0                      RJ 0506000A  9                  H  68          1987</t>
        </is>
      </c>
      <c r="D328" t="inlineStr">
        <is>
          <t>Treatment of autistic children / by Patricia Howlin and Michael Rutter, with M. Berger ... [et al.].</t>
        </is>
      </c>
      <c r="F328" t="inlineStr">
        <is>
          <t>No</t>
        </is>
      </c>
      <c r="G328" t="inlineStr">
        <is>
          <t>1</t>
        </is>
      </c>
      <c r="H328" t="inlineStr">
        <is>
          <t>Yes</t>
        </is>
      </c>
      <c r="I328" t="inlineStr">
        <is>
          <t>No</t>
        </is>
      </c>
      <c r="J328" t="inlineStr">
        <is>
          <t>0</t>
        </is>
      </c>
      <c r="K328" t="inlineStr">
        <is>
          <t>Howlin, Patricia.</t>
        </is>
      </c>
      <c r="L328" t="inlineStr">
        <is>
          <t>Chichester ; New York : Wiley, c1987.</t>
        </is>
      </c>
      <c r="M328" t="inlineStr">
        <is>
          <t>1987</t>
        </is>
      </c>
      <c r="O328" t="inlineStr">
        <is>
          <t>eng</t>
        </is>
      </c>
      <c r="P328" t="inlineStr">
        <is>
          <t>enk</t>
        </is>
      </c>
      <c r="Q328" t="inlineStr">
        <is>
          <t>Wiley series on studies on child psychiatry</t>
        </is>
      </c>
      <c r="R328" t="inlineStr">
        <is>
          <t xml:space="preserve">RJ </t>
        </is>
      </c>
      <c r="S328" t="n">
        <v>39</v>
      </c>
      <c r="T328" t="n">
        <v>39</v>
      </c>
      <c r="U328" t="inlineStr">
        <is>
          <t>2010-11-28</t>
        </is>
      </c>
      <c r="V328" t="inlineStr">
        <is>
          <t>2010-11-28</t>
        </is>
      </c>
      <c r="W328" t="inlineStr">
        <is>
          <t>1990-05-25</t>
        </is>
      </c>
      <c r="X328" t="inlineStr">
        <is>
          <t>1990-05-25</t>
        </is>
      </c>
      <c r="Y328" t="n">
        <v>274</v>
      </c>
      <c r="Z328" t="n">
        <v>156</v>
      </c>
      <c r="AA328" t="n">
        <v>159</v>
      </c>
      <c r="AB328" t="n">
        <v>3</v>
      </c>
      <c r="AC328" t="n">
        <v>3</v>
      </c>
      <c r="AD328" t="n">
        <v>5</v>
      </c>
      <c r="AE328" t="n">
        <v>5</v>
      </c>
      <c r="AF328" t="n">
        <v>0</v>
      </c>
      <c r="AG328" t="n">
        <v>0</v>
      </c>
      <c r="AH328" t="n">
        <v>2</v>
      </c>
      <c r="AI328" t="n">
        <v>2</v>
      </c>
      <c r="AJ328" t="n">
        <v>2</v>
      </c>
      <c r="AK328" t="n">
        <v>2</v>
      </c>
      <c r="AL328" t="n">
        <v>1</v>
      </c>
      <c r="AM328" t="n">
        <v>1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HYPERLINK("http://catalog.hathitrust.org/Record/000879758","HathiTrust Record")</f>
        <v/>
      </c>
      <c r="AS328">
        <f>HYPERLINK("https://creighton-primo.hosted.exlibrisgroup.com/primo-explore/search?tab=default_tab&amp;search_scope=EVERYTHING&amp;vid=01CRU&amp;lang=en_US&amp;offset=0&amp;query=any,contains,991000934729702656","Catalog Record")</f>
        <v/>
      </c>
      <c r="AT328">
        <f>HYPERLINK("http://www.worldcat.org/oclc/14357753","WorldCat Record")</f>
        <v/>
      </c>
      <c r="AU328" t="inlineStr">
        <is>
          <t>8180661:eng</t>
        </is>
      </c>
      <c r="AV328" t="inlineStr">
        <is>
          <t>14357753</t>
        </is>
      </c>
      <c r="AW328" t="inlineStr">
        <is>
          <t>991000934729702656</t>
        </is>
      </c>
      <c r="AX328" t="inlineStr">
        <is>
          <t>991000934729702656</t>
        </is>
      </c>
      <c r="AY328" t="inlineStr">
        <is>
          <t>2256256920002656</t>
        </is>
      </c>
      <c r="AZ328" t="inlineStr">
        <is>
          <t>BOOK</t>
        </is>
      </c>
      <c r="BB328" t="inlineStr">
        <is>
          <t>9780471102625</t>
        </is>
      </c>
      <c r="BC328" t="inlineStr">
        <is>
          <t>32285000167188</t>
        </is>
      </c>
      <c r="BD328" t="inlineStr">
        <is>
          <t>893340020</t>
        </is>
      </c>
    </row>
    <row r="329">
      <c r="A329" t="inlineStr">
        <is>
          <t>No</t>
        </is>
      </c>
      <c r="B329" t="inlineStr">
        <is>
          <t>RJ506.A9 H85 1972</t>
        </is>
      </c>
      <c r="C329" t="inlineStr">
        <is>
          <t>0                      RJ 0506000A  9                  H  85          1972</t>
        </is>
      </c>
      <c r="D329" t="inlineStr">
        <is>
          <t>The small outsider : the story of an autistic child.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Hundley, Joan Martin.</t>
        </is>
      </c>
      <c r="L329" t="inlineStr">
        <is>
          <t>New York : St. Martin's Press, [1972, c1971]</t>
        </is>
      </c>
      <c r="M329" t="inlineStr">
        <is>
          <t>1972</t>
        </is>
      </c>
      <c r="O329" t="inlineStr">
        <is>
          <t>eng</t>
        </is>
      </c>
      <c r="P329" t="inlineStr">
        <is>
          <t>nyu</t>
        </is>
      </c>
      <c r="R329" t="inlineStr">
        <is>
          <t xml:space="preserve">RJ </t>
        </is>
      </c>
      <c r="S329" t="n">
        <v>10</v>
      </c>
      <c r="T329" t="n">
        <v>10</v>
      </c>
      <c r="U329" t="inlineStr">
        <is>
          <t>1999-11-08</t>
        </is>
      </c>
      <c r="V329" t="inlineStr">
        <is>
          <t>1999-11-08</t>
        </is>
      </c>
      <c r="W329" t="inlineStr">
        <is>
          <t>1992-11-04</t>
        </is>
      </c>
      <c r="X329" t="inlineStr">
        <is>
          <t>1992-11-04</t>
        </is>
      </c>
      <c r="Y329" t="n">
        <v>197</v>
      </c>
      <c r="Z329" t="n">
        <v>191</v>
      </c>
      <c r="AA329" t="n">
        <v>272</v>
      </c>
      <c r="AB329" t="n">
        <v>3</v>
      </c>
      <c r="AC329" t="n">
        <v>4</v>
      </c>
      <c r="AD329" t="n">
        <v>9</v>
      </c>
      <c r="AE329" t="n">
        <v>10</v>
      </c>
      <c r="AF329" t="n">
        <v>4</v>
      </c>
      <c r="AG329" t="n">
        <v>4</v>
      </c>
      <c r="AH329" t="n">
        <v>0</v>
      </c>
      <c r="AI329" t="n">
        <v>0</v>
      </c>
      <c r="AJ329" t="n">
        <v>5</v>
      </c>
      <c r="AK329" t="n">
        <v>5</v>
      </c>
      <c r="AL329" t="n">
        <v>2</v>
      </c>
      <c r="AM329" t="n">
        <v>3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HYPERLINK("http://catalog.hathitrust.org/Record/001571021","HathiTrust Record")</f>
        <v/>
      </c>
      <c r="AS329">
        <f>HYPERLINK("https://creighton-primo.hosted.exlibrisgroup.com/primo-explore/search?tab=default_tab&amp;search_scope=EVERYTHING&amp;vid=01CRU&amp;lang=en_US&amp;offset=0&amp;query=any,contains,991002732839702656","Catalog Record")</f>
        <v/>
      </c>
      <c r="AT329">
        <f>HYPERLINK("http://www.worldcat.org/oclc/417915","WorldCat Record")</f>
        <v/>
      </c>
      <c r="AU329" t="inlineStr">
        <is>
          <t>1366133:eng</t>
        </is>
      </c>
      <c r="AV329" t="inlineStr">
        <is>
          <t>417915</t>
        </is>
      </c>
      <c r="AW329" t="inlineStr">
        <is>
          <t>991002732839702656</t>
        </is>
      </c>
      <c r="AX329" t="inlineStr">
        <is>
          <t>991002732839702656</t>
        </is>
      </c>
      <c r="AY329" t="inlineStr">
        <is>
          <t>2258267080002656</t>
        </is>
      </c>
      <c r="AZ329" t="inlineStr">
        <is>
          <t>BOOK</t>
        </is>
      </c>
      <c r="BC329" t="inlineStr">
        <is>
          <t>32285001380475</t>
        </is>
      </c>
      <c r="BD329" t="inlineStr">
        <is>
          <t>893227209</t>
        </is>
      </c>
    </row>
    <row r="330">
      <c r="A330" t="inlineStr">
        <is>
          <t>No</t>
        </is>
      </c>
      <c r="B330" t="inlineStr">
        <is>
          <t>RJ506.A9 K38 1976</t>
        </is>
      </c>
      <c r="C330" t="inlineStr">
        <is>
          <t>0                      RJ 0506000A  9                  K  38          1976</t>
        </is>
      </c>
      <c r="D330" t="inlineStr">
        <is>
          <t>Son-rise / Barry Neil Kaufman.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Kaufman, Barry Neil.</t>
        </is>
      </c>
      <c r="L330" t="inlineStr">
        <is>
          <t>New York : Harper &amp; Row, c1976.</t>
        </is>
      </c>
      <c r="M330" t="inlineStr">
        <is>
          <t>1976</t>
        </is>
      </c>
      <c r="N330" t="inlineStr">
        <is>
          <t>1st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RJ </t>
        </is>
      </c>
      <c r="S330" t="n">
        <v>4</v>
      </c>
      <c r="T330" t="n">
        <v>4</v>
      </c>
      <c r="U330" t="inlineStr">
        <is>
          <t>1999-11-08</t>
        </is>
      </c>
      <c r="V330" t="inlineStr">
        <is>
          <t>1999-11-08</t>
        </is>
      </c>
      <c r="W330" t="inlineStr">
        <is>
          <t>1997-08-12</t>
        </is>
      </c>
      <c r="X330" t="inlineStr">
        <is>
          <t>1997-08-12</t>
        </is>
      </c>
      <c r="Y330" t="n">
        <v>649</v>
      </c>
      <c r="Z330" t="n">
        <v>604</v>
      </c>
      <c r="AA330" t="n">
        <v>1132</v>
      </c>
      <c r="AB330" t="n">
        <v>5</v>
      </c>
      <c r="AC330" t="n">
        <v>10</v>
      </c>
      <c r="AD330" t="n">
        <v>8</v>
      </c>
      <c r="AE330" t="n">
        <v>15</v>
      </c>
      <c r="AF330" t="n">
        <v>4</v>
      </c>
      <c r="AG330" t="n">
        <v>7</v>
      </c>
      <c r="AH330" t="n">
        <v>1</v>
      </c>
      <c r="AI330" t="n">
        <v>2</v>
      </c>
      <c r="AJ330" t="n">
        <v>3</v>
      </c>
      <c r="AK330" t="n">
        <v>5</v>
      </c>
      <c r="AL330" t="n">
        <v>1</v>
      </c>
      <c r="AM330" t="n">
        <v>3</v>
      </c>
      <c r="AN330" t="n">
        <v>0</v>
      </c>
      <c r="AO330" t="n">
        <v>0</v>
      </c>
      <c r="AP330" t="inlineStr">
        <is>
          <t>No</t>
        </is>
      </c>
      <c r="AQ330" t="inlineStr">
        <is>
          <t>No</t>
        </is>
      </c>
      <c r="AS330">
        <f>HYPERLINK("https://creighton-primo.hosted.exlibrisgroup.com/primo-explore/search?tab=default_tab&amp;search_scope=EVERYTHING&amp;vid=01CRU&amp;lang=en_US&amp;offset=0&amp;query=any,contains,991003909599702656","Catalog Record")</f>
        <v/>
      </c>
      <c r="AT330">
        <f>HYPERLINK("http://www.worldcat.org/oclc/1848976","WorldCat Record")</f>
        <v/>
      </c>
      <c r="AU330" t="inlineStr">
        <is>
          <t>889567627:eng</t>
        </is>
      </c>
      <c r="AV330" t="inlineStr">
        <is>
          <t>1848976</t>
        </is>
      </c>
      <c r="AW330" t="inlineStr">
        <is>
          <t>991003909599702656</t>
        </is>
      </c>
      <c r="AX330" t="inlineStr">
        <is>
          <t>991003909599702656</t>
        </is>
      </c>
      <c r="AY330" t="inlineStr">
        <is>
          <t>2257299520002656</t>
        </is>
      </c>
      <c r="AZ330" t="inlineStr">
        <is>
          <t>BOOK</t>
        </is>
      </c>
      <c r="BB330" t="inlineStr">
        <is>
          <t>9780060122768</t>
        </is>
      </c>
      <c r="BC330" t="inlineStr">
        <is>
          <t>32285003094215</t>
        </is>
      </c>
      <c r="BD330" t="inlineStr">
        <is>
          <t>893794253</t>
        </is>
      </c>
    </row>
    <row r="331">
      <c r="A331" t="inlineStr">
        <is>
          <t>No</t>
        </is>
      </c>
      <c r="B331" t="inlineStr">
        <is>
          <t>RJ506.A9 K64 1982</t>
        </is>
      </c>
      <c r="C331" t="inlineStr">
        <is>
          <t>0                      RJ 0506000A  9                  K  64          1982</t>
        </is>
      </c>
      <c r="D331" t="inlineStr">
        <is>
          <t>How to teach autistic and other severely handicapped children / by Robert L. Koegel and Laura Schreibman.</t>
        </is>
      </c>
      <c r="F331" t="inlineStr">
        <is>
          <t>No</t>
        </is>
      </c>
      <c r="G331" t="inlineStr">
        <is>
          <t>1</t>
        </is>
      </c>
      <c r="H331" t="inlineStr">
        <is>
          <t>Yes</t>
        </is>
      </c>
      <c r="I331" t="inlineStr">
        <is>
          <t>No</t>
        </is>
      </c>
      <c r="J331" t="inlineStr">
        <is>
          <t>0</t>
        </is>
      </c>
      <c r="K331" t="inlineStr">
        <is>
          <t>Koegel, Robert L., 1944-</t>
        </is>
      </c>
      <c r="L331" t="inlineStr">
        <is>
          <t>Lawrence, KS : H&amp;H Enterprises, c1982.</t>
        </is>
      </c>
      <c r="M331" t="inlineStr">
        <is>
          <t>1982</t>
        </is>
      </c>
      <c r="O331" t="inlineStr">
        <is>
          <t>eng</t>
        </is>
      </c>
      <c r="P331" t="inlineStr">
        <is>
          <t>ksu</t>
        </is>
      </c>
      <c r="R331" t="inlineStr">
        <is>
          <t xml:space="preserve">RJ </t>
        </is>
      </c>
      <c r="S331" t="n">
        <v>7</v>
      </c>
      <c r="T331" t="n">
        <v>18</v>
      </c>
      <c r="U331" t="inlineStr">
        <is>
          <t>2008-02-21</t>
        </is>
      </c>
      <c r="V331" t="inlineStr">
        <is>
          <t>2008-02-21</t>
        </is>
      </c>
      <c r="W331" t="inlineStr">
        <is>
          <t>1992-11-13</t>
        </is>
      </c>
      <c r="X331" t="inlineStr">
        <is>
          <t>1992-11-13</t>
        </is>
      </c>
      <c r="Y331" t="n">
        <v>91</v>
      </c>
      <c r="Z331" t="n">
        <v>74</v>
      </c>
      <c r="AA331" t="n">
        <v>109</v>
      </c>
      <c r="AB331" t="n">
        <v>4</v>
      </c>
      <c r="AC331" t="n">
        <v>4</v>
      </c>
      <c r="AD331" t="n">
        <v>4</v>
      </c>
      <c r="AE331" t="n">
        <v>6</v>
      </c>
      <c r="AF331" t="n">
        <v>1</v>
      </c>
      <c r="AG331" t="n">
        <v>3</v>
      </c>
      <c r="AH331" t="n">
        <v>0</v>
      </c>
      <c r="AI331" t="n">
        <v>0</v>
      </c>
      <c r="AJ331" t="n">
        <v>1</v>
      </c>
      <c r="AK331" t="n">
        <v>2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HYPERLINK("https://creighton-primo.hosted.exlibrisgroup.com/primo-explore/search?tab=default_tab&amp;search_scope=EVERYTHING&amp;vid=01CRU&amp;lang=en_US&amp;offset=0&amp;query=any,contains,991001797869702656","Catalog Record")</f>
        <v/>
      </c>
      <c r="AT331">
        <f>HYPERLINK("http://www.worldcat.org/oclc/8643722","WorldCat Record")</f>
        <v/>
      </c>
      <c r="AU331" t="inlineStr">
        <is>
          <t>3902718241:eng</t>
        </is>
      </c>
      <c r="AV331" t="inlineStr">
        <is>
          <t>8643722</t>
        </is>
      </c>
      <c r="AW331" t="inlineStr">
        <is>
          <t>991001797869702656</t>
        </is>
      </c>
      <c r="AX331" t="inlineStr">
        <is>
          <t>991001797869702656</t>
        </is>
      </c>
      <c r="AY331" t="inlineStr">
        <is>
          <t>2272371710002656</t>
        </is>
      </c>
      <c r="AZ331" t="inlineStr">
        <is>
          <t>BOOK</t>
        </is>
      </c>
      <c r="BB331" t="inlineStr">
        <is>
          <t>9780890790656</t>
        </is>
      </c>
      <c r="BC331" t="inlineStr">
        <is>
          <t>32285001384766</t>
        </is>
      </c>
      <c r="BD331" t="inlineStr">
        <is>
          <t>893340706</t>
        </is>
      </c>
    </row>
    <row r="332">
      <c r="A332" t="inlineStr">
        <is>
          <t>No</t>
        </is>
      </c>
      <c r="B332" t="inlineStr">
        <is>
          <t>RJ506.A9 K644 1982</t>
        </is>
      </c>
      <c r="C332" t="inlineStr">
        <is>
          <t>0                      RJ 0506000A  9                  K  644         1982</t>
        </is>
      </c>
      <c r="D332" t="inlineStr">
        <is>
          <t>How to integrate autistic and other severely handicapped children into a classroom / by Robert L. Koegel.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Koegel, Robert L., 1944-</t>
        </is>
      </c>
      <c r="L332" t="inlineStr">
        <is>
          <t>Lawrence, KS : H&amp;H Enterprises, Inc., c1982.</t>
        </is>
      </c>
      <c r="M332" t="inlineStr">
        <is>
          <t>1982</t>
        </is>
      </c>
      <c r="O332" t="inlineStr">
        <is>
          <t>eng</t>
        </is>
      </c>
      <c r="P332" t="inlineStr">
        <is>
          <t>ksu</t>
        </is>
      </c>
      <c r="R332" t="inlineStr">
        <is>
          <t xml:space="preserve">RJ </t>
        </is>
      </c>
      <c r="S332" t="n">
        <v>11</v>
      </c>
      <c r="T332" t="n">
        <v>11</v>
      </c>
      <c r="U332" t="inlineStr">
        <is>
          <t>2001-11-29</t>
        </is>
      </c>
      <c r="V332" t="inlineStr">
        <is>
          <t>2001-11-29</t>
        </is>
      </c>
      <c r="W332" t="inlineStr">
        <is>
          <t>1990-04-04</t>
        </is>
      </c>
      <c r="X332" t="inlineStr">
        <is>
          <t>1990-04-04</t>
        </is>
      </c>
      <c r="Y332" t="n">
        <v>92</v>
      </c>
      <c r="Z332" t="n">
        <v>72</v>
      </c>
      <c r="AA332" t="n">
        <v>94</v>
      </c>
      <c r="AB332" t="n">
        <v>2</v>
      </c>
      <c r="AC332" t="n">
        <v>2</v>
      </c>
      <c r="AD332" t="n">
        <v>5</v>
      </c>
      <c r="AE332" t="n">
        <v>5</v>
      </c>
      <c r="AF332" t="n">
        <v>3</v>
      </c>
      <c r="AG332" t="n">
        <v>3</v>
      </c>
      <c r="AH332" t="n">
        <v>0</v>
      </c>
      <c r="AI332" t="n">
        <v>0</v>
      </c>
      <c r="AJ332" t="n">
        <v>1</v>
      </c>
      <c r="AK332" t="n">
        <v>1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HYPERLINK("https://creighton-primo.hosted.exlibrisgroup.com/primo-explore/search?tab=default_tab&amp;search_scope=EVERYTHING&amp;vid=01CRU&amp;lang=en_US&amp;offset=0&amp;query=any,contains,991000040119702656","Catalog Record")</f>
        <v/>
      </c>
      <c r="AT332">
        <f>HYPERLINK("http://www.worldcat.org/oclc/8643689","WorldCat Record")</f>
        <v/>
      </c>
      <c r="AU332" t="inlineStr">
        <is>
          <t>139790:eng</t>
        </is>
      </c>
      <c r="AV332" t="inlineStr">
        <is>
          <t>8643689</t>
        </is>
      </c>
      <c r="AW332" t="inlineStr">
        <is>
          <t>991000040119702656</t>
        </is>
      </c>
      <c r="AX332" t="inlineStr">
        <is>
          <t>991000040119702656</t>
        </is>
      </c>
      <c r="AY332" t="inlineStr">
        <is>
          <t>2272430950002656</t>
        </is>
      </c>
      <c r="AZ332" t="inlineStr">
        <is>
          <t>BOOK</t>
        </is>
      </c>
      <c r="BB332" t="inlineStr">
        <is>
          <t>9780890790649</t>
        </is>
      </c>
      <c r="BC332" t="inlineStr">
        <is>
          <t>32285000110121</t>
        </is>
      </c>
      <c r="BD332" t="inlineStr">
        <is>
          <t>893896561</t>
        </is>
      </c>
    </row>
    <row r="333">
      <c r="A333" t="inlineStr">
        <is>
          <t>No</t>
        </is>
      </c>
      <c r="B333" t="inlineStr">
        <is>
          <t>RJ506.A9 K69 1983</t>
        </is>
      </c>
      <c r="C333" t="inlineStr">
        <is>
          <t>0                      RJ 0506000A  9                  K  69          1983</t>
        </is>
      </c>
      <c r="D333" t="inlineStr">
        <is>
          <t>Reaching the autistic child : a parent training program / Martin A. Kozloff.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Kozloff, Martin A.</t>
        </is>
      </c>
      <c r="L333" t="inlineStr">
        <is>
          <t>Cambridge, MA. : Brookline Books, [1983] c1973.</t>
        </is>
      </c>
      <c r="M333" t="inlineStr">
        <is>
          <t>1983</t>
        </is>
      </c>
      <c r="O333" t="inlineStr">
        <is>
          <t>eng</t>
        </is>
      </c>
      <c r="P333" t="inlineStr">
        <is>
          <t>mau</t>
        </is>
      </c>
      <c r="R333" t="inlineStr">
        <is>
          <t xml:space="preserve">RJ </t>
        </is>
      </c>
      <c r="S333" t="n">
        <v>20</v>
      </c>
      <c r="T333" t="n">
        <v>20</v>
      </c>
      <c r="U333" t="inlineStr">
        <is>
          <t>2007-11-19</t>
        </is>
      </c>
      <c r="V333" t="inlineStr">
        <is>
          <t>2007-11-19</t>
        </is>
      </c>
      <c r="W333" t="inlineStr">
        <is>
          <t>1990-04-04</t>
        </is>
      </c>
      <c r="X333" t="inlineStr">
        <is>
          <t>1990-04-04</t>
        </is>
      </c>
      <c r="Y333" t="n">
        <v>161</v>
      </c>
      <c r="Z333" t="n">
        <v>152</v>
      </c>
      <c r="AA333" t="n">
        <v>634</v>
      </c>
      <c r="AB333" t="n">
        <v>1</v>
      </c>
      <c r="AC333" t="n">
        <v>7</v>
      </c>
      <c r="AD333" t="n">
        <v>4</v>
      </c>
      <c r="AE333" t="n">
        <v>16</v>
      </c>
      <c r="AF333" t="n">
        <v>1</v>
      </c>
      <c r="AG333" t="n">
        <v>7</v>
      </c>
      <c r="AH333" t="n">
        <v>1</v>
      </c>
      <c r="AI333" t="n">
        <v>1</v>
      </c>
      <c r="AJ333" t="n">
        <v>4</v>
      </c>
      <c r="AK333" t="n">
        <v>6</v>
      </c>
      <c r="AL333" t="n">
        <v>0</v>
      </c>
      <c r="AM333" t="n">
        <v>6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HYPERLINK("https://creighton-primo.hosted.exlibrisgroup.com/primo-explore/search?tab=default_tab&amp;search_scope=EVERYTHING&amp;vid=01CRU&amp;lang=en_US&amp;offset=0&amp;query=any,contains,991000332299702656","Catalog Record")</f>
        <v/>
      </c>
      <c r="AT333">
        <f>HYPERLINK("http://www.worldcat.org/oclc/10207935","WorldCat Record")</f>
        <v/>
      </c>
      <c r="AU333" t="inlineStr">
        <is>
          <t>537795:eng</t>
        </is>
      </c>
      <c r="AV333" t="inlineStr">
        <is>
          <t>10207935</t>
        </is>
      </c>
      <c r="AW333" t="inlineStr">
        <is>
          <t>991000332299702656</t>
        </is>
      </c>
      <c r="AX333" t="inlineStr">
        <is>
          <t>991000332299702656</t>
        </is>
      </c>
      <c r="AY333" t="inlineStr">
        <is>
          <t>2265059270002656</t>
        </is>
      </c>
      <c r="AZ333" t="inlineStr">
        <is>
          <t>BOOK</t>
        </is>
      </c>
      <c r="BB333" t="inlineStr">
        <is>
          <t>9780914797029</t>
        </is>
      </c>
      <c r="BC333" t="inlineStr">
        <is>
          <t>32285000110139</t>
        </is>
      </c>
      <c r="BD333" t="inlineStr">
        <is>
          <t>893224907</t>
        </is>
      </c>
    </row>
    <row r="334">
      <c r="A334" t="inlineStr">
        <is>
          <t>No</t>
        </is>
      </c>
      <c r="B334" t="inlineStr">
        <is>
          <t>RJ506.A9 K8</t>
        </is>
      </c>
      <c r="C334" t="inlineStr">
        <is>
          <t>0                      RJ 0506000A  9                  K  8</t>
        </is>
      </c>
      <c r="D334" t="inlineStr">
        <is>
          <t>The autistic child / by I. Newton Kugelmass.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Kugelmass, I. Newton (Isaac Newton), 1896-</t>
        </is>
      </c>
      <c r="L334" t="inlineStr">
        <is>
          <t>Springfield, Ill. : Thomas, [1970]</t>
        </is>
      </c>
      <c r="M334" t="inlineStr">
        <is>
          <t>1970</t>
        </is>
      </c>
      <c r="O334" t="inlineStr">
        <is>
          <t>eng</t>
        </is>
      </c>
      <c r="P334" t="inlineStr">
        <is>
          <t>ilu</t>
        </is>
      </c>
      <c r="Q334" t="inlineStr">
        <is>
          <t>American lecture series ; publication no. 766</t>
        </is>
      </c>
      <c r="R334" t="inlineStr">
        <is>
          <t xml:space="preserve">RJ </t>
        </is>
      </c>
      <c r="S334" t="n">
        <v>26</v>
      </c>
      <c r="T334" t="n">
        <v>26</v>
      </c>
      <c r="U334" t="inlineStr">
        <is>
          <t>2009-11-04</t>
        </is>
      </c>
      <c r="V334" t="inlineStr">
        <is>
          <t>2009-11-04</t>
        </is>
      </c>
      <c r="W334" t="inlineStr">
        <is>
          <t>1990-05-30</t>
        </is>
      </c>
      <c r="X334" t="inlineStr">
        <is>
          <t>1990-05-30</t>
        </is>
      </c>
      <c r="Y334" t="n">
        <v>472</v>
      </c>
      <c r="Z334" t="n">
        <v>397</v>
      </c>
      <c r="AA334" t="n">
        <v>400</v>
      </c>
      <c r="AB334" t="n">
        <v>4</v>
      </c>
      <c r="AC334" t="n">
        <v>4</v>
      </c>
      <c r="AD334" t="n">
        <v>13</v>
      </c>
      <c r="AE334" t="n">
        <v>13</v>
      </c>
      <c r="AF334" t="n">
        <v>6</v>
      </c>
      <c r="AG334" t="n">
        <v>6</v>
      </c>
      <c r="AH334" t="n">
        <v>2</v>
      </c>
      <c r="AI334" t="n">
        <v>2</v>
      </c>
      <c r="AJ334" t="n">
        <v>5</v>
      </c>
      <c r="AK334" t="n">
        <v>5</v>
      </c>
      <c r="AL334" t="n">
        <v>3</v>
      </c>
      <c r="AM334" t="n">
        <v>3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HYPERLINK("http://catalog.hathitrust.org/Record/000868290","HathiTrust Record")</f>
        <v/>
      </c>
      <c r="AS334">
        <f>HYPERLINK("https://creighton-primo.hosted.exlibrisgroup.com/primo-explore/search?tab=default_tab&amp;search_scope=EVERYTHING&amp;vid=01CRU&amp;lang=en_US&amp;offset=0&amp;query=any,contains,991000528299702656","Catalog Record")</f>
        <v/>
      </c>
      <c r="AT334">
        <f>HYPERLINK("http://www.worldcat.org/oclc/89259","WorldCat Record")</f>
        <v/>
      </c>
      <c r="AU334" t="inlineStr">
        <is>
          <t>3943852719:eng</t>
        </is>
      </c>
      <c r="AV334" t="inlineStr">
        <is>
          <t>89259</t>
        </is>
      </c>
      <c r="AW334" t="inlineStr">
        <is>
          <t>991000528299702656</t>
        </is>
      </c>
      <c r="AX334" t="inlineStr">
        <is>
          <t>991000528299702656</t>
        </is>
      </c>
      <c r="AY334" t="inlineStr">
        <is>
          <t>2258784140002656</t>
        </is>
      </c>
      <c r="AZ334" t="inlineStr">
        <is>
          <t>BOOK</t>
        </is>
      </c>
      <c r="BC334" t="inlineStr">
        <is>
          <t>32285000159904</t>
        </is>
      </c>
      <c r="BD334" t="inlineStr">
        <is>
          <t>893601825</t>
        </is>
      </c>
    </row>
    <row r="335">
      <c r="A335" t="inlineStr">
        <is>
          <t>No</t>
        </is>
      </c>
      <c r="B335" t="inlineStr">
        <is>
          <t>RJ506.A9 L68</t>
        </is>
      </c>
      <c r="C335" t="inlineStr">
        <is>
          <t>0                      RJ 0506000A  9                  L  68</t>
        </is>
      </c>
      <c r="D335" t="inlineStr">
        <is>
          <t>The autistic child : language development through behavior modification / by O. Ivar Lovaas.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Lovaas, O. Ivar (Ole Ivar), 1927-2010.</t>
        </is>
      </c>
      <c r="L335" t="inlineStr">
        <is>
          <t>New York : Irvington Publishers : distributed by Halsted Press, c1977.</t>
        </is>
      </c>
      <c r="M335" t="inlineStr">
        <is>
          <t>1977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RJ </t>
        </is>
      </c>
      <c r="S335" t="n">
        <v>25</v>
      </c>
      <c r="T335" t="n">
        <v>25</v>
      </c>
      <c r="U335" t="inlineStr">
        <is>
          <t>2000-03-14</t>
        </is>
      </c>
      <c r="V335" t="inlineStr">
        <is>
          <t>2000-03-14</t>
        </is>
      </c>
      <c r="W335" t="inlineStr">
        <is>
          <t>1990-02-19</t>
        </is>
      </c>
      <c r="X335" t="inlineStr">
        <is>
          <t>1990-02-19</t>
        </is>
      </c>
      <c r="Y335" t="n">
        <v>794</v>
      </c>
      <c r="Z335" t="n">
        <v>671</v>
      </c>
      <c r="AA335" t="n">
        <v>683</v>
      </c>
      <c r="AB335" t="n">
        <v>6</v>
      </c>
      <c r="AC335" t="n">
        <v>6</v>
      </c>
      <c r="AD335" t="n">
        <v>26</v>
      </c>
      <c r="AE335" t="n">
        <v>26</v>
      </c>
      <c r="AF335" t="n">
        <v>13</v>
      </c>
      <c r="AG335" t="n">
        <v>13</v>
      </c>
      <c r="AH335" t="n">
        <v>4</v>
      </c>
      <c r="AI335" t="n">
        <v>4</v>
      </c>
      <c r="AJ335" t="n">
        <v>12</v>
      </c>
      <c r="AK335" t="n">
        <v>12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HYPERLINK("http://catalog.hathitrust.org/Record/000722259","HathiTrust Record")</f>
        <v/>
      </c>
      <c r="AS335">
        <f>HYPERLINK("https://creighton-primo.hosted.exlibrisgroup.com/primo-explore/search?tab=default_tab&amp;search_scope=EVERYTHING&amp;vid=01CRU&amp;lang=en_US&amp;offset=0&amp;query=any,contains,991004008459702656","Catalog Record")</f>
        <v/>
      </c>
      <c r="AT335">
        <f>HYPERLINK("http://www.worldcat.org/oclc/2089468","WorldCat Record")</f>
        <v/>
      </c>
      <c r="AU335" t="inlineStr">
        <is>
          <t>494621:eng</t>
        </is>
      </c>
      <c r="AV335" t="inlineStr">
        <is>
          <t>2089468</t>
        </is>
      </c>
      <c r="AW335" t="inlineStr">
        <is>
          <t>991004008459702656</t>
        </is>
      </c>
      <c r="AX335" t="inlineStr">
        <is>
          <t>991004008459702656</t>
        </is>
      </c>
      <c r="AY335" t="inlineStr">
        <is>
          <t>2263391740002656</t>
        </is>
      </c>
      <c r="AZ335" t="inlineStr">
        <is>
          <t>BOOK</t>
        </is>
      </c>
      <c r="BB335" t="inlineStr">
        <is>
          <t>9780470150658</t>
        </is>
      </c>
      <c r="BC335" t="inlineStr">
        <is>
          <t>32285000042647</t>
        </is>
      </c>
      <c r="BD335" t="inlineStr">
        <is>
          <t>893599309</t>
        </is>
      </c>
    </row>
    <row r="336">
      <c r="A336" t="inlineStr">
        <is>
          <t>No</t>
        </is>
      </c>
      <c r="B336" t="inlineStr">
        <is>
          <t>RJ506.A9 M39 1993</t>
        </is>
      </c>
      <c r="C336" t="inlineStr">
        <is>
          <t>0                      RJ 0506000A  9                  M  39          1993</t>
        </is>
      </c>
      <c r="D336" t="inlineStr">
        <is>
          <t>Let me hear your voice : a family's triumph over autism / Catherine Maurice.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Maurice, Catherine.</t>
        </is>
      </c>
      <c r="L336" t="inlineStr">
        <is>
          <t>New York : Knopf, 1993.</t>
        </is>
      </c>
      <c r="M336" t="inlineStr">
        <is>
          <t>1993</t>
        </is>
      </c>
      <c r="N336" t="inlineStr">
        <is>
          <t>1st ed.</t>
        </is>
      </c>
      <c r="O336" t="inlineStr">
        <is>
          <t>eng</t>
        </is>
      </c>
      <c r="P336" t="inlineStr">
        <is>
          <t>nyu</t>
        </is>
      </c>
      <c r="R336" t="inlineStr">
        <is>
          <t xml:space="preserve">RJ </t>
        </is>
      </c>
      <c r="S336" t="n">
        <v>23</v>
      </c>
      <c r="T336" t="n">
        <v>23</v>
      </c>
      <c r="U336" t="inlineStr">
        <is>
          <t>2007-08-30</t>
        </is>
      </c>
      <c r="V336" t="inlineStr">
        <is>
          <t>2007-08-30</t>
        </is>
      </c>
      <c r="W336" t="inlineStr">
        <is>
          <t>1993-08-09</t>
        </is>
      </c>
      <c r="X336" t="inlineStr">
        <is>
          <t>1993-08-09</t>
        </is>
      </c>
      <c r="Y336" t="n">
        <v>739</v>
      </c>
      <c r="Z336" t="n">
        <v>696</v>
      </c>
      <c r="AA336" t="n">
        <v>996</v>
      </c>
      <c r="AB336" t="n">
        <v>7</v>
      </c>
      <c r="AC336" t="n">
        <v>9</v>
      </c>
      <c r="AD336" t="n">
        <v>10</v>
      </c>
      <c r="AE336" t="n">
        <v>19</v>
      </c>
      <c r="AF336" t="n">
        <v>2</v>
      </c>
      <c r="AG336" t="n">
        <v>6</v>
      </c>
      <c r="AH336" t="n">
        <v>1</v>
      </c>
      <c r="AI336" t="n">
        <v>3</v>
      </c>
      <c r="AJ336" t="n">
        <v>7</v>
      </c>
      <c r="AK336" t="n">
        <v>8</v>
      </c>
      <c r="AL336" t="n">
        <v>3</v>
      </c>
      <c r="AM336" t="n">
        <v>5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HYPERLINK("http://catalog.hathitrust.org/Record/002729946","HathiTrust Record")</f>
        <v/>
      </c>
      <c r="AS336">
        <f>HYPERLINK("https://creighton-primo.hosted.exlibrisgroup.com/primo-explore/search?tab=default_tab&amp;search_scope=EVERYTHING&amp;vid=01CRU&amp;lang=en_US&amp;offset=0&amp;query=any,contains,991002077159702656","Catalog Record")</f>
        <v/>
      </c>
      <c r="AT336">
        <f>HYPERLINK("http://www.worldcat.org/oclc/26633221","WorldCat Record")</f>
        <v/>
      </c>
      <c r="AU336" t="inlineStr">
        <is>
          <t>27973129:eng</t>
        </is>
      </c>
      <c r="AV336" t="inlineStr">
        <is>
          <t>26633221</t>
        </is>
      </c>
      <c r="AW336" t="inlineStr">
        <is>
          <t>991002077159702656</t>
        </is>
      </c>
      <c r="AX336" t="inlineStr">
        <is>
          <t>991002077159702656</t>
        </is>
      </c>
      <c r="AY336" t="inlineStr">
        <is>
          <t>2255439420002656</t>
        </is>
      </c>
      <c r="AZ336" t="inlineStr">
        <is>
          <t>BOOK</t>
        </is>
      </c>
      <c r="BB336" t="inlineStr">
        <is>
          <t>9780679408635</t>
        </is>
      </c>
      <c r="BC336" t="inlineStr">
        <is>
          <t>32285001725695</t>
        </is>
      </c>
      <c r="BD336" t="inlineStr">
        <is>
          <t>893439747</t>
        </is>
      </c>
    </row>
    <row r="337">
      <c r="A337" t="inlineStr">
        <is>
          <t>No</t>
        </is>
      </c>
      <c r="B337" t="inlineStr">
        <is>
          <t>RJ506.A9 M67</t>
        </is>
      </c>
      <c r="C337" t="inlineStr">
        <is>
          <t>0                      RJ 0506000A  9                  M  67</t>
        </is>
      </c>
      <c r="D337" t="inlineStr">
        <is>
          <t>The unreachable child : an introduction to early childhood autism / Sam B. Morgan.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Morgan, Sam B., 1932-</t>
        </is>
      </c>
      <c r="L337" t="inlineStr">
        <is>
          <t>Memphis : Memphis State University Press, c1981.</t>
        </is>
      </c>
      <c r="M337" t="inlineStr">
        <is>
          <t>1981</t>
        </is>
      </c>
      <c r="O337" t="inlineStr">
        <is>
          <t>eng</t>
        </is>
      </c>
      <c r="P337" t="inlineStr">
        <is>
          <t>tnu</t>
        </is>
      </c>
      <c r="R337" t="inlineStr">
        <is>
          <t xml:space="preserve">RJ </t>
        </is>
      </c>
      <c r="S337" t="n">
        <v>21</v>
      </c>
      <c r="T337" t="n">
        <v>21</v>
      </c>
      <c r="U337" t="inlineStr">
        <is>
          <t>2005-02-11</t>
        </is>
      </c>
      <c r="V337" t="inlineStr">
        <is>
          <t>2005-02-11</t>
        </is>
      </c>
      <c r="W337" t="inlineStr">
        <is>
          <t>1990-07-02</t>
        </is>
      </c>
      <c r="X337" t="inlineStr">
        <is>
          <t>1990-07-02</t>
        </is>
      </c>
      <c r="Y337" t="n">
        <v>312</v>
      </c>
      <c r="Z337" t="n">
        <v>277</v>
      </c>
      <c r="AA337" t="n">
        <v>277</v>
      </c>
      <c r="AB337" t="n">
        <v>2</v>
      </c>
      <c r="AC337" t="n">
        <v>2</v>
      </c>
      <c r="AD337" t="n">
        <v>6</v>
      </c>
      <c r="AE337" t="n">
        <v>6</v>
      </c>
      <c r="AF337" t="n">
        <v>1</v>
      </c>
      <c r="AG337" t="n">
        <v>1</v>
      </c>
      <c r="AH337" t="n">
        <v>1</v>
      </c>
      <c r="AI337" t="n">
        <v>1</v>
      </c>
      <c r="AJ337" t="n">
        <v>3</v>
      </c>
      <c r="AK337" t="n">
        <v>3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HYPERLINK("https://creighton-primo.hosted.exlibrisgroup.com/primo-explore/search?tab=default_tab&amp;search_scope=EVERYTHING&amp;vid=01CRU&amp;lang=en_US&amp;offset=0&amp;query=any,contains,991005085559702656","Catalog Record")</f>
        <v/>
      </c>
      <c r="AT337">
        <f>HYPERLINK("http://www.worldcat.org/oclc/7196310","WorldCat Record")</f>
        <v/>
      </c>
      <c r="AU337" t="inlineStr">
        <is>
          <t>427524689:eng</t>
        </is>
      </c>
      <c r="AV337" t="inlineStr">
        <is>
          <t>7196310</t>
        </is>
      </c>
      <c r="AW337" t="inlineStr">
        <is>
          <t>991005085559702656</t>
        </is>
      </c>
      <c r="AX337" t="inlineStr">
        <is>
          <t>991005085559702656</t>
        </is>
      </c>
      <c r="AY337" t="inlineStr">
        <is>
          <t>2255604610002656</t>
        </is>
      </c>
      <c r="AZ337" t="inlineStr">
        <is>
          <t>BOOK</t>
        </is>
      </c>
      <c r="BB337" t="inlineStr">
        <is>
          <t>9780878702015</t>
        </is>
      </c>
      <c r="BC337" t="inlineStr">
        <is>
          <t>32285000219120</t>
        </is>
      </c>
      <c r="BD337" t="inlineStr">
        <is>
          <t>893520399</t>
        </is>
      </c>
    </row>
    <row r="338">
      <c r="A338" t="inlineStr">
        <is>
          <t>No</t>
        </is>
      </c>
      <c r="B338" t="inlineStr">
        <is>
          <t>RJ506.A9 N44 1984</t>
        </is>
      </c>
      <c r="C338" t="inlineStr">
        <is>
          <t>0                      RJ 0506000A  9                  N  44          1984</t>
        </is>
      </c>
      <c r="D338" t="inlineStr">
        <is>
          <t>Children with autism and other pervasive disorders of development &amp; behavior : therapy through activities / David L. Nelson.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Nelson, David L.</t>
        </is>
      </c>
      <c r="L338" t="inlineStr">
        <is>
          <t>Thorofare, NJ : Slack, c1984.</t>
        </is>
      </c>
      <c r="M338" t="inlineStr">
        <is>
          <t>1984</t>
        </is>
      </c>
      <c r="O338" t="inlineStr">
        <is>
          <t>eng</t>
        </is>
      </c>
      <c r="P338" t="inlineStr">
        <is>
          <t>nju</t>
        </is>
      </c>
      <c r="R338" t="inlineStr">
        <is>
          <t xml:space="preserve">RJ </t>
        </is>
      </c>
      <c r="S338" t="n">
        <v>32</v>
      </c>
      <c r="T338" t="n">
        <v>32</v>
      </c>
      <c r="U338" t="inlineStr">
        <is>
          <t>2002-10-14</t>
        </is>
      </c>
      <c r="V338" t="inlineStr">
        <is>
          <t>2002-10-14</t>
        </is>
      </c>
      <c r="W338" t="inlineStr">
        <is>
          <t>1996-05-29</t>
        </is>
      </c>
      <c r="X338" t="inlineStr">
        <is>
          <t>1996-05-29</t>
        </is>
      </c>
      <c r="Y338" t="n">
        <v>208</v>
      </c>
      <c r="Z338" t="n">
        <v>171</v>
      </c>
      <c r="AA338" t="n">
        <v>180</v>
      </c>
      <c r="AB338" t="n">
        <v>2</v>
      </c>
      <c r="AC338" t="n">
        <v>2</v>
      </c>
      <c r="AD338" t="n">
        <v>6</v>
      </c>
      <c r="AE338" t="n">
        <v>6</v>
      </c>
      <c r="AF338" t="n">
        <v>2</v>
      </c>
      <c r="AG338" t="n">
        <v>2</v>
      </c>
      <c r="AH338" t="n">
        <v>2</v>
      </c>
      <c r="AI338" t="n">
        <v>2</v>
      </c>
      <c r="AJ338" t="n">
        <v>3</v>
      </c>
      <c r="AK338" t="n">
        <v>3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HYPERLINK("http://catalog.hathitrust.org/Record/000288356","HathiTrust Record")</f>
        <v/>
      </c>
      <c r="AS338">
        <f>HYPERLINK("https://creighton-primo.hosted.exlibrisgroup.com/primo-explore/search?tab=default_tab&amp;search_scope=EVERYTHING&amp;vid=01CRU&amp;lang=en_US&amp;offset=0&amp;query=any,contains,991000551729702656","Catalog Record")</f>
        <v/>
      </c>
      <c r="AT338">
        <f>HYPERLINK("http://www.worldcat.org/oclc/11533654","WorldCat Record")</f>
        <v/>
      </c>
      <c r="AU338" t="inlineStr">
        <is>
          <t>4172286:eng</t>
        </is>
      </c>
      <c r="AV338" t="inlineStr">
        <is>
          <t>11533654</t>
        </is>
      </c>
      <c r="AW338" t="inlineStr">
        <is>
          <t>991000551729702656</t>
        </is>
      </c>
      <c r="AX338" t="inlineStr">
        <is>
          <t>991000551729702656</t>
        </is>
      </c>
      <c r="AY338" t="inlineStr">
        <is>
          <t>2258208370002656</t>
        </is>
      </c>
      <c r="AZ338" t="inlineStr">
        <is>
          <t>BOOK</t>
        </is>
      </c>
      <c r="BB338" t="inlineStr">
        <is>
          <t>9780913590959</t>
        </is>
      </c>
      <c r="BC338" t="inlineStr">
        <is>
          <t>32285002121472</t>
        </is>
      </c>
      <c r="BD338" t="inlineStr">
        <is>
          <t>893231201</t>
        </is>
      </c>
    </row>
    <row r="339">
      <c r="A339" t="inlineStr">
        <is>
          <t>No</t>
        </is>
      </c>
      <c r="B339" t="inlineStr">
        <is>
          <t>RJ506.A9 P27</t>
        </is>
      </c>
      <c r="C339" t="inlineStr">
        <is>
          <t>0                      RJ 0506000A  9                  P  27</t>
        </is>
      </c>
      <c r="D339" t="inlineStr">
        <is>
          <t>Autism : a practical guide for parents and professionals / Maria J. Paluszny, with contributions from James L. Paul ... [et al.] ; foreword by Eric Schopler.</t>
        </is>
      </c>
      <c r="F339" t="inlineStr">
        <is>
          <t>No</t>
        </is>
      </c>
      <c r="G339" t="inlineStr">
        <is>
          <t>1</t>
        </is>
      </c>
      <c r="H339" t="inlineStr">
        <is>
          <t>Yes</t>
        </is>
      </c>
      <c r="I339" t="inlineStr">
        <is>
          <t>No</t>
        </is>
      </c>
      <c r="J339" t="inlineStr">
        <is>
          <t>0</t>
        </is>
      </c>
      <c r="K339" t="inlineStr">
        <is>
          <t>Paluszny, Maria J.</t>
        </is>
      </c>
      <c r="L339" t="inlineStr">
        <is>
          <t>Syracuse, N.Y. : Syracuse University Press, 1979.</t>
        </is>
      </c>
      <c r="M339" t="inlineStr">
        <is>
          <t>1979</t>
        </is>
      </c>
      <c r="N339" t="inlineStr">
        <is>
          <t>1st ed.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RJ </t>
        </is>
      </c>
      <c r="S339" t="n">
        <v>39</v>
      </c>
      <c r="T339" t="n">
        <v>39</v>
      </c>
      <c r="U339" t="inlineStr">
        <is>
          <t>2009-11-04</t>
        </is>
      </c>
      <c r="V339" t="inlineStr">
        <is>
          <t>2009-11-04</t>
        </is>
      </c>
      <c r="W339" t="inlineStr">
        <is>
          <t>1991-12-16</t>
        </is>
      </c>
      <c r="X339" t="inlineStr">
        <is>
          <t>1991-12-16</t>
        </is>
      </c>
      <c r="Y339" t="n">
        <v>545</v>
      </c>
      <c r="Z339" t="n">
        <v>480</v>
      </c>
      <c r="AA339" t="n">
        <v>519</v>
      </c>
      <c r="AB339" t="n">
        <v>7</v>
      </c>
      <c r="AC339" t="n">
        <v>8</v>
      </c>
      <c r="AD339" t="n">
        <v>11</v>
      </c>
      <c r="AE339" t="n">
        <v>13</v>
      </c>
      <c r="AF339" t="n">
        <v>3</v>
      </c>
      <c r="AG339" t="n">
        <v>3</v>
      </c>
      <c r="AH339" t="n">
        <v>2</v>
      </c>
      <c r="AI339" t="n">
        <v>2</v>
      </c>
      <c r="AJ339" t="n">
        <v>4</v>
      </c>
      <c r="AK339" t="n">
        <v>5</v>
      </c>
      <c r="AL339" t="n">
        <v>3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HYPERLINK("http://catalog.hathitrust.org/Record/000718998","HathiTrust Record")</f>
        <v/>
      </c>
      <c r="AS339">
        <f>HYPERLINK("https://creighton-primo.hosted.exlibrisgroup.com/primo-explore/search?tab=default_tab&amp;search_scope=EVERYTHING&amp;vid=01CRU&amp;lang=en_US&amp;offset=0&amp;query=any,contains,991004678219702656","Catalog Record")</f>
        <v/>
      </c>
      <c r="AT339">
        <f>HYPERLINK("http://www.worldcat.org/oclc/4549626","WorldCat Record")</f>
        <v/>
      </c>
      <c r="AU339" t="inlineStr">
        <is>
          <t>31289326:eng</t>
        </is>
      </c>
      <c r="AV339" t="inlineStr">
        <is>
          <t>4549626</t>
        </is>
      </c>
      <c r="AW339" t="inlineStr">
        <is>
          <t>991004678219702656</t>
        </is>
      </c>
      <c r="AX339" t="inlineStr">
        <is>
          <t>991004678219702656</t>
        </is>
      </c>
      <c r="AY339" t="inlineStr">
        <is>
          <t>2272652770002656</t>
        </is>
      </c>
      <c r="AZ339" t="inlineStr">
        <is>
          <t>BOOK</t>
        </is>
      </c>
      <c r="BB339" t="inlineStr">
        <is>
          <t>9780815622123</t>
        </is>
      </c>
      <c r="BC339" t="inlineStr">
        <is>
          <t>32285000906874</t>
        </is>
      </c>
      <c r="BD339" t="inlineStr">
        <is>
          <t>893526379</t>
        </is>
      </c>
    </row>
    <row r="340">
      <c r="A340" t="inlineStr">
        <is>
          <t>No</t>
        </is>
      </c>
      <c r="B340" t="inlineStr">
        <is>
          <t>RJ506.A9 P3 1972</t>
        </is>
      </c>
      <c r="C340" t="inlineStr">
        <is>
          <t>0                      RJ 0506000A  9                  P  3           1972</t>
        </is>
      </c>
      <c r="D340" t="inlineStr">
        <is>
          <t>The siege; the first eight years of an autistic child.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Park, Clara Claiborne.</t>
        </is>
      </c>
      <c r="L340" t="inlineStr">
        <is>
          <t>Boston, Little, Brown [1972]</t>
        </is>
      </c>
      <c r="M340" t="inlineStr">
        <is>
          <t>1972</t>
        </is>
      </c>
      <c r="O340" t="inlineStr">
        <is>
          <t>eng</t>
        </is>
      </c>
      <c r="P340" t="inlineStr">
        <is>
          <t>___</t>
        </is>
      </c>
      <c r="R340" t="inlineStr">
        <is>
          <t xml:space="preserve">RJ </t>
        </is>
      </c>
      <c r="S340" t="n">
        <v>10</v>
      </c>
      <c r="T340" t="n">
        <v>10</v>
      </c>
      <c r="U340" t="inlineStr">
        <is>
          <t>1995-10-25</t>
        </is>
      </c>
      <c r="V340" t="inlineStr">
        <is>
          <t>1995-10-25</t>
        </is>
      </c>
      <c r="W340" t="inlineStr">
        <is>
          <t>1991-10-28</t>
        </is>
      </c>
      <c r="X340" t="inlineStr">
        <is>
          <t>1991-10-28</t>
        </is>
      </c>
      <c r="Y340" t="n">
        <v>172</v>
      </c>
      <c r="Z340" t="n">
        <v>165</v>
      </c>
      <c r="AA340" t="n">
        <v>166</v>
      </c>
      <c r="AB340" t="n">
        <v>3</v>
      </c>
      <c r="AC340" t="n">
        <v>3</v>
      </c>
      <c r="AD340" t="n">
        <v>10</v>
      </c>
      <c r="AE340" t="n">
        <v>10</v>
      </c>
      <c r="AF340" t="n">
        <v>6</v>
      </c>
      <c r="AG340" t="n">
        <v>6</v>
      </c>
      <c r="AH340" t="n">
        <v>2</v>
      </c>
      <c r="AI340" t="n">
        <v>2</v>
      </c>
      <c r="AJ340" t="n">
        <v>4</v>
      </c>
      <c r="AK340" t="n">
        <v>4</v>
      </c>
      <c r="AL340" t="n">
        <v>2</v>
      </c>
      <c r="AM340" t="n">
        <v>2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HYPERLINK("https://creighton-primo.hosted.exlibrisgroup.com/primo-explore/search?tab=default_tab&amp;search_scope=EVERYTHING&amp;vid=01CRU&amp;lang=en_US&amp;offset=0&amp;query=any,contains,991003431379702656","Catalog Record")</f>
        <v/>
      </c>
      <c r="AT340">
        <f>HYPERLINK("http://www.worldcat.org/oclc/966005","WorldCat Record")</f>
        <v/>
      </c>
      <c r="AU340" t="inlineStr">
        <is>
          <t>2286801585:eng</t>
        </is>
      </c>
      <c r="AV340" t="inlineStr">
        <is>
          <t>966005</t>
        </is>
      </c>
      <c r="AW340" t="inlineStr">
        <is>
          <t>991003431379702656</t>
        </is>
      </c>
      <c r="AX340" t="inlineStr">
        <is>
          <t>991003431379702656</t>
        </is>
      </c>
      <c r="AY340" t="inlineStr">
        <is>
          <t>2262064330002656</t>
        </is>
      </c>
      <c r="AZ340" t="inlineStr">
        <is>
          <t>BOOK</t>
        </is>
      </c>
      <c r="BC340" t="inlineStr">
        <is>
          <t>32285000802156</t>
        </is>
      </c>
      <c r="BD340" t="inlineStr">
        <is>
          <t>893604784</t>
        </is>
      </c>
    </row>
    <row r="341">
      <c r="A341" t="inlineStr">
        <is>
          <t>No</t>
        </is>
      </c>
      <c r="B341" t="inlineStr">
        <is>
          <t>RJ506.A9 R4 1984</t>
        </is>
      </c>
      <c r="C341" t="inlineStr">
        <is>
          <t>0                      RJ 0506000A  9                  R  4           1984</t>
        </is>
      </c>
      <c r="D341" t="inlineStr">
        <is>
          <t>Readings in autism / [edited by] Ellen Weber Bell.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Guilford, Conn. : Special Learning Corp., c1984.</t>
        </is>
      </c>
      <c r="M341" t="inlineStr">
        <is>
          <t>1984</t>
        </is>
      </c>
      <c r="N341" t="inlineStr">
        <is>
          <t>Rev. ed.</t>
        </is>
      </c>
      <c r="O341" t="inlineStr">
        <is>
          <t>eng</t>
        </is>
      </c>
      <c r="P341" t="inlineStr">
        <is>
          <t>ctu</t>
        </is>
      </c>
      <c r="Q341" t="inlineStr">
        <is>
          <t>Special education series</t>
        </is>
      </c>
      <c r="R341" t="inlineStr">
        <is>
          <t xml:space="preserve">RJ </t>
        </is>
      </c>
      <c r="S341" t="n">
        <v>2</v>
      </c>
      <c r="T341" t="n">
        <v>2</v>
      </c>
      <c r="U341" t="inlineStr">
        <is>
          <t>2009-09-15</t>
        </is>
      </c>
      <c r="V341" t="inlineStr">
        <is>
          <t>2009-09-15</t>
        </is>
      </c>
      <c r="W341" t="inlineStr">
        <is>
          <t>2003-08-13</t>
        </is>
      </c>
      <c r="X341" t="inlineStr">
        <is>
          <t>2003-08-13</t>
        </is>
      </c>
      <c r="Y341" t="n">
        <v>75</v>
      </c>
      <c r="Z341" t="n">
        <v>74</v>
      </c>
      <c r="AA341" t="n">
        <v>74</v>
      </c>
      <c r="AB341" t="n">
        <v>2</v>
      </c>
      <c r="AC341" t="n">
        <v>2</v>
      </c>
      <c r="AD341" t="n">
        <v>2</v>
      </c>
      <c r="AE341" t="n">
        <v>2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1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HYPERLINK("https://creighton-primo.hosted.exlibrisgroup.com/primo-explore/search?tab=default_tab&amp;search_scope=EVERYTHING&amp;vid=01CRU&amp;lang=en_US&amp;offset=0&amp;query=any,contains,991004105009702656","Catalog Record")</f>
        <v/>
      </c>
      <c r="AT341">
        <f>HYPERLINK("http://www.worldcat.org/oclc/11527383","WorldCat Record")</f>
        <v/>
      </c>
      <c r="AU341" t="inlineStr">
        <is>
          <t>552322:eng</t>
        </is>
      </c>
      <c r="AV341" t="inlineStr">
        <is>
          <t>11527383</t>
        </is>
      </c>
      <c r="AW341" t="inlineStr">
        <is>
          <t>991004105009702656</t>
        </is>
      </c>
      <c r="AX341" t="inlineStr">
        <is>
          <t>991004105009702656</t>
        </is>
      </c>
      <c r="AY341" t="inlineStr">
        <is>
          <t>2262518250002656</t>
        </is>
      </c>
      <c r="AZ341" t="inlineStr">
        <is>
          <t>BOOK</t>
        </is>
      </c>
      <c r="BB341" t="inlineStr">
        <is>
          <t>9780895684288</t>
        </is>
      </c>
      <c r="BC341" t="inlineStr">
        <is>
          <t>32285000056688</t>
        </is>
      </c>
      <c r="BD341" t="inlineStr">
        <is>
          <t>893423387</t>
        </is>
      </c>
    </row>
    <row r="342">
      <c r="A342" t="inlineStr">
        <is>
          <t>No</t>
        </is>
      </c>
      <c r="B342" t="inlineStr">
        <is>
          <t>RJ506.A9 R65 1981</t>
        </is>
      </c>
      <c r="C342" t="inlineStr">
        <is>
          <t>0                      RJ 0506000A  9                  R  65          1981</t>
        </is>
      </c>
      <c r="D342" t="inlineStr">
        <is>
          <t>How to create a curriculum for autistic and other handicapped children / by Raymond G. Romanczyk and Stephanie Lockshin.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Romanczyk, Raymond G.</t>
        </is>
      </c>
      <c r="L342" t="inlineStr">
        <is>
          <t>Lawrence, Kan. : H &amp; H Enterprises, Inc., c1981.</t>
        </is>
      </c>
      <c r="M342" t="inlineStr">
        <is>
          <t>1981</t>
        </is>
      </c>
      <c r="O342" t="inlineStr">
        <is>
          <t>eng</t>
        </is>
      </c>
      <c r="P342" t="inlineStr">
        <is>
          <t>ksu</t>
        </is>
      </c>
      <c r="R342" t="inlineStr">
        <is>
          <t xml:space="preserve">RJ </t>
        </is>
      </c>
      <c r="S342" t="n">
        <v>5</v>
      </c>
      <c r="T342" t="n">
        <v>5</v>
      </c>
      <c r="U342" t="inlineStr">
        <is>
          <t>2009-09-15</t>
        </is>
      </c>
      <c r="V342" t="inlineStr">
        <is>
          <t>2009-09-15</t>
        </is>
      </c>
      <c r="W342" t="inlineStr">
        <is>
          <t>1993-03-03</t>
        </is>
      </c>
      <c r="X342" t="inlineStr">
        <is>
          <t>1993-03-03</t>
        </is>
      </c>
      <c r="Y342" t="n">
        <v>90</v>
      </c>
      <c r="Z342" t="n">
        <v>68</v>
      </c>
      <c r="AA342" t="n">
        <v>107</v>
      </c>
      <c r="AB342" t="n">
        <v>2</v>
      </c>
      <c r="AC342" t="n">
        <v>3</v>
      </c>
      <c r="AD342" t="n">
        <v>2</v>
      </c>
      <c r="AE342" t="n">
        <v>4</v>
      </c>
      <c r="AF342" t="n">
        <v>1</v>
      </c>
      <c r="AG342" t="n">
        <v>1</v>
      </c>
      <c r="AH342" t="n">
        <v>0</v>
      </c>
      <c r="AI342" t="n">
        <v>0</v>
      </c>
      <c r="AJ342" t="n">
        <v>0</v>
      </c>
      <c r="AK342" t="n">
        <v>1</v>
      </c>
      <c r="AL342" t="n">
        <v>1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HYPERLINK("https://creighton-primo.hosted.exlibrisgroup.com/primo-explore/search?tab=default_tab&amp;search_scope=EVERYTHING&amp;vid=01CRU&amp;lang=en_US&amp;offset=0&amp;query=any,contains,991005165119702656","Catalog Record")</f>
        <v/>
      </c>
      <c r="AT342">
        <f>HYPERLINK("http://www.worldcat.org/oclc/7823146","WorldCat Record")</f>
        <v/>
      </c>
      <c r="AU342" t="inlineStr">
        <is>
          <t>547087:eng</t>
        </is>
      </c>
      <c r="AV342" t="inlineStr">
        <is>
          <t>7823146</t>
        </is>
      </c>
      <c r="AW342" t="inlineStr">
        <is>
          <t>991005165119702656</t>
        </is>
      </c>
      <c r="AX342" t="inlineStr">
        <is>
          <t>991005165119702656</t>
        </is>
      </c>
      <c r="AY342" t="inlineStr">
        <is>
          <t>2254813720002656</t>
        </is>
      </c>
      <c r="AZ342" t="inlineStr">
        <is>
          <t>BOOK</t>
        </is>
      </c>
      <c r="BB342" t="inlineStr">
        <is>
          <t>9780890790571</t>
        </is>
      </c>
      <c r="BC342" t="inlineStr">
        <is>
          <t>32285001529626</t>
        </is>
      </c>
      <c r="BD342" t="inlineStr">
        <is>
          <t>893606940</t>
        </is>
      </c>
    </row>
    <row r="343">
      <c r="A343" t="inlineStr">
        <is>
          <t>No</t>
        </is>
      </c>
      <c r="B343" t="inlineStr">
        <is>
          <t>RJ506.A9 S4 1988</t>
        </is>
      </c>
      <c r="C343" t="inlineStr">
        <is>
          <t>0                      RJ 0506000A  9                  S  4           1988</t>
        </is>
      </c>
      <c r="D343" t="inlineStr">
        <is>
          <t>Autism / Laura Schreibman.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Schreibman, Laura Ellen.</t>
        </is>
      </c>
      <c r="L343" t="inlineStr">
        <is>
          <t>Newbury Park, Calif. : Sage Publications, c1988.</t>
        </is>
      </c>
      <c r="M343" t="inlineStr">
        <is>
          <t>1988</t>
        </is>
      </c>
      <c r="O343" t="inlineStr">
        <is>
          <t>eng</t>
        </is>
      </c>
      <c r="P343" t="inlineStr">
        <is>
          <t>cau</t>
        </is>
      </c>
      <c r="Q343" t="inlineStr">
        <is>
          <t>Developmental clinical psychology and psychiatry ; v. 15</t>
        </is>
      </c>
      <c r="R343" t="inlineStr">
        <is>
          <t xml:space="preserve">RJ </t>
        </is>
      </c>
      <c r="S343" t="n">
        <v>44</v>
      </c>
      <c r="T343" t="n">
        <v>44</v>
      </c>
      <c r="U343" t="inlineStr">
        <is>
          <t>2006-02-18</t>
        </is>
      </c>
      <c r="V343" t="inlineStr">
        <is>
          <t>2006-02-18</t>
        </is>
      </c>
      <c r="W343" t="inlineStr">
        <is>
          <t>1991-11-25</t>
        </is>
      </c>
      <c r="X343" t="inlineStr">
        <is>
          <t>1991-11-25</t>
        </is>
      </c>
      <c r="Y343" t="n">
        <v>334</v>
      </c>
      <c r="Z343" t="n">
        <v>251</v>
      </c>
      <c r="AA343" t="n">
        <v>278</v>
      </c>
      <c r="AB343" t="n">
        <v>3</v>
      </c>
      <c r="AC343" t="n">
        <v>3</v>
      </c>
      <c r="AD343" t="n">
        <v>12</v>
      </c>
      <c r="AE343" t="n">
        <v>12</v>
      </c>
      <c r="AF343" t="n">
        <v>4</v>
      </c>
      <c r="AG343" t="n">
        <v>4</v>
      </c>
      <c r="AH343" t="n">
        <v>2</v>
      </c>
      <c r="AI343" t="n">
        <v>2</v>
      </c>
      <c r="AJ343" t="n">
        <v>7</v>
      </c>
      <c r="AK343" t="n">
        <v>7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HYPERLINK("http://catalog.hathitrust.org/Record/001079219","HathiTrust Record")</f>
        <v/>
      </c>
      <c r="AS343">
        <f>HYPERLINK("https://creighton-primo.hosted.exlibrisgroup.com/primo-explore/search?tab=default_tab&amp;search_scope=EVERYTHING&amp;vid=01CRU&amp;lang=en_US&amp;offset=0&amp;query=any,contains,991001215499702656","Catalog Record")</f>
        <v/>
      </c>
      <c r="AT343">
        <f>HYPERLINK("http://www.worldcat.org/oclc/17413678","WorldCat Record")</f>
        <v/>
      </c>
      <c r="AU343" t="inlineStr">
        <is>
          <t>14470822:eng</t>
        </is>
      </c>
      <c r="AV343" t="inlineStr">
        <is>
          <t>17413678</t>
        </is>
      </c>
      <c r="AW343" t="inlineStr">
        <is>
          <t>991001215499702656</t>
        </is>
      </c>
      <c r="AX343" t="inlineStr">
        <is>
          <t>991001215499702656</t>
        </is>
      </c>
      <c r="AY343" t="inlineStr">
        <is>
          <t>2264988790002656</t>
        </is>
      </c>
      <c r="AZ343" t="inlineStr">
        <is>
          <t>BOOK</t>
        </is>
      </c>
      <c r="BB343" t="inlineStr">
        <is>
          <t>9780803928107</t>
        </is>
      </c>
      <c r="BC343" t="inlineStr">
        <is>
          <t>32285000843382</t>
        </is>
      </c>
      <c r="BD343" t="inlineStr">
        <is>
          <t>893351813</t>
        </is>
      </c>
    </row>
    <row r="344">
      <c r="A344" t="inlineStr">
        <is>
          <t>No</t>
        </is>
      </c>
      <c r="B344" t="inlineStr">
        <is>
          <t>RJ506.A9 S79</t>
        </is>
      </c>
      <c r="C344" t="inlineStr">
        <is>
          <t>0                      RJ 0506000A  9                  S  79</t>
        </is>
      </c>
      <c r="D344" t="inlineStr">
        <is>
          <t>Tommy : a treatment study of an autistic child.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Stuecher, Uwe.</t>
        </is>
      </c>
      <c r="L344" t="inlineStr">
        <is>
          <t>Arlington, Va. : Council for Exceptional Children, [1972]</t>
        </is>
      </c>
      <c r="M344" t="inlineStr">
        <is>
          <t>1972</t>
        </is>
      </c>
      <c r="O344" t="inlineStr">
        <is>
          <t>eng</t>
        </is>
      </c>
      <c r="P344" t="inlineStr">
        <is>
          <t>vau</t>
        </is>
      </c>
      <c r="R344" t="inlineStr">
        <is>
          <t xml:space="preserve">RJ </t>
        </is>
      </c>
      <c r="S344" t="n">
        <v>17</v>
      </c>
      <c r="T344" t="n">
        <v>17</v>
      </c>
      <c r="U344" t="inlineStr">
        <is>
          <t>2002-10-16</t>
        </is>
      </c>
      <c r="V344" t="inlineStr">
        <is>
          <t>2002-10-16</t>
        </is>
      </c>
      <c r="W344" t="inlineStr">
        <is>
          <t>1991-02-22</t>
        </is>
      </c>
      <c r="X344" t="inlineStr">
        <is>
          <t>1991-02-22</t>
        </is>
      </c>
      <c r="Y344" t="n">
        <v>228</v>
      </c>
      <c r="Z344" t="n">
        <v>202</v>
      </c>
      <c r="AA344" t="n">
        <v>208</v>
      </c>
      <c r="AB344" t="n">
        <v>3</v>
      </c>
      <c r="AC344" t="n">
        <v>3</v>
      </c>
      <c r="AD344" t="n">
        <v>11</v>
      </c>
      <c r="AE344" t="n">
        <v>11</v>
      </c>
      <c r="AF344" t="n">
        <v>6</v>
      </c>
      <c r="AG344" t="n">
        <v>6</v>
      </c>
      <c r="AH344" t="n">
        <v>2</v>
      </c>
      <c r="AI344" t="n">
        <v>2</v>
      </c>
      <c r="AJ344" t="n">
        <v>3</v>
      </c>
      <c r="AK344" t="n">
        <v>3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HYPERLINK("http://catalog.hathitrust.org/Record/000007822","HathiTrust Record")</f>
        <v/>
      </c>
      <c r="AS344">
        <f>HYPERLINK("https://creighton-primo.hosted.exlibrisgroup.com/primo-explore/search?tab=default_tab&amp;search_scope=EVERYTHING&amp;vid=01CRU&amp;lang=en_US&amp;offset=0&amp;query=any,contains,991003013659702656","Catalog Record")</f>
        <v/>
      </c>
      <c r="AT344">
        <f>HYPERLINK("http://www.worldcat.org/oclc/579368","WorldCat Record")</f>
        <v/>
      </c>
      <c r="AU344" t="inlineStr">
        <is>
          <t>1722553:eng</t>
        </is>
      </c>
      <c r="AV344" t="inlineStr">
        <is>
          <t>579368</t>
        </is>
      </c>
      <c r="AW344" t="inlineStr">
        <is>
          <t>991003013659702656</t>
        </is>
      </c>
      <c r="AX344" t="inlineStr">
        <is>
          <t>991003013659702656</t>
        </is>
      </c>
      <c r="AY344" t="inlineStr">
        <is>
          <t>2255765630002656</t>
        </is>
      </c>
      <c r="AZ344" t="inlineStr">
        <is>
          <t>BOOK</t>
        </is>
      </c>
      <c r="BC344" t="inlineStr">
        <is>
          <t>32285000499367</t>
        </is>
      </c>
      <c r="BD344" t="inlineStr">
        <is>
          <t>893251913</t>
        </is>
      </c>
    </row>
    <row r="345">
      <c r="A345" t="inlineStr">
        <is>
          <t>No</t>
        </is>
      </c>
      <c r="B345" t="inlineStr">
        <is>
          <t>RJ506.A9 W5 1976</t>
        </is>
      </c>
      <c r="C345" t="inlineStr">
        <is>
          <t>0                      RJ 0506000A  9                  W  5           1976</t>
        </is>
      </c>
      <c r="D345" t="inlineStr">
        <is>
          <t>Early childhood autism : clinical, educational, and social aspects / edited by Lorna Wing.</t>
        </is>
      </c>
      <c r="F345" t="inlineStr">
        <is>
          <t>No</t>
        </is>
      </c>
      <c r="G345" t="inlineStr">
        <is>
          <t>1</t>
        </is>
      </c>
      <c r="H345" t="inlineStr">
        <is>
          <t>Yes</t>
        </is>
      </c>
      <c r="I345" t="inlineStr">
        <is>
          <t>No</t>
        </is>
      </c>
      <c r="J345" t="inlineStr">
        <is>
          <t>0</t>
        </is>
      </c>
      <c r="L345" t="inlineStr">
        <is>
          <t>Oxford ; New York : Pergamon Press, 1976.</t>
        </is>
      </c>
      <c r="M345" t="inlineStr">
        <is>
          <t>1976</t>
        </is>
      </c>
      <c r="N345" t="inlineStr">
        <is>
          <t>2d ed.</t>
        </is>
      </c>
      <c r="O345" t="inlineStr">
        <is>
          <t>eng</t>
        </is>
      </c>
      <c r="P345" t="inlineStr">
        <is>
          <t>enk</t>
        </is>
      </c>
      <c r="Q345" t="inlineStr">
        <is>
          <t>Pergamon international library of science, technology, engineering, and social studies</t>
        </is>
      </c>
      <c r="R345" t="inlineStr">
        <is>
          <t xml:space="preserve">RJ </t>
        </is>
      </c>
      <c r="S345" t="n">
        <v>16</v>
      </c>
      <c r="T345" t="n">
        <v>16</v>
      </c>
      <c r="U345" t="inlineStr">
        <is>
          <t>2003-11-24</t>
        </is>
      </c>
      <c r="V345" t="inlineStr">
        <is>
          <t>2003-11-24</t>
        </is>
      </c>
      <c r="W345" t="inlineStr">
        <is>
          <t>1990-12-28</t>
        </is>
      </c>
      <c r="X345" t="inlineStr">
        <is>
          <t>1990-12-28</t>
        </is>
      </c>
      <c r="Y345" t="n">
        <v>582</v>
      </c>
      <c r="Z345" t="n">
        <v>424</v>
      </c>
      <c r="AA345" t="n">
        <v>612</v>
      </c>
      <c r="AB345" t="n">
        <v>3</v>
      </c>
      <c r="AC345" t="n">
        <v>6</v>
      </c>
      <c r="AD345" t="n">
        <v>12</v>
      </c>
      <c r="AE345" t="n">
        <v>23</v>
      </c>
      <c r="AF345" t="n">
        <v>5</v>
      </c>
      <c r="AG345" t="n">
        <v>7</v>
      </c>
      <c r="AH345" t="n">
        <v>2</v>
      </c>
      <c r="AI345" t="n">
        <v>7</v>
      </c>
      <c r="AJ345" t="n">
        <v>8</v>
      </c>
      <c r="AK345" t="n">
        <v>11</v>
      </c>
      <c r="AL345" t="n">
        <v>1</v>
      </c>
      <c r="AM345" t="n">
        <v>4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HYPERLINK("http://catalog.hathitrust.org/Record/000034579","HathiTrust Record")</f>
        <v/>
      </c>
      <c r="AS345">
        <f>HYPERLINK("https://creighton-primo.hosted.exlibrisgroup.com/primo-explore/search?tab=default_tab&amp;search_scope=EVERYTHING&amp;vid=01CRU&amp;lang=en_US&amp;offset=0&amp;query=any,contains,991003785129702656","Catalog Record")</f>
        <v/>
      </c>
      <c r="AT345">
        <f>HYPERLINK("http://www.worldcat.org/oclc/1500349","WorldCat Record")</f>
        <v/>
      </c>
      <c r="AU345" t="inlineStr">
        <is>
          <t>1862362871:eng</t>
        </is>
      </c>
      <c r="AV345" t="inlineStr">
        <is>
          <t>1500349</t>
        </is>
      </c>
      <c r="AW345" t="inlineStr">
        <is>
          <t>991003785129702656</t>
        </is>
      </c>
      <c r="AX345" t="inlineStr">
        <is>
          <t>991003785129702656</t>
        </is>
      </c>
      <c r="AY345" t="inlineStr">
        <is>
          <t>2260373040002656</t>
        </is>
      </c>
      <c r="AZ345" t="inlineStr">
        <is>
          <t>BOOK</t>
        </is>
      </c>
      <c r="BB345" t="inlineStr">
        <is>
          <t>9780080171777</t>
        </is>
      </c>
      <c r="BC345" t="inlineStr">
        <is>
          <t>32285000426717</t>
        </is>
      </c>
      <c r="BD345" t="inlineStr">
        <is>
          <t>893868862</t>
        </is>
      </c>
    </row>
    <row r="346">
      <c r="A346" t="inlineStr">
        <is>
          <t>No</t>
        </is>
      </c>
      <c r="B346" t="inlineStr">
        <is>
          <t>RJ506.A9 W52</t>
        </is>
      </c>
      <c r="C346" t="inlineStr">
        <is>
          <t>0                      RJ 0506000A  9                  W  52</t>
        </is>
      </c>
      <c r="D346" t="inlineStr">
        <is>
          <t>Autistic children : a guide for parents.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Wing, Lorna.</t>
        </is>
      </c>
      <c r="L346" t="inlineStr">
        <is>
          <t>New York : Brunner/Mazel, [1972]</t>
        </is>
      </c>
      <c r="M346" t="inlineStr">
        <is>
          <t>1972</t>
        </is>
      </c>
      <c r="O346" t="inlineStr">
        <is>
          <t>eng</t>
        </is>
      </c>
      <c r="P346" t="inlineStr">
        <is>
          <t>nyu</t>
        </is>
      </c>
      <c r="R346" t="inlineStr">
        <is>
          <t xml:space="preserve">RJ </t>
        </is>
      </c>
      <c r="S346" t="n">
        <v>44</v>
      </c>
      <c r="T346" t="n">
        <v>44</v>
      </c>
      <c r="U346" t="inlineStr">
        <is>
          <t>2006-02-14</t>
        </is>
      </c>
      <c r="V346" t="inlineStr">
        <is>
          <t>2006-02-14</t>
        </is>
      </c>
      <c r="W346" t="inlineStr">
        <is>
          <t>1991-02-22</t>
        </is>
      </c>
      <c r="X346" t="inlineStr">
        <is>
          <t>1991-02-22</t>
        </is>
      </c>
      <c r="Y346" t="n">
        <v>558</v>
      </c>
      <c r="Z346" t="n">
        <v>519</v>
      </c>
      <c r="AA346" t="n">
        <v>651</v>
      </c>
      <c r="AB346" t="n">
        <v>6</v>
      </c>
      <c r="AC346" t="n">
        <v>6</v>
      </c>
      <c r="AD346" t="n">
        <v>12</v>
      </c>
      <c r="AE346" t="n">
        <v>14</v>
      </c>
      <c r="AF346" t="n">
        <v>3</v>
      </c>
      <c r="AG346" t="n">
        <v>4</v>
      </c>
      <c r="AH346" t="n">
        <v>2</v>
      </c>
      <c r="AI346" t="n">
        <v>3</v>
      </c>
      <c r="AJ346" t="n">
        <v>5</v>
      </c>
      <c r="AK346" t="n">
        <v>7</v>
      </c>
      <c r="AL346" t="n">
        <v>4</v>
      </c>
      <c r="AM346" t="n">
        <v>4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HYPERLINK("http://catalog.hathitrust.org/Record/000005234","HathiTrust Record")</f>
        <v/>
      </c>
      <c r="AS346">
        <f>HYPERLINK("https://creighton-primo.hosted.exlibrisgroup.com/primo-explore/search?tab=default_tab&amp;search_scope=EVERYTHING&amp;vid=01CRU&amp;lang=en_US&amp;offset=0&amp;query=any,contains,991002552219702656","Catalog Record")</f>
        <v/>
      </c>
      <c r="AT346">
        <f>HYPERLINK("http://www.worldcat.org/oclc/370223","WorldCat Record")</f>
        <v/>
      </c>
      <c r="AU346" t="inlineStr">
        <is>
          <t>2553200967:eng</t>
        </is>
      </c>
      <c r="AV346" t="inlineStr">
        <is>
          <t>370223</t>
        </is>
      </c>
      <c r="AW346" t="inlineStr">
        <is>
          <t>991002552219702656</t>
        </is>
      </c>
      <c r="AX346" t="inlineStr">
        <is>
          <t>991002552219702656</t>
        </is>
      </c>
      <c r="AY346" t="inlineStr">
        <is>
          <t>2260513150002656</t>
        </is>
      </c>
      <c r="AZ346" t="inlineStr">
        <is>
          <t>BOOK</t>
        </is>
      </c>
      <c r="BB346" t="inlineStr">
        <is>
          <t>9780876300527</t>
        </is>
      </c>
      <c r="BC346" t="inlineStr">
        <is>
          <t>32285000499342</t>
        </is>
      </c>
      <c r="BD346" t="inlineStr">
        <is>
          <t>893597588</t>
        </is>
      </c>
    </row>
    <row r="347">
      <c r="A347" t="inlineStr">
        <is>
          <t>No</t>
        </is>
      </c>
      <c r="B347" t="inlineStr">
        <is>
          <t>RJ506.B44 S37 1991</t>
        </is>
      </c>
      <c r="C347" t="inlineStr">
        <is>
          <t>0                      RJ 0506000B  44                 S  37          1991</t>
        </is>
      </c>
      <c r="D347" t="inlineStr">
        <is>
          <t>Assessment and treatment of childhood problems : a clinician's guide / Carolyn S. Schroeder, Betty N. Gordon.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Yes</t>
        </is>
      </c>
      <c r="J347" t="inlineStr">
        <is>
          <t>0</t>
        </is>
      </c>
      <c r="K347" t="inlineStr">
        <is>
          <t>Schroeder, Carolyn S.</t>
        </is>
      </c>
      <c r="L347" t="inlineStr">
        <is>
          <t>New York : Guilford Press, 1991.</t>
        </is>
      </c>
      <c r="M347" t="inlineStr">
        <is>
          <t>1991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RJ </t>
        </is>
      </c>
      <c r="S347" t="n">
        <v>10</v>
      </c>
      <c r="T347" t="n">
        <v>10</v>
      </c>
      <c r="U347" t="inlineStr">
        <is>
          <t>2004-02-06</t>
        </is>
      </c>
      <c r="V347" t="inlineStr">
        <is>
          <t>2004-02-06</t>
        </is>
      </c>
      <c r="W347" t="inlineStr">
        <is>
          <t>1996-11-20</t>
        </is>
      </c>
      <c r="X347" t="inlineStr">
        <is>
          <t>1996-11-20</t>
        </is>
      </c>
      <c r="Y347" t="n">
        <v>225</v>
      </c>
      <c r="Z347" t="n">
        <v>189</v>
      </c>
      <c r="AA347" t="n">
        <v>488</v>
      </c>
      <c r="AB347" t="n">
        <v>2</v>
      </c>
      <c r="AC347" t="n">
        <v>5</v>
      </c>
      <c r="AD347" t="n">
        <v>10</v>
      </c>
      <c r="AE347" t="n">
        <v>18</v>
      </c>
      <c r="AF347" t="n">
        <v>4</v>
      </c>
      <c r="AG347" t="n">
        <v>10</v>
      </c>
      <c r="AH347" t="n">
        <v>1</v>
      </c>
      <c r="AI347" t="n">
        <v>1</v>
      </c>
      <c r="AJ347" t="n">
        <v>6</v>
      </c>
      <c r="AK347" t="n">
        <v>10</v>
      </c>
      <c r="AL347" t="n">
        <v>1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HYPERLINK("https://creighton-primo.hosted.exlibrisgroup.com/primo-explore/search?tab=default_tab&amp;search_scope=EVERYTHING&amp;vid=01CRU&amp;lang=en_US&amp;offset=0&amp;query=any,contains,991001898009702656","Catalog Record")</f>
        <v/>
      </c>
      <c r="AT347">
        <f>HYPERLINK("http://www.worldcat.org/oclc/23974275","WorldCat Record")</f>
        <v/>
      </c>
      <c r="AU347" t="inlineStr">
        <is>
          <t>796392030:eng</t>
        </is>
      </c>
      <c r="AV347" t="inlineStr">
        <is>
          <t>23974275</t>
        </is>
      </c>
      <c r="AW347" t="inlineStr">
        <is>
          <t>991001898009702656</t>
        </is>
      </c>
      <c r="AX347" t="inlineStr">
        <is>
          <t>991001898009702656</t>
        </is>
      </c>
      <c r="AY347" t="inlineStr">
        <is>
          <t>2269291930002656</t>
        </is>
      </c>
      <c r="AZ347" t="inlineStr">
        <is>
          <t>BOOK</t>
        </is>
      </c>
      <c r="BB347" t="inlineStr">
        <is>
          <t>9780898625653</t>
        </is>
      </c>
      <c r="BC347" t="inlineStr">
        <is>
          <t>32285002374857</t>
        </is>
      </c>
      <c r="BD347" t="inlineStr">
        <is>
          <t>893779172</t>
        </is>
      </c>
    </row>
    <row r="348">
      <c r="A348" t="inlineStr">
        <is>
          <t>No</t>
        </is>
      </c>
      <c r="B348" t="inlineStr">
        <is>
          <t>RJ506.C48 B44 1993</t>
        </is>
      </c>
      <c r="C348" t="inlineStr">
        <is>
          <t>0                      RJ 0506000C  48                 B  44          1993</t>
        </is>
      </c>
      <c r="D348" t="inlineStr">
        <is>
          <t>Behind the playground walls : sexual abuse in preschools / Jill Waterman ... [et al.].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 : Guilford Press, c1993.</t>
        </is>
      </c>
      <c r="M348" t="inlineStr">
        <is>
          <t>1993</t>
        </is>
      </c>
      <c r="O348" t="inlineStr">
        <is>
          <t>eng</t>
        </is>
      </c>
      <c r="P348" t="inlineStr">
        <is>
          <t>nyu</t>
        </is>
      </c>
      <c r="R348" t="inlineStr">
        <is>
          <t xml:space="preserve">RJ </t>
        </is>
      </c>
      <c r="S348" t="n">
        <v>4</v>
      </c>
      <c r="T348" t="n">
        <v>4</v>
      </c>
      <c r="U348" t="inlineStr">
        <is>
          <t>1998-06-20</t>
        </is>
      </c>
      <c r="V348" t="inlineStr">
        <is>
          <t>1998-06-20</t>
        </is>
      </c>
      <c r="W348" t="inlineStr">
        <is>
          <t>1994-12-22</t>
        </is>
      </c>
      <c r="X348" t="inlineStr">
        <is>
          <t>1994-12-22</t>
        </is>
      </c>
      <c r="Y348" t="n">
        <v>423</v>
      </c>
      <c r="Z348" t="n">
        <v>357</v>
      </c>
      <c r="AA348" t="n">
        <v>358</v>
      </c>
      <c r="AB348" t="n">
        <v>3</v>
      </c>
      <c r="AC348" t="n">
        <v>3</v>
      </c>
      <c r="AD348" t="n">
        <v>16</v>
      </c>
      <c r="AE348" t="n">
        <v>16</v>
      </c>
      <c r="AF348" t="n">
        <v>5</v>
      </c>
      <c r="AG348" t="n">
        <v>5</v>
      </c>
      <c r="AH348" t="n">
        <v>3</v>
      </c>
      <c r="AI348" t="n">
        <v>3</v>
      </c>
      <c r="AJ348" t="n">
        <v>12</v>
      </c>
      <c r="AK348" t="n">
        <v>12</v>
      </c>
      <c r="AL348" t="n">
        <v>2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HYPERLINK("https://creighton-primo.hosted.exlibrisgroup.com/primo-explore/search?tab=default_tab&amp;search_scope=EVERYTHING&amp;vid=01CRU&amp;lang=en_US&amp;offset=0&amp;query=any,contains,991001977439702656","Catalog Record")</f>
        <v/>
      </c>
      <c r="AT348">
        <f>HYPERLINK("http://www.worldcat.org/oclc/25091276","WorldCat Record")</f>
        <v/>
      </c>
      <c r="AU348" t="inlineStr">
        <is>
          <t>152313891:eng</t>
        </is>
      </c>
      <c r="AV348" t="inlineStr">
        <is>
          <t>25091276</t>
        </is>
      </c>
      <c r="AW348" t="inlineStr">
        <is>
          <t>991001977439702656</t>
        </is>
      </c>
      <c r="AX348" t="inlineStr">
        <is>
          <t>991001977439702656</t>
        </is>
      </c>
      <c r="AY348" t="inlineStr">
        <is>
          <t>2263549500002656</t>
        </is>
      </c>
      <c r="AZ348" t="inlineStr">
        <is>
          <t>BOOK</t>
        </is>
      </c>
      <c r="BB348" t="inlineStr">
        <is>
          <t>9780898622553</t>
        </is>
      </c>
      <c r="BC348" t="inlineStr">
        <is>
          <t>32285001978229</t>
        </is>
      </c>
      <c r="BD348" t="inlineStr">
        <is>
          <t>893892002</t>
        </is>
      </c>
    </row>
    <row r="349">
      <c r="A349" t="inlineStr">
        <is>
          <t>No</t>
        </is>
      </c>
      <c r="B349" t="inlineStr">
        <is>
          <t>RJ506.C48 B74 1987</t>
        </is>
      </c>
      <c r="C349" t="inlineStr">
        <is>
          <t>0                      RJ 0506000C  48                 B  74          1987</t>
        </is>
      </c>
      <c r="D349" t="inlineStr">
        <is>
          <t>The adolescent molester / by William Breer.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Breer, William.</t>
        </is>
      </c>
      <c r="L349" t="inlineStr">
        <is>
          <t>Springfield, Ill., U.S.A. : C.C. Thomas, c1987.</t>
        </is>
      </c>
      <c r="M349" t="inlineStr">
        <is>
          <t>1987</t>
        </is>
      </c>
      <c r="O349" t="inlineStr">
        <is>
          <t>eng</t>
        </is>
      </c>
      <c r="P349" t="inlineStr">
        <is>
          <t>ilu</t>
        </is>
      </c>
      <c r="R349" t="inlineStr">
        <is>
          <t xml:space="preserve">RJ </t>
        </is>
      </c>
      <c r="S349" t="n">
        <v>1</v>
      </c>
      <c r="T349" t="n">
        <v>1</v>
      </c>
      <c r="U349" t="inlineStr">
        <is>
          <t>1998-02-09</t>
        </is>
      </c>
      <c r="V349" t="inlineStr">
        <is>
          <t>1998-02-09</t>
        </is>
      </c>
      <c r="W349" t="inlineStr">
        <is>
          <t>1991-11-08</t>
        </is>
      </c>
      <c r="X349" t="inlineStr">
        <is>
          <t>1991-11-08</t>
        </is>
      </c>
      <c r="Y349" t="n">
        <v>214</v>
      </c>
      <c r="Z349" t="n">
        <v>169</v>
      </c>
      <c r="AA349" t="n">
        <v>248</v>
      </c>
      <c r="AB349" t="n">
        <v>2</v>
      </c>
      <c r="AC349" t="n">
        <v>2</v>
      </c>
      <c r="AD349" t="n">
        <v>5</v>
      </c>
      <c r="AE349" t="n">
        <v>8</v>
      </c>
      <c r="AF349" t="n">
        <v>1</v>
      </c>
      <c r="AG349" t="n">
        <v>2</v>
      </c>
      <c r="AH349" t="n">
        <v>1</v>
      </c>
      <c r="AI349" t="n">
        <v>1</v>
      </c>
      <c r="AJ349" t="n">
        <v>2</v>
      </c>
      <c r="AK349" t="n">
        <v>5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HYPERLINK("http://catalog.hathitrust.org/Record/000871096","HathiTrust Record")</f>
        <v/>
      </c>
      <c r="AS349">
        <f>HYPERLINK("https://creighton-primo.hosted.exlibrisgroup.com/primo-explore/search?tab=default_tab&amp;search_scope=EVERYTHING&amp;vid=01CRU&amp;lang=en_US&amp;offset=0&amp;query=any,contains,991001035669702656","Catalog Record")</f>
        <v/>
      </c>
      <c r="AT349">
        <f>HYPERLINK("http://www.worldcat.org/oclc/15548945","WorldCat Record")</f>
        <v/>
      </c>
      <c r="AU349" t="inlineStr">
        <is>
          <t>10811402:eng</t>
        </is>
      </c>
      <c r="AV349" t="inlineStr">
        <is>
          <t>15548945</t>
        </is>
      </c>
      <c r="AW349" t="inlineStr">
        <is>
          <t>991001035669702656</t>
        </is>
      </c>
      <c r="AX349" t="inlineStr">
        <is>
          <t>991001035669702656</t>
        </is>
      </c>
      <c r="AY349" t="inlineStr">
        <is>
          <t>2261278160002656</t>
        </is>
      </c>
      <c r="AZ349" t="inlineStr">
        <is>
          <t>BOOK</t>
        </is>
      </c>
      <c r="BB349" t="inlineStr">
        <is>
          <t>9780398053512</t>
        </is>
      </c>
      <c r="BC349" t="inlineStr">
        <is>
          <t>32285000821057</t>
        </is>
      </c>
      <c r="BD349" t="inlineStr">
        <is>
          <t>893589970</t>
        </is>
      </c>
    </row>
    <row r="350">
      <c r="A350" t="inlineStr">
        <is>
          <t>No</t>
        </is>
      </c>
      <c r="B350" t="inlineStr">
        <is>
          <t>RJ506.C48 F74 1996</t>
        </is>
      </c>
      <c r="C350" t="inlineStr">
        <is>
          <t>0                      RJ 0506000C  48                 F  74          1996</t>
        </is>
      </c>
      <c r="D350" t="inlineStr">
        <is>
          <t>Betrayal trauma : the logic of forgetting childhood abuse / Jennifer J. Freyd.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Freyd, Jennifer J.</t>
        </is>
      </c>
      <c r="L350" t="inlineStr">
        <is>
          <t>Cambridge, Mass. : Harvard University Press, 1996.</t>
        </is>
      </c>
      <c r="M350" t="inlineStr">
        <is>
          <t>1996</t>
        </is>
      </c>
      <c r="O350" t="inlineStr">
        <is>
          <t>eng</t>
        </is>
      </c>
      <c r="P350" t="inlineStr">
        <is>
          <t>mau</t>
        </is>
      </c>
      <c r="R350" t="inlineStr">
        <is>
          <t xml:space="preserve">RJ </t>
        </is>
      </c>
      <c r="S350" t="n">
        <v>5</v>
      </c>
      <c r="T350" t="n">
        <v>5</v>
      </c>
      <c r="U350" t="inlineStr">
        <is>
          <t>2008-11-17</t>
        </is>
      </c>
      <c r="V350" t="inlineStr">
        <is>
          <t>2008-11-17</t>
        </is>
      </c>
      <c r="W350" t="inlineStr">
        <is>
          <t>1997-05-08</t>
        </is>
      </c>
      <c r="X350" t="inlineStr">
        <is>
          <t>1997-05-08</t>
        </is>
      </c>
      <c r="Y350" t="n">
        <v>753</v>
      </c>
      <c r="Z350" t="n">
        <v>635</v>
      </c>
      <c r="AA350" t="n">
        <v>646</v>
      </c>
      <c r="AB350" t="n">
        <v>4</v>
      </c>
      <c r="AC350" t="n">
        <v>4</v>
      </c>
      <c r="AD350" t="n">
        <v>23</v>
      </c>
      <c r="AE350" t="n">
        <v>24</v>
      </c>
      <c r="AF350" t="n">
        <v>9</v>
      </c>
      <c r="AG350" t="n">
        <v>10</v>
      </c>
      <c r="AH350" t="n">
        <v>5</v>
      </c>
      <c r="AI350" t="n">
        <v>5</v>
      </c>
      <c r="AJ350" t="n">
        <v>9</v>
      </c>
      <c r="AK350" t="n">
        <v>10</v>
      </c>
      <c r="AL350" t="n">
        <v>2</v>
      </c>
      <c r="AM350" t="n">
        <v>2</v>
      </c>
      <c r="AN350" t="n">
        <v>1</v>
      </c>
      <c r="AO350" t="n">
        <v>1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HYPERLINK("http://catalog.hathitrust.org/Record/003120652","HathiTrust Record")</f>
        <v/>
      </c>
      <c r="AS350">
        <f>HYPERLINK("https://creighton-primo.hosted.exlibrisgroup.com/primo-explore/search?tab=default_tab&amp;search_scope=EVERYTHING&amp;vid=01CRU&amp;lang=en_US&amp;offset=0&amp;query=any,contains,991002668829702656","Catalog Record")</f>
        <v/>
      </c>
      <c r="AT350">
        <f>HYPERLINK("http://www.worldcat.org/oclc/34912554","WorldCat Record")</f>
        <v/>
      </c>
      <c r="AU350" t="inlineStr">
        <is>
          <t>2678244:eng</t>
        </is>
      </c>
      <c r="AV350" t="inlineStr">
        <is>
          <t>34912554</t>
        </is>
      </c>
      <c r="AW350" t="inlineStr">
        <is>
          <t>991002668829702656</t>
        </is>
      </c>
      <c r="AX350" t="inlineStr">
        <is>
          <t>991002668829702656</t>
        </is>
      </c>
      <c r="AY350" t="inlineStr">
        <is>
          <t>2259129220002656</t>
        </is>
      </c>
      <c r="AZ350" t="inlineStr">
        <is>
          <t>BOOK</t>
        </is>
      </c>
      <c r="BB350" t="inlineStr">
        <is>
          <t>9780674068056</t>
        </is>
      </c>
      <c r="BC350" t="inlineStr">
        <is>
          <t>32285002606142</t>
        </is>
      </c>
      <c r="BD350" t="inlineStr">
        <is>
          <t>893773891</t>
        </is>
      </c>
    </row>
    <row r="351">
      <c r="A351" t="inlineStr">
        <is>
          <t>No</t>
        </is>
      </c>
      <c r="B351" t="inlineStr">
        <is>
          <t>RJ506.C48 S49 1992</t>
        </is>
      </c>
      <c r="C351" t="inlineStr">
        <is>
          <t>0                      RJ 0506000C  48                 S  49          1992</t>
        </is>
      </c>
      <c r="D351" t="inlineStr">
        <is>
          <t>The Sexual abuse of children : clinical issues, volume 2 / edited by William O'Donohue, James H. Geer.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Yes</t>
        </is>
      </c>
      <c r="J351" t="inlineStr">
        <is>
          <t>0</t>
        </is>
      </c>
      <c r="L351" t="inlineStr">
        <is>
          <t>Hillsdale, N.J. : L. Erlbaum, 1992.</t>
        </is>
      </c>
      <c r="M351" t="inlineStr">
        <is>
          <t>1992</t>
        </is>
      </c>
      <c r="O351" t="inlineStr">
        <is>
          <t>eng</t>
        </is>
      </c>
      <c r="P351" t="inlineStr">
        <is>
          <t>nju</t>
        </is>
      </c>
      <c r="R351" t="inlineStr">
        <is>
          <t xml:space="preserve">RJ </t>
        </is>
      </c>
      <c r="S351" t="n">
        <v>15</v>
      </c>
      <c r="T351" t="n">
        <v>15</v>
      </c>
      <c r="U351" t="inlineStr">
        <is>
          <t>2003-03-17</t>
        </is>
      </c>
      <c r="V351" t="inlineStr">
        <is>
          <t>2003-03-17</t>
        </is>
      </c>
      <c r="W351" t="inlineStr">
        <is>
          <t>1992-06-24</t>
        </is>
      </c>
      <c r="X351" t="inlineStr">
        <is>
          <t>1992-06-24</t>
        </is>
      </c>
      <c r="Y351" t="n">
        <v>80</v>
      </c>
      <c r="Z351" t="n">
        <v>74</v>
      </c>
      <c r="AA351" t="n">
        <v>272</v>
      </c>
      <c r="AB351" t="n">
        <v>2</v>
      </c>
      <c r="AC351" t="n">
        <v>2</v>
      </c>
      <c r="AD351" t="n">
        <v>2</v>
      </c>
      <c r="AE351" t="n">
        <v>12</v>
      </c>
      <c r="AF351" t="n">
        <v>0</v>
      </c>
      <c r="AG351" t="n">
        <v>2</v>
      </c>
      <c r="AH351" t="n">
        <v>0</v>
      </c>
      <c r="AI351" t="n">
        <v>5</v>
      </c>
      <c r="AJ351" t="n">
        <v>1</v>
      </c>
      <c r="AK351" t="n">
        <v>7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HYPERLINK("http://catalog.hathitrust.org/Record/002533403","HathiTrust Record")</f>
        <v/>
      </c>
      <c r="AS351">
        <f>HYPERLINK("https://creighton-primo.hosted.exlibrisgroup.com/primo-explore/search?tab=default_tab&amp;search_scope=EVERYTHING&amp;vid=01CRU&amp;lang=en_US&amp;offset=0&amp;query=any,contains,991001872499702656","Catalog Record")</f>
        <v/>
      </c>
      <c r="AT351">
        <f>HYPERLINK("http://www.worldcat.org/oclc/23649832","WorldCat Record")</f>
        <v/>
      </c>
      <c r="AU351" t="inlineStr">
        <is>
          <t>1151479002:eng</t>
        </is>
      </c>
      <c r="AV351" t="inlineStr">
        <is>
          <t>23649832</t>
        </is>
      </c>
      <c r="AW351" t="inlineStr">
        <is>
          <t>991001872499702656</t>
        </is>
      </c>
      <c r="AX351" t="inlineStr">
        <is>
          <t>991001872499702656</t>
        </is>
      </c>
      <c r="AY351" t="inlineStr">
        <is>
          <t>2261829200002656</t>
        </is>
      </c>
      <c r="AZ351" t="inlineStr">
        <is>
          <t>BOOK</t>
        </is>
      </c>
      <c r="BB351" t="inlineStr">
        <is>
          <t>9780805809800</t>
        </is>
      </c>
      <c r="BC351" t="inlineStr">
        <is>
          <t>32285001156214</t>
        </is>
      </c>
      <c r="BD351" t="inlineStr">
        <is>
          <t>893772981</t>
        </is>
      </c>
    </row>
    <row r="352">
      <c r="A352" t="inlineStr">
        <is>
          <t>No</t>
        </is>
      </c>
      <c r="B352" t="inlineStr">
        <is>
          <t>RJ506.C63 H37</t>
        </is>
      </c>
      <c r="C352" t="inlineStr">
        <is>
          <t>0                      RJ 0506000C  63                 H  37</t>
        </is>
      </c>
      <c r="D352" t="inlineStr">
        <is>
          <t>Disordered thinking and communication in children / Mahin Hassibi and Harry Breuer, Jr.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Hassibi, Mahin, 1937-</t>
        </is>
      </c>
      <c r="L352" t="inlineStr">
        <is>
          <t>New York : Plenum Press, c1980.</t>
        </is>
      </c>
      <c r="M352" t="inlineStr">
        <is>
          <t>1980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RJ </t>
        </is>
      </c>
      <c r="S352" t="n">
        <v>5</v>
      </c>
      <c r="T352" t="n">
        <v>5</v>
      </c>
      <c r="U352" t="inlineStr">
        <is>
          <t>1998-11-09</t>
        </is>
      </c>
      <c r="V352" t="inlineStr">
        <is>
          <t>1998-11-09</t>
        </is>
      </c>
      <c r="W352" t="inlineStr">
        <is>
          <t>1992-03-31</t>
        </is>
      </c>
      <c r="X352" t="inlineStr">
        <is>
          <t>1992-03-31</t>
        </is>
      </c>
      <c r="Y352" t="n">
        <v>403</v>
      </c>
      <c r="Z352" t="n">
        <v>325</v>
      </c>
      <c r="AA352" t="n">
        <v>344</v>
      </c>
      <c r="AB352" t="n">
        <v>3</v>
      </c>
      <c r="AC352" t="n">
        <v>3</v>
      </c>
      <c r="AD352" t="n">
        <v>11</v>
      </c>
      <c r="AE352" t="n">
        <v>13</v>
      </c>
      <c r="AF352" t="n">
        <v>3</v>
      </c>
      <c r="AG352" t="n">
        <v>5</v>
      </c>
      <c r="AH352" t="n">
        <v>3</v>
      </c>
      <c r="AI352" t="n">
        <v>3</v>
      </c>
      <c r="AJ352" t="n">
        <v>6</v>
      </c>
      <c r="AK352" t="n">
        <v>7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HYPERLINK("https://creighton-primo.hosted.exlibrisgroup.com/primo-explore/search?tab=default_tab&amp;search_scope=EVERYTHING&amp;vid=01CRU&amp;lang=en_US&amp;offset=0&amp;query=any,contains,991005037629702656","Catalog Record")</f>
        <v/>
      </c>
      <c r="AT352">
        <f>HYPERLINK("http://www.worldcat.org/oclc/6762678","WorldCat Record")</f>
        <v/>
      </c>
      <c r="AU352" t="inlineStr">
        <is>
          <t>23851146:eng</t>
        </is>
      </c>
      <c r="AV352" t="inlineStr">
        <is>
          <t>6762678</t>
        </is>
      </c>
      <c r="AW352" t="inlineStr">
        <is>
          <t>991005037629702656</t>
        </is>
      </c>
      <c r="AX352" t="inlineStr">
        <is>
          <t>991005037629702656</t>
        </is>
      </c>
      <c r="AY352" t="inlineStr">
        <is>
          <t>2262843130002656</t>
        </is>
      </c>
      <c r="AZ352" t="inlineStr">
        <is>
          <t>BOOK</t>
        </is>
      </c>
      <c r="BB352" t="inlineStr">
        <is>
          <t>9780306404900</t>
        </is>
      </c>
      <c r="BC352" t="inlineStr">
        <is>
          <t>32285001031607</t>
        </is>
      </c>
      <c r="BD352" t="inlineStr">
        <is>
          <t>893430746</t>
        </is>
      </c>
    </row>
    <row r="353">
      <c r="A353" t="inlineStr">
        <is>
          <t>No</t>
        </is>
      </c>
      <c r="B353" t="inlineStr">
        <is>
          <t>RJ506.C65 F75 1998</t>
        </is>
      </c>
      <c r="C353" t="inlineStr">
        <is>
          <t>0                      RJ 0506000C  65                 F  75          1998</t>
        </is>
      </c>
      <c r="D353" t="inlineStr">
        <is>
          <t>Conduct disorders and severe antisocial behavior / Paul J. Frick.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Frick, Paul J.</t>
        </is>
      </c>
      <c r="L353" t="inlineStr">
        <is>
          <t>New York : Plenum Press, c1998.</t>
        </is>
      </c>
      <c r="M353" t="inlineStr">
        <is>
          <t>1998</t>
        </is>
      </c>
      <c r="O353" t="inlineStr">
        <is>
          <t>eng</t>
        </is>
      </c>
      <c r="P353" t="inlineStr">
        <is>
          <t>nyu</t>
        </is>
      </c>
      <c r="Q353" t="inlineStr">
        <is>
          <t>Clinical child psychology library</t>
        </is>
      </c>
      <c r="R353" t="inlineStr">
        <is>
          <t xml:space="preserve">RJ </t>
        </is>
      </c>
      <c r="S353" t="n">
        <v>3</v>
      </c>
      <c r="T353" t="n">
        <v>3</v>
      </c>
      <c r="U353" t="inlineStr">
        <is>
          <t>2001-11-07</t>
        </is>
      </c>
      <c r="V353" t="inlineStr">
        <is>
          <t>2001-11-07</t>
        </is>
      </c>
      <c r="W353" t="inlineStr">
        <is>
          <t>1999-02-25</t>
        </is>
      </c>
      <c r="X353" t="inlineStr">
        <is>
          <t>1999-02-25</t>
        </is>
      </c>
      <c r="Y353" t="n">
        <v>460</v>
      </c>
      <c r="Z353" t="n">
        <v>385</v>
      </c>
      <c r="AA353" t="n">
        <v>413</v>
      </c>
      <c r="AB353" t="n">
        <v>3</v>
      </c>
      <c r="AC353" t="n">
        <v>3</v>
      </c>
      <c r="AD353" t="n">
        <v>20</v>
      </c>
      <c r="AE353" t="n">
        <v>22</v>
      </c>
      <c r="AF353" t="n">
        <v>9</v>
      </c>
      <c r="AG353" t="n">
        <v>11</v>
      </c>
      <c r="AH353" t="n">
        <v>4</v>
      </c>
      <c r="AI353" t="n">
        <v>5</v>
      </c>
      <c r="AJ353" t="n">
        <v>12</v>
      </c>
      <c r="AK353" t="n">
        <v>12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HYPERLINK("http://catalog.hathitrust.org/Record/003973685","HathiTrust Record")</f>
        <v/>
      </c>
      <c r="AS353">
        <f>HYPERLINK("https://creighton-primo.hosted.exlibrisgroup.com/primo-explore/search?tab=default_tab&amp;search_scope=EVERYTHING&amp;vid=01CRU&amp;lang=en_US&amp;offset=0&amp;query=any,contains,991002917999702656","Catalog Record")</f>
        <v/>
      </c>
      <c r="AT353">
        <f>HYPERLINK("http://www.worldcat.org/oclc/38590002","WorldCat Record")</f>
        <v/>
      </c>
      <c r="AU353" t="inlineStr">
        <is>
          <t>42450254:eng</t>
        </is>
      </c>
      <c r="AV353" t="inlineStr">
        <is>
          <t>38590002</t>
        </is>
      </c>
      <c r="AW353" t="inlineStr">
        <is>
          <t>991002917999702656</t>
        </is>
      </c>
      <c r="AX353" t="inlineStr">
        <is>
          <t>991002917999702656</t>
        </is>
      </c>
      <c r="AY353" t="inlineStr">
        <is>
          <t>2269707860002656</t>
        </is>
      </c>
      <c r="AZ353" t="inlineStr">
        <is>
          <t>BOOK</t>
        </is>
      </c>
      <c r="BB353" t="inlineStr">
        <is>
          <t>9780306458408</t>
        </is>
      </c>
      <c r="BC353" t="inlineStr">
        <is>
          <t>32285003527230</t>
        </is>
      </c>
      <c r="BD353" t="inlineStr">
        <is>
          <t>893886903</t>
        </is>
      </c>
    </row>
    <row r="354">
      <c r="A354" t="inlineStr">
        <is>
          <t>No</t>
        </is>
      </c>
      <c r="B354" t="inlineStr">
        <is>
          <t>RJ506.C65 K389 1996</t>
        </is>
      </c>
      <c r="C354" t="inlineStr">
        <is>
          <t>0                      RJ 0506000C  65                 K  389         1996</t>
        </is>
      </c>
      <c r="D354" t="inlineStr">
        <is>
          <t>Conduct disorders in childhood and adolescence / Alan E. Kazdin.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Kazdin, Alan E.</t>
        </is>
      </c>
      <c r="L354" t="inlineStr">
        <is>
          <t>Thousand Oaks, Calif. : Sage Publications, Inc., c1996.</t>
        </is>
      </c>
      <c r="M354" t="inlineStr">
        <is>
          <t>1996</t>
        </is>
      </c>
      <c r="N354" t="inlineStr">
        <is>
          <t>2nd ed.</t>
        </is>
      </c>
      <c r="O354" t="inlineStr">
        <is>
          <t>eng</t>
        </is>
      </c>
      <c r="P354" t="inlineStr">
        <is>
          <t>cau</t>
        </is>
      </c>
      <c r="Q354" t="inlineStr">
        <is>
          <t>Developmental clinical psychology and psychiatry ; vol. 9</t>
        </is>
      </c>
      <c r="R354" t="inlineStr">
        <is>
          <t xml:space="preserve">RJ </t>
        </is>
      </c>
      <c r="S354" t="n">
        <v>4</v>
      </c>
      <c r="T354" t="n">
        <v>4</v>
      </c>
      <c r="U354" t="inlineStr">
        <is>
          <t>2010-04-06</t>
        </is>
      </c>
      <c r="V354" t="inlineStr">
        <is>
          <t>2010-04-06</t>
        </is>
      </c>
      <c r="W354" t="inlineStr">
        <is>
          <t>1997-01-02</t>
        </is>
      </c>
      <c r="X354" t="inlineStr">
        <is>
          <t>1997-01-02</t>
        </is>
      </c>
      <c r="Y354" t="n">
        <v>378</v>
      </c>
      <c r="Z354" t="n">
        <v>278</v>
      </c>
      <c r="AA354" t="n">
        <v>525</v>
      </c>
      <c r="AB354" t="n">
        <v>5</v>
      </c>
      <c r="AC354" t="n">
        <v>6</v>
      </c>
      <c r="AD354" t="n">
        <v>21</v>
      </c>
      <c r="AE354" t="n">
        <v>30</v>
      </c>
      <c r="AF354" t="n">
        <v>7</v>
      </c>
      <c r="AG354" t="n">
        <v>11</v>
      </c>
      <c r="AH354" t="n">
        <v>4</v>
      </c>
      <c r="AI354" t="n">
        <v>8</v>
      </c>
      <c r="AJ354" t="n">
        <v>13</v>
      </c>
      <c r="AK354" t="n">
        <v>16</v>
      </c>
      <c r="AL354" t="n">
        <v>4</v>
      </c>
      <c r="AM354" t="n">
        <v>5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HYPERLINK("http://catalog.hathitrust.org/Record/101967022","HathiTrust Record")</f>
        <v/>
      </c>
      <c r="AS354">
        <f>HYPERLINK("https://creighton-primo.hosted.exlibrisgroup.com/primo-explore/search?tab=default_tab&amp;search_scope=EVERYTHING&amp;vid=01CRU&amp;lang=en_US&amp;offset=0&amp;query=any,contains,991002449979702656","Catalog Record")</f>
        <v/>
      </c>
      <c r="AT354">
        <f>HYPERLINK("http://www.worldcat.org/oclc/31940359","WorldCat Record")</f>
        <v/>
      </c>
      <c r="AU354" t="inlineStr">
        <is>
          <t>4495070065:eng</t>
        </is>
      </c>
      <c r="AV354" t="inlineStr">
        <is>
          <t>31940359</t>
        </is>
      </c>
      <c r="AW354" t="inlineStr">
        <is>
          <t>991002449979702656</t>
        </is>
      </c>
      <c r="AX354" t="inlineStr">
        <is>
          <t>991002449979702656</t>
        </is>
      </c>
      <c r="AY354" t="inlineStr">
        <is>
          <t>2258466910002656</t>
        </is>
      </c>
      <c r="AZ354" t="inlineStr">
        <is>
          <t>BOOK</t>
        </is>
      </c>
      <c r="BB354" t="inlineStr">
        <is>
          <t>9780803971806</t>
        </is>
      </c>
      <c r="BC354" t="inlineStr">
        <is>
          <t>32285002404324</t>
        </is>
      </c>
      <c r="BD354" t="inlineStr">
        <is>
          <t>893257303</t>
        </is>
      </c>
    </row>
    <row r="355">
      <c r="A355" t="inlineStr">
        <is>
          <t>No</t>
        </is>
      </c>
      <c r="B355" t="inlineStr">
        <is>
          <t>RJ506.C65 P37 1992</t>
        </is>
      </c>
      <c r="C355" t="inlineStr">
        <is>
          <t>0                      RJ 0506000C  65                 P  37          1992</t>
        </is>
      </c>
      <c r="D355" t="inlineStr">
        <is>
          <t>Antisocial boys / Gerald R. Patterson, John B. Reid, Thomas J. Dishion.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Patterson, Gerald R.</t>
        </is>
      </c>
      <c r="L355" t="inlineStr">
        <is>
          <t>Eugene, OR : Castalia Pub. Co., c1992.</t>
        </is>
      </c>
      <c r="M355" t="inlineStr">
        <is>
          <t>1992</t>
        </is>
      </c>
      <c r="O355" t="inlineStr">
        <is>
          <t>eng</t>
        </is>
      </c>
      <c r="P355" t="inlineStr">
        <is>
          <t>oru</t>
        </is>
      </c>
      <c r="Q355" t="inlineStr">
        <is>
          <t>A social interactional approach ; v. 4</t>
        </is>
      </c>
      <c r="R355" t="inlineStr">
        <is>
          <t xml:space="preserve">RJ </t>
        </is>
      </c>
      <c r="S355" t="n">
        <v>21</v>
      </c>
      <c r="T355" t="n">
        <v>21</v>
      </c>
      <c r="U355" t="inlineStr">
        <is>
          <t>2008-06-13</t>
        </is>
      </c>
      <c r="V355" t="inlineStr">
        <is>
          <t>2008-06-13</t>
        </is>
      </c>
      <c r="W355" t="inlineStr">
        <is>
          <t>1992-09-22</t>
        </is>
      </c>
      <c r="X355" t="inlineStr">
        <is>
          <t>1992-09-22</t>
        </is>
      </c>
      <c r="Y355" t="n">
        <v>106</v>
      </c>
      <c r="Z355" t="n">
        <v>74</v>
      </c>
      <c r="AA355" t="n">
        <v>74</v>
      </c>
      <c r="AB355" t="n">
        <v>2</v>
      </c>
      <c r="AC355" t="n">
        <v>2</v>
      </c>
      <c r="AD355" t="n">
        <v>7</v>
      </c>
      <c r="AE355" t="n">
        <v>7</v>
      </c>
      <c r="AF355" t="n">
        <v>1</v>
      </c>
      <c r="AG355" t="n">
        <v>1</v>
      </c>
      <c r="AH355" t="n">
        <v>3</v>
      </c>
      <c r="AI355" t="n">
        <v>3</v>
      </c>
      <c r="AJ355" t="n">
        <v>4</v>
      </c>
      <c r="AK355" t="n">
        <v>4</v>
      </c>
      <c r="AL355" t="n">
        <v>1</v>
      </c>
      <c r="AM355" t="n">
        <v>1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HYPERLINK("https://creighton-primo.hosted.exlibrisgroup.com/primo-explore/search?tab=default_tab&amp;search_scope=EVERYTHING&amp;vid=01CRU&amp;lang=en_US&amp;offset=0&amp;query=any,contains,991005415539702656","Catalog Record")</f>
        <v/>
      </c>
      <c r="AT355">
        <f>HYPERLINK("http://www.worldcat.org/oclc/26296976","WorldCat Record")</f>
        <v/>
      </c>
      <c r="AU355" t="inlineStr">
        <is>
          <t>5611356064:eng</t>
        </is>
      </c>
      <c r="AV355" t="inlineStr">
        <is>
          <t>26296976</t>
        </is>
      </c>
      <c r="AW355" t="inlineStr">
        <is>
          <t>991005415539702656</t>
        </is>
      </c>
      <c r="AX355" t="inlineStr">
        <is>
          <t>991005415539702656</t>
        </is>
      </c>
      <c r="AY355" t="inlineStr">
        <is>
          <t>2259294890002656</t>
        </is>
      </c>
      <c r="AZ355" t="inlineStr">
        <is>
          <t>BOOK</t>
        </is>
      </c>
      <c r="BB355" t="inlineStr">
        <is>
          <t>9780916154035</t>
        </is>
      </c>
      <c r="BC355" t="inlineStr">
        <is>
          <t>32285001287977</t>
        </is>
      </c>
      <c r="BD355" t="inlineStr">
        <is>
          <t>893431467</t>
        </is>
      </c>
    </row>
    <row r="356">
      <c r="A356" t="inlineStr">
        <is>
          <t>No</t>
        </is>
      </c>
      <c r="B356" t="inlineStr">
        <is>
          <t>RJ506.C65 P74 1992</t>
        </is>
      </c>
      <c r="C356" t="inlineStr">
        <is>
          <t>0                      RJ 0506000C  65                 P  74          1992</t>
        </is>
      </c>
      <c r="D356" t="inlineStr">
        <is>
          <t>Preventing antisocial behavior : interventions from birth through adolescence / Joan McCord, Richard E. Tremblay, editors.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Guilford Press, c1992.</t>
        </is>
      </c>
      <c r="M356" t="inlineStr">
        <is>
          <t>1992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RJ </t>
        </is>
      </c>
      <c r="S356" t="n">
        <v>13</v>
      </c>
      <c r="T356" t="n">
        <v>13</v>
      </c>
      <c r="U356" t="inlineStr">
        <is>
          <t>2010-01-07</t>
        </is>
      </c>
      <c r="V356" t="inlineStr">
        <is>
          <t>2010-01-07</t>
        </is>
      </c>
      <c r="W356" t="inlineStr">
        <is>
          <t>1993-09-14</t>
        </is>
      </c>
      <c r="X356" t="inlineStr">
        <is>
          <t>1993-09-14</t>
        </is>
      </c>
      <c r="Y356" t="n">
        <v>340</v>
      </c>
      <c r="Z356" t="n">
        <v>261</v>
      </c>
      <c r="AA356" t="n">
        <v>262</v>
      </c>
      <c r="AB356" t="n">
        <v>2</v>
      </c>
      <c r="AC356" t="n">
        <v>2</v>
      </c>
      <c r="AD356" t="n">
        <v>16</v>
      </c>
      <c r="AE356" t="n">
        <v>16</v>
      </c>
      <c r="AF356" t="n">
        <v>6</v>
      </c>
      <c r="AG356" t="n">
        <v>6</v>
      </c>
      <c r="AH356" t="n">
        <v>4</v>
      </c>
      <c r="AI356" t="n">
        <v>4</v>
      </c>
      <c r="AJ356" t="n">
        <v>9</v>
      </c>
      <c r="AK356" t="n">
        <v>9</v>
      </c>
      <c r="AL356" t="n">
        <v>1</v>
      </c>
      <c r="AM356" t="n">
        <v>1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HYPERLINK("https://creighton-primo.hosted.exlibrisgroup.com/primo-explore/search?tab=default_tab&amp;search_scope=EVERYTHING&amp;vid=01CRU&amp;lang=en_US&amp;offset=0&amp;query=any,contains,991001993219702656","Catalog Record")</f>
        <v/>
      </c>
      <c r="AT356">
        <f>HYPERLINK("http://www.worldcat.org/oclc/25316723","WorldCat Record")</f>
        <v/>
      </c>
      <c r="AU356" t="inlineStr">
        <is>
          <t>890727100:eng</t>
        </is>
      </c>
      <c r="AV356" t="inlineStr">
        <is>
          <t>25316723</t>
        </is>
      </c>
      <c r="AW356" t="inlineStr">
        <is>
          <t>991001993219702656</t>
        </is>
      </c>
      <c r="AX356" t="inlineStr">
        <is>
          <t>991001993219702656</t>
        </is>
      </c>
      <c r="AY356" t="inlineStr">
        <is>
          <t>2268126380002656</t>
        </is>
      </c>
      <c r="AZ356" t="inlineStr">
        <is>
          <t>BOOK</t>
        </is>
      </c>
      <c r="BB356" t="inlineStr">
        <is>
          <t>9780898628821</t>
        </is>
      </c>
      <c r="BC356" t="inlineStr">
        <is>
          <t>32285001766285</t>
        </is>
      </c>
      <c r="BD356" t="inlineStr">
        <is>
          <t>893328561</t>
        </is>
      </c>
    </row>
    <row r="357">
      <c r="A357" t="inlineStr">
        <is>
          <t>No</t>
        </is>
      </c>
      <c r="B357" t="inlineStr">
        <is>
          <t>RJ506.D4 A38 1983</t>
        </is>
      </c>
      <c r="C357" t="inlineStr">
        <is>
          <t>0                      RJ 0506000D  4                  A  38          1983</t>
        </is>
      </c>
      <c r="D357" t="inlineStr">
        <is>
          <t>Affective disorders in childhood and adolescence, an update / edited by Dennis P. Cantwell and Gabrielle A. Carlson.</t>
        </is>
      </c>
      <c r="F357" t="inlineStr">
        <is>
          <t>No</t>
        </is>
      </c>
      <c r="G357" t="inlineStr">
        <is>
          <t>1</t>
        </is>
      </c>
      <c r="H357" t="inlineStr">
        <is>
          <t>Yes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SP Medical &amp; Scientific Books, c1983.</t>
        </is>
      </c>
      <c r="M357" t="inlineStr">
        <is>
          <t>1983</t>
        </is>
      </c>
      <c r="O357" t="inlineStr">
        <is>
          <t>eng</t>
        </is>
      </c>
      <c r="P357" t="inlineStr">
        <is>
          <t>nyu</t>
        </is>
      </c>
      <c r="Q357" t="inlineStr">
        <is>
          <t>Series on child behavior and development</t>
        </is>
      </c>
      <c r="R357" t="inlineStr">
        <is>
          <t xml:space="preserve">RJ </t>
        </is>
      </c>
      <c r="S357" t="n">
        <v>24</v>
      </c>
      <c r="T357" t="n">
        <v>24</v>
      </c>
      <c r="U357" t="inlineStr">
        <is>
          <t>2004-05-14</t>
        </is>
      </c>
      <c r="V357" t="inlineStr">
        <is>
          <t>2004-05-14</t>
        </is>
      </c>
      <c r="W357" t="inlineStr">
        <is>
          <t>1992-03-17</t>
        </is>
      </c>
      <c r="X357" t="inlineStr">
        <is>
          <t>1992-03-17</t>
        </is>
      </c>
      <c r="Y357" t="n">
        <v>314</v>
      </c>
      <c r="Z357" t="n">
        <v>283</v>
      </c>
      <c r="AA357" t="n">
        <v>294</v>
      </c>
      <c r="AB357" t="n">
        <v>3</v>
      </c>
      <c r="AC357" t="n">
        <v>3</v>
      </c>
      <c r="AD357" t="n">
        <v>13</v>
      </c>
      <c r="AE357" t="n">
        <v>14</v>
      </c>
      <c r="AF357" t="n">
        <v>4</v>
      </c>
      <c r="AG357" t="n">
        <v>5</v>
      </c>
      <c r="AH357" t="n">
        <v>4</v>
      </c>
      <c r="AI357" t="n">
        <v>4</v>
      </c>
      <c r="AJ357" t="n">
        <v>8</v>
      </c>
      <c r="AK357" t="n">
        <v>9</v>
      </c>
      <c r="AL357" t="n">
        <v>1</v>
      </c>
      <c r="AM357" t="n">
        <v>1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HYPERLINK("http://catalog.hathitrust.org/Record/000773333","HathiTrust Record")</f>
        <v/>
      </c>
      <c r="AS357">
        <f>HYPERLINK("https://creighton-primo.hosted.exlibrisgroup.com/primo-explore/search?tab=default_tab&amp;search_scope=EVERYTHING&amp;vid=01CRU&amp;lang=en_US&amp;offset=0&amp;query=any,contains,991000251649702656","Catalog Record")</f>
        <v/>
      </c>
      <c r="AT357">
        <f>HYPERLINK("http://www.worldcat.org/oclc/9758511","WorldCat Record")</f>
        <v/>
      </c>
      <c r="AU357" t="inlineStr">
        <is>
          <t>836636788:eng</t>
        </is>
      </c>
      <c r="AV357" t="inlineStr">
        <is>
          <t>9758511</t>
        </is>
      </c>
      <c r="AW357" t="inlineStr">
        <is>
          <t>991000251649702656</t>
        </is>
      </c>
      <c r="AX357" t="inlineStr">
        <is>
          <t>991000251649702656</t>
        </is>
      </c>
      <c r="AY357" t="inlineStr">
        <is>
          <t>2257031580002656</t>
        </is>
      </c>
      <c r="AZ357" t="inlineStr">
        <is>
          <t>BOOK</t>
        </is>
      </c>
      <c r="BB357" t="inlineStr">
        <is>
          <t>9780893351892</t>
        </is>
      </c>
      <c r="BC357" t="inlineStr">
        <is>
          <t>32285001005569</t>
        </is>
      </c>
      <c r="BD357" t="inlineStr">
        <is>
          <t>893438129</t>
        </is>
      </c>
    </row>
    <row r="358">
      <c r="A358" t="inlineStr">
        <is>
          <t>No</t>
        </is>
      </c>
      <c r="B358" t="inlineStr">
        <is>
          <t>RJ506.D4 C47 1983</t>
        </is>
      </c>
      <c r="C358" t="inlineStr">
        <is>
          <t>0                      RJ 0506000D  4                  C  47          1983</t>
        </is>
      </c>
      <c r="D358" t="inlineStr">
        <is>
          <t>Childhood depression / Theodore A. Petti, editor.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Haworth Press, c1983.</t>
        </is>
      </c>
      <c r="M358" t="inlineStr">
        <is>
          <t>1983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RJ </t>
        </is>
      </c>
      <c r="S358" t="n">
        <v>27</v>
      </c>
      <c r="T358" t="n">
        <v>27</v>
      </c>
      <c r="U358" t="inlineStr">
        <is>
          <t>2002-10-14</t>
        </is>
      </c>
      <c r="V358" t="inlineStr">
        <is>
          <t>2002-10-14</t>
        </is>
      </c>
      <c r="W358" t="inlineStr">
        <is>
          <t>1992-03-20</t>
        </is>
      </c>
      <c r="X358" t="inlineStr">
        <is>
          <t>1992-03-20</t>
        </is>
      </c>
      <c r="Y358" t="n">
        <v>263</v>
      </c>
      <c r="Z358" t="n">
        <v>224</v>
      </c>
      <c r="AA358" t="n">
        <v>230</v>
      </c>
      <c r="AB358" t="n">
        <v>4</v>
      </c>
      <c r="AC358" t="n">
        <v>4</v>
      </c>
      <c r="AD358" t="n">
        <v>8</v>
      </c>
      <c r="AE358" t="n">
        <v>8</v>
      </c>
      <c r="AF358" t="n">
        <v>2</v>
      </c>
      <c r="AG358" t="n">
        <v>2</v>
      </c>
      <c r="AH358" t="n">
        <v>0</v>
      </c>
      <c r="AI358" t="n">
        <v>0</v>
      </c>
      <c r="AJ358" t="n">
        <v>3</v>
      </c>
      <c r="AK358" t="n">
        <v>3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HYPERLINK("https://creighton-primo.hosted.exlibrisgroup.com/primo-explore/search?tab=default_tab&amp;search_scope=EVERYTHING&amp;vid=01CRU&amp;lang=en_US&amp;offset=0&amp;query=any,contains,991000146239702656","Catalog Record")</f>
        <v/>
      </c>
      <c r="AT358">
        <f>HYPERLINK("http://www.worldcat.org/oclc/9195542","WorldCat Record")</f>
        <v/>
      </c>
      <c r="AU358" t="inlineStr">
        <is>
          <t>54552063:eng</t>
        </is>
      </c>
      <c r="AV358" t="inlineStr">
        <is>
          <t>9195542</t>
        </is>
      </c>
      <c r="AW358" t="inlineStr">
        <is>
          <t>991000146239702656</t>
        </is>
      </c>
      <c r="AX358" t="inlineStr">
        <is>
          <t>991000146239702656</t>
        </is>
      </c>
      <c r="AY358" t="inlineStr">
        <is>
          <t>2266452890002656</t>
        </is>
      </c>
      <c r="AZ358" t="inlineStr">
        <is>
          <t>BOOK</t>
        </is>
      </c>
      <c r="BB358" t="inlineStr">
        <is>
          <t>9780917724954</t>
        </is>
      </c>
      <c r="BC358" t="inlineStr">
        <is>
          <t>32285001025286</t>
        </is>
      </c>
      <c r="BD358" t="inlineStr">
        <is>
          <t>893695634</t>
        </is>
      </c>
    </row>
    <row r="359">
      <c r="A359" t="inlineStr">
        <is>
          <t>No</t>
        </is>
      </c>
      <c r="B359" t="inlineStr">
        <is>
          <t>RJ506.D4 C536 1984</t>
        </is>
      </c>
      <c r="C359" t="inlineStr">
        <is>
          <t>0                      RJ 0506000D  4                  C  536         1984</t>
        </is>
      </c>
      <c r="D359" t="inlineStr">
        <is>
          <t>Childhood depression / Dante Cicchetti, Karen Schneider-Rosen, editors.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San Francisco : Jossey-Bass, c1984.</t>
        </is>
      </c>
      <c r="M359" t="inlineStr">
        <is>
          <t>1984</t>
        </is>
      </c>
      <c r="O359" t="inlineStr">
        <is>
          <t>eng</t>
        </is>
      </c>
      <c r="P359" t="inlineStr">
        <is>
          <t>cau</t>
        </is>
      </c>
      <c r="Q359" t="inlineStr">
        <is>
          <t>New directions for child development, 0195-2269 ; no. 26 (December 1984)</t>
        </is>
      </c>
      <c r="R359" t="inlineStr">
        <is>
          <t xml:space="preserve">RJ </t>
        </is>
      </c>
      <c r="S359" t="n">
        <v>15</v>
      </c>
      <c r="T359" t="n">
        <v>15</v>
      </c>
      <c r="U359" t="inlineStr">
        <is>
          <t>2001-03-21</t>
        </is>
      </c>
      <c r="V359" t="inlineStr">
        <is>
          <t>2001-03-21</t>
        </is>
      </c>
      <c r="W359" t="inlineStr">
        <is>
          <t>1992-03-20</t>
        </is>
      </c>
      <c r="X359" t="inlineStr">
        <is>
          <t>1992-03-20</t>
        </is>
      </c>
      <c r="Y359" t="n">
        <v>318</v>
      </c>
      <c r="Z359" t="n">
        <v>263</v>
      </c>
      <c r="AA359" t="n">
        <v>267</v>
      </c>
      <c r="AB359" t="n">
        <v>3</v>
      </c>
      <c r="AC359" t="n">
        <v>3</v>
      </c>
      <c r="AD359" t="n">
        <v>13</v>
      </c>
      <c r="AE359" t="n">
        <v>13</v>
      </c>
      <c r="AF359" t="n">
        <v>4</v>
      </c>
      <c r="AG359" t="n">
        <v>4</v>
      </c>
      <c r="AH359" t="n">
        <v>3</v>
      </c>
      <c r="AI359" t="n">
        <v>3</v>
      </c>
      <c r="AJ359" t="n">
        <v>6</v>
      </c>
      <c r="AK359" t="n">
        <v>6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HYPERLINK("https://creighton-primo.hosted.exlibrisgroup.com/primo-explore/search?tab=default_tab&amp;search_scope=EVERYTHING&amp;vid=01CRU&amp;lang=en_US&amp;offset=0&amp;query=any,contains,991000577129702656","Catalog Record")</f>
        <v/>
      </c>
      <c r="AT359">
        <f>HYPERLINK("http://www.worldcat.org/oclc/13524466","WorldCat Record")</f>
        <v/>
      </c>
      <c r="AU359" t="inlineStr">
        <is>
          <t>355911452:eng</t>
        </is>
      </c>
      <c r="AV359" t="inlineStr">
        <is>
          <t>13524466</t>
        </is>
      </c>
      <c r="AW359" t="inlineStr">
        <is>
          <t>991000577129702656</t>
        </is>
      </c>
      <c r="AX359" t="inlineStr">
        <is>
          <t>991000577129702656</t>
        </is>
      </c>
      <c r="AY359" t="inlineStr">
        <is>
          <t>2263109400002656</t>
        </is>
      </c>
      <c r="AZ359" t="inlineStr">
        <is>
          <t>BOOK</t>
        </is>
      </c>
      <c r="BB359" t="inlineStr">
        <is>
          <t>9780875899862</t>
        </is>
      </c>
      <c r="BC359" t="inlineStr">
        <is>
          <t>32285001025278</t>
        </is>
      </c>
      <c r="BD359" t="inlineStr">
        <is>
          <t>893339677</t>
        </is>
      </c>
    </row>
    <row r="360">
      <c r="A360" t="inlineStr">
        <is>
          <t>No</t>
        </is>
      </c>
      <c r="B360" t="inlineStr">
        <is>
          <t>RJ506.D4 C66 1975</t>
        </is>
      </c>
      <c r="C360" t="inlineStr">
        <is>
          <t>0                      RJ 0506000D  4                  C  66          1975</t>
        </is>
      </c>
      <c r="D360" t="inlineStr">
        <is>
          <t>Depression in childhood : diagnosis, treatment, and conceptual models / edited by Joy G. Schulterbrandt and Allen Raskin.</t>
        </is>
      </c>
      <c r="F360" t="inlineStr">
        <is>
          <t>No</t>
        </is>
      </c>
      <c r="G360" t="inlineStr">
        <is>
          <t>1</t>
        </is>
      </c>
      <c r="H360" t="inlineStr">
        <is>
          <t>Yes</t>
        </is>
      </c>
      <c r="I360" t="inlineStr">
        <is>
          <t>No</t>
        </is>
      </c>
      <c r="J360" t="inlineStr">
        <is>
          <t>0</t>
        </is>
      </c>
      <c r="K360" t="inlineStr">
        <is>
          <t>Conference on Depression in Childhood (1975 : Washington, D.C.)</t>
        </is>
      </c>
      <c r="L360" t="inlineStr">
        <is>
          <t>New York : Raven Press, 1977.</t>
        </is>
      </c>
      <c r="M360" t="inlineStr">
        <is>
          <t>1977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RJ </t>
        </is>
      </c>
      <c r="S360" t="n">
        <v>26</v>
      </c>
      <c r="T360" t="n">
        <v>33</v>
      </c>
      <c r="U360" t="inlineStr">
        <is>
          <t>2001-03-21</t>
        </is>
      </c>
      <c r="V360" t="inlineStr">
        <is>
          <t>2001-03-21</t>
        </is>
      </c>
      <c r="W360" t="inlineStr">
        <is>
          <t>1992-03-20</t>
        </is>
      </c>
      <c r="X360" t="inlineStr">
        <is>
          <t>1992-03-20</t>
        </is>
      </c>
      <c r="Y360" t="n">
        <v>429</v>
      </c>
      <c r="Z360" t="n">
        <v>340</v>
      </c>
      <c r="AA360" t="n">
        <v>443</v>
      </c>
      <c r="AB360" t="n">
        <v>6</v>
      </c>
      <c r="AC360" t="n">
        <v>6</v>
      </c>
      <c r="AD360" t="n">
        <v>20</v>
      </c>
      <c r="AE360" t="n">
        <v>21</v>
      </c>
      <c r="AF360" t="n">
        <v>6</v>
      </c>
      <c r="AG360" t="n">
        <v>6</v>
      </c>
      <c r="AH360" t="n">
        <v>5</v>
      </c>
      <c r="AI360" t="n">
        <v>5</v>
      </c>
      <c r="AJ360" t="n">
        <v>11</v>
      </c>
      <c r="AK360" t="n">
        <v>12</v>
      </c>
      <c r="AL360" t="n">
        <v>4</v>
      </c>
      <c r="AM360" t="n">
        <v>4</v>
      </c>
      <c r="AN360" t="n">
        <v>0</v>
      </c>
      <c r="AO360" t="n">
        <v>0</v>
      </c>
      <c r="AP360" t="inlineStr">
        <is>
          <t>Yes</t>
        </is>
      </c>
      <c r="AQ360" t="inlineStr">
        <is>
          <t>No</t>
        </is>
      </c>
      <c r="AR360">
        <f>HYPERLINK("http://catalog.hathitrust.org/Record/100716786","HathiTrust Record")</f>
        <v/>
      </c>
      <c r="AS360">
        <f>HYPERLINK("https://creighton-primo.hosted.exlibrisgroup.com/primo-explore/search?tab=default_tab&amp;search_scope=EVERYTHING&amp;vid=01CRU&amp;lang=en_US&amp;offset=0&amp;query=any,contains,991001781729702656","Catalog Record")</f>
        <v/>
      </c>
      <c r="AT360">
        <f>HYPERLINK("http://www.worldcat.org/oclc/3003304","WorldCat Record")</f>
        <v/>
      </c>
      <c r="AU360" t="inlineStr">
        <is>
          <t>890490674:eng</t>
        </is>
      </c>
      <c r="AV360" t="inlineStr">
        <is>
          <t>3003304</t>
        </is>
      </c>
      <c r="AW360" t="inlineStr">
        <is>
          <t>991001781729702656</t>
        </is>
      </c>
      <c r="AX360" t="inlineStr">
        <is>
          <t>991001781729702656</t>
        </is>
      </c>
      <c r="AY360" t="inlineStr">
        <is>
          <t>2270929390002656</t>
        </is>
      </c>
      <c r="AZ360" t="inlineStr">
        <is>
          <t>BOOK</t>
        </is>
      </c>
      <c r="BB360" t="inlineStr">
        <is>
          <t>9780890041475</t>
        </is>
      </c>
      <c r="BC360" t="inlineStr">
        <is>
          <t>32285001025260</t>
        </is>
      </c>
      <c r="BD360" t="inlineStr">
        <is>
          <t>893803891</t>
        </is>
      </c>
    </row>
    <row r="361">
      <c r="A361" t="inlineStr">
        <is>
          <t>No</t>
        </is>
      </c>
      <c r="B361" t="inlineStr">
        <is>
          <t>RJ506.D4 D46</t>
        </is>
      </c>
      <c r="C361" t="inlineStr">
        <is>
          <t>0                      RJ 0506000D  4                  D  46</t>
        </is>
      </c>
      <c r="D361" t="inlineStr">
        <is>
          <t>Depression in children and adolescents / edited by Alfred P. French, Irving N. Berlin.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New York : Human Sciences Press, 1979.</t>
        </is>
      </c>
      <c r="M361" t="inlineStr">
        <is>
          <t>1979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RJ </t>
        </is>
      </c>
      <c r="S361" t="n">
        <v>23</v>
      </c>
      <c r="T361" t="n">
        <v>23</v>
      </c>
      <c r="U361" t="inlineStr">
        <is>
          <t>2010-10-06</t>
        </is>
      </c>
      <c r="V361" t="inlineStr">
        <is>
          <t>2010-10-06</t>
        </is>
      </c>
      <c r="W361" t="inlineStr">
        <is>
          <t>1992-03-12</t>
        </is>
      </c>
      <c r="X361" t="inlineStr">
        <is>
          <t>1992-03-12</t>
        </is>
      </c>
      <c r="Y361" t="n">
        <v>477</v>
      </c>
      <c r="Z361" t="n">
        <v>398</v>
      </c>
      <c r="AA361" t="n">
        <v>405</v>
      </c>
      <c r="AB361" t="n">
        <v>4</v>
      </c>
      <c r="AC361" t="n">
        <v>4</v>
      </c>
      <c r="AD361" t="n">
        <v>15</v>
      </c>
      <c r="AE361" t="n">
        <v>15</v>
      </c>
      <c r="AF361" t="n">
        <v>4</v>
      </c>
      <c r="AG361" t="n">
        <v>4</v>
      </c>
      <c r="AH361" t="n">
        <v>3</v>
      </c>
      <c r="AI361" t="n">
        <v>3</v>
      </c>
      <c r="AJ361" t="n">
        <v>9</v>
      </c>
      <c r="AK361" t="n">
        <v>9</v>
      </c>
      <c r="AL361" t="n">
        <v>2</v>
      </c>
      <c r="AM361" t="n">
        <v>2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HYPERLINK("http://catalog.hathitrust.org/Record/000688827","HathiTrust Record")</f>
        <v/>
      </c>
      <c r="AS361">
        <f>HYPERLINK("https://creighton-primo.hosted.exlibrisgroup.com/primo-explore/search?tab=default_tab&amp;search_scope=EVERYTHING&amp;vid=01CRU&amp;lang=en_US&amp;offset=0&amp;query=any,contains,991005257639702656","Catalog Record")</f>
        <v/>
      </c>
      <c r="AT361">
        <f>HYPERLINK("http://www.worldcat.org/oclc/4983440","WorldCat Record")</f>
        <v/>
      </c>
      <c r="AU361" t="inlineStr">
        <is>
          <t>375321567:eng</t>
        </is>
      </c>
      <c r="AV361" t="inlineStr">
        <is>
          <t>4983440</t>
        </is>
      </c>
      <c r="AW361" t="inlineStr">
        <is>
          <t>991005257639702656</t>
        </is>
      </c>
      <c r="AX361" t="inlineStr">
        <is>
          <t>991005257639702656</t>
        </is>
      </c>
      <c r="AY361" t="inlineStr">
        <is>
          <t>2265955840002656</t>
        </is>
      </c>
      <c r="AZ361" t="inlineStr">
        <is>
          <t>BOOK</t>
        </is>
      </c>
      <c r="BB361" t="inlineStr">
        <is>
          <t>9780877053903</t>
        </is>
      </c>
      <c r="BC361" t="inlineStr">
        <is>
          <t>32285000998871</t>
        </is>
      </c>
      <c r="BD361" t="inlineStr">
        <is>
          <t>893424808</t>
        </is>
      </c>
    </row>
    <row r="362">
      <c r="A362" t="inlineStr">
        <is>
          <t>No</t>
        </is>
      </c>
      <c r="B362" t="inlineStr">
        <is>
          <t>RJ506.D4 D48 1986</t>
        </is>
      </c>
      <c r="C362" t="inlineStr">
        <is>
          <t>0                      RJ 0506000D  4                  D  48          1986</t>
        </is>
      </c>
      <c r="D362" t="inlineStr">
        <is>
          <t>Depression in young people : developmental and clinical perspectives / edited by Michael Rutter, Carroll E. Izard, Peter B. Read.</t>
        </is>
      </c>
      <c r="F362" t="inlineStr">
        <is>
          <t>No</t>
        </is>
      </c>
      <c r="G362" t="inlineStr">
        <is>
          <t>1</t>
        </is>
      </c>
      <c r="H362" t="inlineStr">
        <is>
          <t>Yes</t>
        </is>
      </c>
      <c r="I362" t="inlineStr">
        <is>
          <t>No</t>
        </is>
      </c>
      <c r="J362" t="inlineStr">
        <is>
          <t>0</t>
        </is>
      </c>
      <c r="L362" t="inlineStr">
        <is>
          <t>New York : Guilford Press, c1986.</t>
        </is>
      </c>
      <c r="M362" t="inlineStr">
        <is>
          <t>1985</t>
        </is>
      </c>
      <c r="O362" t="inlineStr">
        <is>
          <t>eng</t>
        </is>
      </c>
      <c r="P362" t="inlineStr">
        <is>
          <t>nyu</t>
        </is>
      </c>
      <c r="R362" t="inlineStr">
        <is>
          <t xml:space="preserve">RJ </t>
        </is>
      </c>
      <c r="S362" t="n">
        <v>26</v>
      </c>
      <c r="T362" t="n">
        <v>26</v>
      </c>
      <c r="U362" t="inlineStr">
        <is>
          <t>2007-04-11</t>
        </is>
      </c>
      <c r="V362" t="inlineStr">
        <is>
          <t>2007-04-11</t>
        </is>
      </c>
      <c r="W362" t="inlineStr">
        <is>
          <t>1992-02-20</t>
        </is>
      </c>
      <c r="X362" t="inlineStr">
        <is>
          <t>1992-02-20</t>
        </is>
      </c>
      <c r="Y362" t="n">
        <v>614</v>
      </c>
      <c r="Z362" t="n">
        <v>499</v>
      </c>
      <c r="AA362" t="n">
        <v>503</v>
      </c>
      <c r="AB362" t="n">
        <v>4</v>
      </c>
      <c r="AC362" t="n">
        <v>4</v>
      </c>
      <c r="AD362" t="n">
        <v>18</v>
      </c>
      <c r="AE362" t="n">
        <v>18</v>
      </c>
      <c r="AF362" t="n">
        <v>6</v>
      </c>
      <c r="AG362" t="n">
        <v>6</v>
      </c>
      <c r="AH362" t="n">
        <v>5</v>
      </c>
      <c r="AI362" t="n">
        <v>5</v>
      </c>
      <c r="AJ362" t="n">
        <v>10</v>
      </c>
      <c r="AK362" t="n">
        <v>10</v>
      </c>
      <c r="AL362" t="n">
        <v>2</v>
      </c>
      <c r="AM362" t="n">
        <v>2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HYPERLINK("https://creighton-primo.hosted.exlibrisgroup.com/primo-explore/search?tab=default_tab&amp;search_scope=EVERYTHING&amp;vid=01CRU&amp;lang=en_US&amp;offset=0&amp;query=any,contains,991000588019702656","Catalog Record")</f>
        <v/>
      </c>
      <c r="AT362">
        <f>HYPERLINK("http://www.worldcat.org/oclc/11782868","WorldCat Record")</f>
        <v/>
      </c>
      <c r="AU362" t="inlineStr">
        <is>
          <t>865283318:eng</t>
        </is>
      </c>
      <c r="AV362" t="inlineStr">
        <is>
          <t>11782868</t>
        </is>
      </c>
      <c r="AW362" t="inlineStr">
        <is>
          <t>991000588019702656</t>
        </is>
      </c>
      <c r="AX362" t="inlineStr">
        <is>
          <t>991000588019702656</t>
        </is>
      </c>
      <c r="AY362" t="inlineStr">
        <is>
          <t>2255052640002656</t>
        </is>
      </c>
      <c r="AZ362" t="inlineStr">
        <is>
          <t>BOOK</t>
        </is>
      </c>
      <c r="BB362" t="inlineStr">
        <is>
          <t>9780898626605</t>
        </is>
      </c>
      <c r="BC362" t="inlineStr">
        <is>
          <t>32285000948371</t>
        </is>
      </c>
      <c r="BD362" t="inlineStr">
        <is>
          <t>893333606</t>
        </is>
      </c>
    </row>
    <row r="363">
      <c r="A363" t="inlineStr">
        <is>
          <t>No</t>
        </is>
      </c>
      <c r="B363" t="inlineStr">
        <is>
          <t>RJ506.D4 I54 1995</t>
        </is>
      </c>
      <c r="C363" t="inlineStr">
        <is>
          <t>0                      RJ 0506000D  4                  I  54          1995</t>
        </is>
      </c>
      <c r="D363" t="inlineStr">
        <is>
          <t>Lonely, sad, and angry : a parent's guide to depression in children and adolescents / Barbara D. Ingersoll and Sam Goldstein.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Ingersoll, Barbara D., 1945-</t>
        </is>
      </c>
      <c r="L363" t="inlineStr">
        <is>
          <t>New York : Doubleday, 1995.</t>
        </is>
      </c>
      <c r="M363" t="inlineStr">
        <is>
          <t>1995</t>
        </is>
      </c>
      <c r="N363" t="inlineStr">
        <is>
          <t>1st ed.</t>
        </is>
      </c>
      <c r="O363" t="inlineStr">
        <is>
          <t>eng</t>
        </is>
      </c>
      <c r="P363" t="inlineStr">
        <is>
          <t>nyu</t>
        </is>
      </c>
      <c r="R363" t="inlineStr">
        <is>
          <t xml:space="preserve">RJ </t>
        </is>
      </c>
      <c r="S363" t="n">
        <v>6</v>
      </c>
      <c r="T363" t="n">
        <v>6</v>
      </c>
      <c r="U363" t="inlineStr">
        <is>
          <t>2007-04-11</t>
        </is>
      </c>
      <c r="V363" t="inlineStr">
        <is>
          <t>2007-04-11</t>
        </is>
      </c>
      <c r="W363" t="inlineStr">
        <is>
          <t>1996-08-15</t>
        </is>
      </c>
      <c r="X363" t="inlineStr">
        <is>
          <t>1996-08-15</t>
        </is>
      </c>
      <c r="Y363" t="n">
        <v>620</v>
      </c>
      <c r="Z363" t="n">
        <v>575</v>
      </c>
      <c r="AA363" t="n">
        <v>671</v>
      </c>
      <c r="AB363" t="n">
        <v>6</v>
      </c>
      <c r="AC363" t="n">
        <v>6</v>
      </c>
      <c r="AD363" t="n">
        <v>5</v>
      </c>
      <c r="AE363" t="n">
        <v>6</v>
      </c>
      <c r="AF363" t="n">
        <v>1</v>
      </c>
      <c r="AG363" t="n">
        <v>2</v>
      </c>
      <c r="AH363" t="n">
        <v>0</v>
      </c>
      <c r="AI363" t="n">
        <v>0</v>
      </c>
      <c r="AJ363" t="n">
        <v>1</v>
      </c>
      <c r="AK363" t="n">
        <v>1</v>
      </c>
      <c r="AL363" t="n">
        <v>3</v>
      </c>
      <c r="AM363" t="n">
        <v>3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HYPERLINK("https://creighton-primo.hosted.exlibrisgroup.com/primo-explore/search?tab=default_tab&amp;search_scope=EVERYTHING&amp;vid=01CRU&amp;lang=en_US&amp;offset=0&amp;query=any,contains,991002429029702656","Catalog Record")</f>
        <v/>
      </c>
      <c r="AT363">
        <f>HYPERLINK("http://www.worldcat.org/oclc/31658734","WorldCat Record")</f>
        <v/>
      </c>
      <c r="AU363" t="inlineStr">
        <is>
          <t>863860376:eng</t>
        </is>
      </c>
      <c r="AV363" t="inlineStr">
        <is>
          <t>31658734</t>
        </is>
      </c>
      <c r="AW363" t="inlineStr">
        <is>
          <t>991002429029702656</t>
        </is>
      </c>
      <c r="AX363" t="inlineStr">
        <is>
          <t>991002429029702656</t>
        </is>
      </c>
      <c r="AY363" t="inlineStr">
        <is>
          <t>2267688300002656</t>
        </is>
      </c>
      <c r="AZ363" t="inlineStr">
        <is>
          <t>BOOK</t>
        </is>
      </c>
      <c r="BB363" t="inlineStr">
        <is>
          <t>9780385476416</t>
        </is>
      </c>
      <c r="BC363" t="inlineStr">
        <is>
          <t>32285002290251</t>
        </is>
      </c>
      <c r="BD363" t="inlineStr">
        <is>
          <t>893804603</t>
        </is>
      </c>
    </row>
    <row r="364">
      <c r="A364" t="inlineStr">
        <is>
          <t>No</t>
        </is>
      </c>
      <c r="B364" t="inlineStr">
        <is>
          <t>RJ506.D4 M34 1983</t>
        </is>
      </c>
      <c r="C364" t="inlineStr">
        <is>
          <t>0                      RJ 0506000D  4                  M  34          1983</t>
        </is>
      </c>
      <c r="D364" t="inlineStr">
        <is>
          <t>Why isn't Johnny crying : coping with depression in children / Donald H. McKnew, Leon Cytryn, Herbert Yahraes ; with a foreword by Reginald S. Lourie.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McKnew, Donald H.</t>
        </is>
      </c>
      <c r="L364" t="inlineStr">
        <is>
          <t>New York : W.W. Norton, c1983.</t>
        </is>
      </c>
      <c r="M364" t="inlineStr">
        <is>
          <t>1983</t>
        </is>
      </c>
      <c r="N364" t="inlineStr">
        <is>
          <t>1st ed.</t>
        </is>
      </c>
      <c r="O364" t="inlineStr">
        <is>
          <t>eng</t>
        </is>
      </c>
      <c r="P364" t="inlineStr">
        <is>
          <t>nyu</t>
        </is>
      </c>
      <c r="R364" t="inlineStr">
        <is>
          <t xml:space="preserve">RJ </t>
        </is>
      </c>
      <c r="S364" t="n">
        <v>18</v>
      </c>
      <c r="T364" t="n">
        <v>18</v>
      </c>
      <c r="U364" t="inlineStr">
        <is>
          <t>2005-09-26</t>
        </is>
      </c>
      <c r="V364" t="inlineStr">
        <is>
          <t>2005-09-26</t>
        </is>
      </c>
      <c r="W364" t="inlineStr">
        <is>
          <t>1992-03-17</t>
        </is>
      </c>
      <c r="X364" t="inlineStr">
        <is>
          <t>1992-03-17</t>
        </is>
      </c>
      <c r="Y364" t="n">
        <v>876</v>
      </c>
      <c r="Z364" t="n">
        <v>794</v>
      </c>
      <c r="AA364" t="n">
        <v>811</v>
      </c>
      <c r="AB364" t="n">
        <v>4</v>
      </c>
      <c r="AC364" t="n">
        <v>4</v>
      </c>
      <c r="AD364" t="n">
        <v>24</v>
      </c>
      <c r="AE364" t="n">
        <v>24</v>
      </c>
      <c r="AF364" t="n">
        <v>10</v>
      </c>
      <c r="AG364" t="n">
        <v>10</v>
      </c>
      <c r="AH364" t="n">
        <v>5</v>
      </c>
      <c r="AI364" t="n">
        <v>5</v>
      </c>
      <c r="AJ364" t="n">
        <v>13</v>
      </c>
      <c r="AK364" t="n">
        <v>13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HYPERLINK("https://creighton-primo.hosted.exlibrisgroup.com/primo-explore/search?tab=default_tab&amp;search_scope=EVERYTHING&amp;vid=01CRU&amp;lang=en_US&amp;offset=0&amp;query=any,contains,991000126189702656","Catalog Record")</f>
        <v/>
      </c>
      <c r="AT364">
        <f>HYPERLINK("http://www.worldcat.org/oclc/9044250","WorldCat Record")</f>
        <v/>
      </c>
      <c r="AU364" t="inlineStr">
        <is>
          <t>836708098:eng</t>
        </is>
      </c>
      <c r="AV364" t="inlineStr">
        <is>
          <t>9044250</t>
        </is>
      </c>
      <c r="AW364" t="inlineStr">
        <is>
          <t>991000126189702656</t>
        </is>
      </c>
      <c r="AX364" t="inlineStr">
        <is>
          <t>991000126189702656</t>
        </is>
      </c>
      <c r="AY364" t="inlineStr">
        <is>
          <t>2254848090002656</t>
        </is>
      </c>
      <c r="AZ364" t="inlineStr">
        <is>
          <t>BOOK</t>
        </is>
      </c>
      <c r="BB364" t="inlineStr">
        <is>
          <t>9780393017243</t>
        </is>
      </c>
      <c r="BC364" t="inlineStr">
        <is>
          <t>32285001021988</t>
        </is>
      </c>
      <c r="BD364" t="inlineStr">
        <is>
          <t>893413102</t>
        </is>
      </c>
    </row>
    <row r="365">
      <c r="A365" t="inlineStr">
        <is>
          <t>No</t>
        </is>
      </c>
      <c r="B365" t="inlineStr">
        <is>
          <t>RJ506.D4 T72 1987</t>
        </is>
      </c>
      <c r="C365" t="inlineStr">
        <is>
          <t>0                      RJ 0506000D  4                  T  72          1987</t>
        </is>
      </c>
      <c r="D365" t="inlineStr">
        <is>
          <t>Infant and childhood depression : developmental factors / Paul V. Trad.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Trad, Paul V.</t>
        </is>
      </c>
      <c r="L365" t="inlineStr">
        <is>
          <t>New York : Wiley, c1987.</t>
        </is>
      </c>
      <c r="M365" t="inlineStr">
        <is>
          <t>1987</t>
        </is>
      </c>
      <c r="O365" t="inlineStr">
        <is>
          <t>eng</t>
        </is>
      </c>
      <c r="P365" t="inlineStr">
        <is>
          <t>nyu</t>
        </is>
      </c>
      <c r="Q365" t="inlineStr">
        <is>
          <t>Wiley series in child and adolescent mental health</t>
        </is>
      </c>
      <c r="R365" t="inlineStr">
        <is>
          <t xml:space="preserve">RJ </t>
        </is>
      </c>
      <c r="S365" t="n">
        <v>32</v>
      </c>
      <c r="T365" t="n">
        <v>32</v>
      </c>
      <c r="U365" t="inlineStr">
        <is>
          <t>2007-04-11</t>
        </is>
      </c>
      <c r="V365" t="inlineStr">
        <is>
          <t>2007-04-11</t>
        </is>
      </c>
      <c r="W365" t="inlineStr">
        <is>
          <t>1990-04-20</t>
        </is>
      </c>
      <c r="X365" t="inlineStr">
        <is>
          <t>1990-04-20</t>
        </is>
      </c>
      <c r="Y365" t="n">
        <v>445</v>
      </c>
      <c r="Z365" t="n">
        <v>366</v>
      </c>
      <c r="AA365" t="n">
        <v>374</v>
      </c>
      <c r="AB365" t="n">
        <v>2</v>
      </c>
      <c r="AC365" t="n">
        <v>2</v>
      </c>
      <c r="AD365" t="n">
        <v>20</v>
      </c>
      <c r="AE365" t="n">
        <v>20</v>
      </c>
      <c r="AF365" t="n">
        <v>7</v>
      </c>
      <c r="AG365" t="n">
        <v>7</v>
      </c>
      <c r="AH365" t="n">
        <v>6</v>
      </c>
      <c r="AI365" t="n">
        <v>6</v>
      </c>
      <c r="AJ365" t="n">
        <v>11</v>
      </c>
      <c r="AK365" t="n">
        <v>11</v>
      </c>
      <c r="AL365" t="n">
        <v>1</v>
      </c>
      <c r="AM365" t="n">
        <v>1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HYPERLINK("http://catalog.hathitrust.org/Record/000809195","HathiTrust Record")</f>
        <v/>
      </c>
      <c r="AS365">
        <f>HYPERLINK("https://creighton-primo.hosted.exlibrisgroup.com/primo-explore/search?tab=default_tab&amp;search_scope=EVERYTHING&amp;vid=01CRU&amp;lang=en_US&amp;offset=0&amp;query=any,contains,991000955849702656","Catalog Record")</f>
        <v/>
      </c>
      <c r="AT365">
        <f>HYPERLINK("http://www.worldcat.org/oclc/14717933","WorldCat Record")</f>
        <v/>
      </c>
      <c r="AU365" t="inlineStr">
        <is>
          <t>374128508:eng</t>
        </is>
      </c>
      <c r="AV365" t="inlineStr">
        <is>
          <t>14717933</t>
        </is>
      </c>
      <c r="AW365" t="inlineStr">
        <is>
          <t>991000955849702656</t>
        </is>
      </c>
      <c r="AX365" t="inlineStr">
        <is>
          <t>991000955849702656</t>
        </is>
      </c>
      <c r="AY365" t="inlineStr">
        <is>
          <t>2257099890002656</t>
        </is>
      </c>
      <c r="AZ365" t="inlineStr">
        <is>
          <t>BOOK</t>
        </is>
      </c>
      <c r="BC365" t="inlineStr">
        <is>
          <t>32285000123868</t>
        </is>
      </c>
      <c r="BD365" t="inlineStr">
        <is>
          <t>893596065</t>
        </is>
      </c>
    </row>
    <row r="366">
      <c r="A366" t="inlineStr">
        <is>
          <t>No</t>
        </is>
      </c>
      <c r="B366" t="inlineStr">
        <is>
          <t>RJ506.D47 R44 1989</t>
        </is>
      </c>
      <c r="C366" t="inlineStr">
        <is>
          <t>0                      RJ 0506000D  47                 R  44          1989</t>
        </is>
      </c>
      <c r="D366" t="inlineStr">
        <is>
          <t>Relationship disturbances in early childhood : a development approach / edited by Arnold J. Sameroff and Robert N. Emde ; in association with T.F. Anders ... [et al.]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New York : Basic Books, c1989.</t>
        </is>
      </c>
      <c r="M366" t="inlineStr">
        <is>
          <t>1989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RJ </t>
        </is>
      </c>
      <c r="S366" t="n">
        <v>4</v>
      </c>
      <c r="T366" t="n">
        <v>4</v>
      </c>
      <c r="U366" t="inlineStr">
        <is>
          <t>1996-04-10</t>
        </is>
      </c>
      <c r="V366" t="inlineStr">
        <is>
          <t>1996-04-10</t>
        </is>
      </c>
      <c r="W366" t="inlineStr">
        <is>
          <t>1989-11-16</t>
        </is>
      </c>
      <c r="X366" t="inlineStr">
        <is>
          <t>1989-11-16</t>
        </is>
      </c>
      <c r="Y366" t="n">
        <v>405</v>
      </c>
      <c r="Z366" t="n">
        <v>315</v>
      </c>
      <c r="AA366" t="n">
        <v>327</v>
      </c>
      <c r="AB366" t="n">
        <v>3</v>
      </c>
      <c r="AC366" t="n">
        <v>3</v>
      </c>
      <c r="AD366" t="n">
        <v>15</v>
      </c>
      <c r="AE366" t="n">
        <v>15</v>
      </c>
      <c r="AF366" t="n">
        <v>4</v>
      </c>
      <c r="AG366" t="n">
        <v>4</v>
      </c>
      <c r="AH366" t="n">
        <v>4</v>
      </c>
      <c r="AI366" t="n">
        <v>4</v>
      </c>
      <c r="AJ366" t="n">
        <v>9</v>
      </c>
      <c r="AK366" t="n">
        <v>9</v>
      </c>
      <c r="AL366" t="n">
        <v>2</v>
      </c>
      <c r="AM366" t="n">
        <v>2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HYPERLINK("http://catalog.hathitrust.org/Record/001533257","HathiTrust Record")</f>
        <v/>
      </c>
      <c r="AS366">
        <f>HYPERLINK("https://creighton-primo.hosted.exlibrisgroup.com/primo-explore/search?tab=default_tab&amp;search_scope=EVERYTHING&amp;vid=01CRU&amp;lang=en_US&amp;offset=0&amp;query=any,contains,991001445099702656","Catalog Record")</f>
        <v/>
      </c>
      <c r="AT366">
        <f>HYPERLINK("http://www.worldcat.org/oclc/19268734","WorldCat Record")</f>
        <v/>
      </c>
      <c r="AU366" t="inlineStr">
        <is>
          <t>890072183:eng</t>
        </is>
      </c>
      <c r="AV366" t="inlineStr">
        <is>
          <t>19268734</t>
        </is>
      </c>
      <c r="AW366" t="inlineStr">
        <is>
          <t>991001445099702656</t>
        </is>
      </c>
      <c r="AX366" t="inlineStr">
        <is>
          <t>991001445099702656</t>
        </is>
      </c>
      <c r="AY366" t="inlineStr">
        <is>
          <t>2268058960002656</t>
        </is>
      </c>
      <c r="AZ366" t="inlineStr">
        <is>
          <t>BOOK</t>
        </is>
      </c>
      <c r="BB366" t="inlineStr">
        <is>
          <t>9780465068975</t>
        </is>
      </c>
      <c r="BC366" t="inlineStr">
        <is>
          <t>32285000013630</t>
        </is>
      </c>
      <c r="BD366" t="inlineStr">
        <is>
          <t>893690637</t>
        </is>
      </c>
    </row>
    <row r="367">
      <c r="A367" t="inlineStr">
        <is>
          <t>No</t>
        </is>
      </c>
      <c r="B367" t="inlineStr">
        <is>
          <t>RJ506.D55 P87 1997</t>
        </is>
      </c>
      <c r="C367" t="inlineStr">
        <is>
          <t>0                      RJ 0506000D  55                 P  87          1997</t>
        </is>
      </c>
      <c r="D367" t="inlineStr">
        <is>
          <t>Dissociation in children and adolescents : a developmental perspective / Frank W. Putnam.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Putnam, Frank W., 1947-</t>
        </is>
      </c>
      <c r="L367" t="inlineStr">
        <is>
          <t>New York : Guilford Press, c1997.</t>
        </is>
      </c>
      <c r="M367" t="inlineStr">
        <is>
          <t>1997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RJ </t>
        </is>
      </c>
      <c r="S367" t="n">
        <v>7</v>
      </c>
      <c r="T367" t="n">
        <v>7</v>
      </c>
      <c r="U367" t="inlineStr">
        <is>
          <t>2009-03-06</t>
        </is>
      </c>
      <c r="V367" t="inlineStr">
        <is>
          <t>2009-03-06</t>
        </is>
      </c>
      <c r="W367" t="inlineStr">
        <is>
          <t>1998-12-16</t>
        </is>
      </c>
      <c r="X367" t="inlineStr">
        <is>
          <t>1998-12-16</t>
        </is>
      </c>
      <c r="Y367" t="n">
        <v>492</v>
      </c>
      <c r="Z367" t="n">
        <v>419</v>
      </c>
      <c r="AA367" t="n">
        <v>420</v>
      </c>
      <c r="AB367" t="n">
        <v>1</v>
      </c>
      <c r="AC367" t="n">
        <v>1</v>
      </c>
      <c r="AD367" t="n">
        <v>22</v>
      </c>
      <c r="AE367" t="n">
        <v>22</v>
      </c>
      <c r="AF367" t="n">
        <v>8</v>
      </c>
      <c r="AG367" t="n">
        <v>8</v>
      </c>
      <c r="AH367" t="n">
        <v>4</v>
      </c>
      <c r="AI367" t="n">
        <v>4</v>
      </c>
      <c r="AJ367" t="n">
        <v>14</v>
      </c>
      <c r="AK367" t="n">
        <v>14</v>
      </c>
      <c r="AL367" t="n">
        <v>0</v>
      </c>
      <c r="AM367" t="n">
        <v>0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HYPERLINK("https://creighton-primo.hosted.exlibrisgroup.com/primo-explore/search?tab=default_tab&amp;search_scope=EVERYTHING&amp;vid=01CRU&amp;lang=en_US&amp;offset=0&amp;query=any,contains,991002808249702656","Catalog Record")</f>
        <v/>
      </c>
      <c r="AT367">
        <f>HYPERLINK("http://www.worldcat.org/oclc/36892867","WorldCat Record")</f>
        <v/>
      </c>
      <c r="AU367" t="inlineStr">
        <is>
          <t>684039:eng</t>
        </is>
      </c>
      <c r="AV367" t="inlineStr">
        <is>
          <t>36892867</t>
        </is>
      </c>
      <c r="AW367" t="inlineStr">
        <is>
          <t>991002808249702656</t>
        </is>
      </c>
      <c r="AX367" t="inlineStr">
        <is>
          <t>991002808249702656</t>
        </is>
      </c>
      <c r="AY367" t="inlineStr">
        <is>
          <t>2264999770002656</t>
        </is>
      </c>
      <c r="AZ367" t="inlineStr">
        <is>
          <t>BOOK</t>
        </is>
      </c>
      <c r="BB367" t="inlineStr">
        <is>
          <t>9781572302198</t>
        </is>
      </c>
      <c r="BC367" t="inlineStr">
        <is>
          <t>32285003507125</t>
        </is>
      </c>
      <c r="BD367" t="inlineStr">
        <is>
          <t>893716942</t>
        </is>
      </c>
    </row>
    <row r="368">
      <c r="A368" t="inlineStr">
        <is>
          <t>No</t>
        </is>
      </c>
      <c r="B368" t="inlineStr">
        <is>
          <t>RJ506.D57 G37</t>
        </is>
      </c>
      <c r="C368" t="inlineStr">
        <is>
          <t>0                      RJ 0506000D  57                 G  37</t>
        </is>
      </c>
      <c r="D368" t="inlineStr">
        <is>
          <t>Psychotherapy with children of divorce / Richard A. Gardner.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Gardner, Richard A.</t>
        </is>
      </c>
      <c r="L368" t="inlineStr">
        <is>
          <t>New York : J. Aronson, c1976.</t>
        </is>
      </c>
      <c r="M368" t="inlineStr">
        <is>
          <t>1976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RJ </t>
        </is>
      </c>
      <c r="S368" t="n">
        <v>13</v>
      </c>
      <c r="T368" t="n">
        <v>13</v>
      </c>
      <c r="U368" t="inlineStr">
        <is>
          <t>2002-10-21</t>
        </is>
      </c>
      <c r="V368" t="inlineStr">
        <is>
          <t>2002-10-21</t>
        </is>
      </c>
      <c r="W368" t="inlineStr">
        <is>
          <t>1991-12-09</t>
        </is>
      </c>
      <c r="X368" t="inlineStr">
        <is>
          <t>1991-12-09</t>
        </is>
      </c>
      <c r="Y368" t="n">
        <v>412</v>
      </c>
      <c r="Z368" t="n">
        <v>341</v>
      </c>
      <c r="AA368" t="n">
        <v>427</v>
      </c>
      <c r="AB368" t="n">
        <v>3</v>
      </c>
      <c r="AC368" t="n">
        <v>3</v>
      </c>
      <c r="AD368" t="n">
        <v>11</v>
      </c>
      <c r="AE368" t="n">
        <v>15</v>
      </c>
      <c r="AF368" t="n">
        <v>3</v>
      </c>
      <c r="AG368" t="n">
        <v>6</v>
      </c>
      <c r="AH368" t="n">
        <v>2</v>
      </c>
      <c r="AI368" t="n">
        <v>4</v>
      </c>
      <c r="AJ368" t="n">
        <v>7</v>
      </c>
      <c r="AK368" t="n">
        <v>9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HYPERLINK("http://catalog.hathitrust.org/Record/000690539","HathiTrust Record")</f>
        <v/>
      </c>
      <c r="AS368">
        <f>HYPERLINK("https://creighton-primo.hosted.exlibrisgroup.com/primo-explore/search?tab=default_tab&amp;search_scope=EVERYTHING&amp;vid=01CRU&amp;lang=en_US&amp;offset=0&amp;query=any,contains,991004051089702656","Catalog Record")</f>
        <v/>
      </c>
      <c r="AT368">
        <f>HYPERLINK("http://www.worldcat.org/oclc/2212887","WorldCat Record")</f>
        <v/>
      </c>
      <c r="AU368" t="inlineStr">
        <is>
          <t>534721:eng</t>
        </is>
      </c>
      <c r="AV368" t="inlineStr">
        <is>
          <t>2212887</t>
        </is>
      </c>
      <c r="AW368" t="inlineStr">
        <is>
          <t>991004051089702656</t>
        </is>
      </c>
      <c r="AX368" t="inlineStr">
        <is>
          <t>991004051089702656</t>
        </is>
      </c>
      <c r="AY368" t="inlineStr">
        <is>
          <t>2255699750002656</t>
        </is>
      </c>
      <c r="AZ368" t="inlineStr">
        <is>
          <t>BOOK</t>
        </is>
      </c>
      <c r="BB368" t="inlineStr">
        <is>
          <t>9780876682401</t>
        </is>
      </c>
      <c r="BC368" t="inlineStr">
        <is>
          <t>32285000838572</t>
        </is>
      </c>
      <c r="BD368" t="inlineStr">
        <is>
          <t>893240960</t>
        </is>
      </c>
    </row>
    <row r="369">
      <c r="A369" t="inlineStr">
        <is>
          <t>No</t>
        </is>
      </c>
      <c r="B369" t="inlineStr">
        <is>
          <t>RJ506.D68 B3318 1998</t>
        </is>
      </c>
      <c r="C369" t="inlineStr">
        <is>
          <t>0                      RJ 0506000D  68                 B  3318        1998</t>
        </is>
      </c>
      <c r="D369" t="inlineStr">
        <is>
          <t>Bebés con sindrome de Down : guía para padres / compilado por Karen Stray-Gundersen ; [prologo por Ann M. Forts].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Babies with Down syndrome. Spanish.</t>
        </is>
      </c>
      <c r="L369" t="inlineStr">
        <is>
          <t>Bethesda, MD : Woodbine House, 1998.</t>
        </is>
      </c>
      <c r="M369" t="inlineStr">
        <is>
          <t>1998</t>
        </is>
      </c>
      <c r="N369" t="inlineStr">
        <is>
          <t>2nd ed.</t>
        </is>
      </c>
      <c r="O369" t="inlineStr">
        <is>
          <t>spa</t>
        </is>
      </c>
      <c r="P369" t="inlineStr">
        <is>
          <t>mdu</t>
        </is>
      </c>
      <c r="R369" t="inlineStr">
        <is>
          <t xml:space="preserve">RJ </t>
        </is>
      </c>
      <c r="S369" t="n">
        <v>1</v>
      </c>
      <c r="T369" t="n">
        <v>1</v>
      </c>
      <c r="U369" t="inlineStr">
        <is>
          <t>2003-11-17</t>
        </is>
      </c>
      <c r="V369" t="inlineStr">
        <is>
          <t>2003-11-17</t>
        </is>
      </c>
      <c r="W369" t="inlineStr">
        <is>
          <t>2003-11-17</t>
        </is>
      </c>
      <c r="X369" t="inlineStr">
        <is>
          <t>2003-11-17</t>
        </is>
      </c>
      <c r="Y369" t="n">
        <v>243</v>
      </c>
      <c r="Z369" t="n">
        <v>242</v>
      </c>
      <c r="AA369" t="n">
        <v>257</v>
      </c>
      <c r="AB369" t="n">
        <v>3</v>
      </c>
      <c r="AC369" t="n">
        <v>3</v>
      </c>
      <c r="AD369" t="n">
        <v>1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1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HYPERLINK("https://creighton-primo.hosted.exlibrisgroup.com/primo-explore/search?tab=default_tab&amp;search_scope=EVERYTHING&amp;vid=01CRU&amp;lang=en_US&amp;offset=0&amp;query=any,contains,991004181609702656","Catalog Record")</f>
        <v/>
      </c>
      <c r="AT369">
        <f>HYPERLINK("http://www.worldcat.org/oclc/37043843","WorldCat Record")</f>
        <v/>
      </c>
      <c r="AU369" t="inlineStr">
        <is>
          <t>3944046742:spa</t>
        </is>
      </c>
      <c r="AV369" t="inlineStr">
        <is>
          <t>37043843</t>
        </is>
      </c>
      <c r="AW369" t="inlineStr">
        <is>
          <t>991004181609702656</t>
        </is>
      </c>
      <c r="AX369" t="inlineStr">
        <is>
          <t>991004181609702656</t>
        </is>
      </c>
      <c r="AY369" t="inlineStr">
        <is>
          <t>2254838700002656</t>
        </is>
      </c>
      <c r="AZ369" t="inlineStr">
        <is>
          <t>BOOK</t>
        </is>
      </c>
      <c r="BB369" t="inlineStr">
        <is>
          <t>9780933149915</t>
        </is>
      </c>
      <c r="BC369" t="inlineStr">
        <is>
          <t>32285004798939</t>
        </is>
      </c>
      <c r="BD369" t="inlineStr">
        <is>
          <t>893706077</t>
        </is>
      </c>
    </row>
    <row r="370">
      <c r="A370" t="inlineStr">
        <is>
          <t>No</t>
        </is>
      </c>
      <c r="B370" t="inlineStr">
        <is>
          <t>RJ506.D68 H30</t>
        </is>
      </c>
      <c r="C370" t="inlineStr">
        <is>
          <t>0                      RJ 0506000D  68                 H  30</t>
        </is>
      </c>
      <c r="D370" t="inlineStr">
        <is>
          <t>Teaching your Down's syndrome infant : a guide for parents / by Marci J. Hanson ; book design by Arden Munkres. --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Hanson, Marci J.</t>
        </is>
      </c>
      <c r="L370" t="inlineStr">
        <is>
          <t>[Eugene, Or.] : University of Oregon, 1977.</t>
        </is>
      </c>
      <c r="M370" t="inlineStr">
        <is>
          <t>1977</t>
        </is>
      </c>
      <c r="O370" t="inlineStr">
        <is>
          <t>eng</t>
        </is>
      </c>
      <c r="P370" t="inlineStr">
        <is>
          <t>oru</t>
        </is>
      </c>
      <c r="R370" t="inlineStr">
        <is>
          <t xml:space="preserve">RJ </t>
        </is>
      </c>
      <c r="S370" t="n">
        <v>15</v>
      </c>
      <c r="T370" t="n">
        <v>15</v>
      </c>
      <c r="U370" t="inlineStr">
        <is>
          <t>1999-12-16</t>
        </is>
      </c>
      <c r="V370" t="inlineStr">
        <is>
          <t>1999-12-16</t>
        </is>
      </c>
      <c r="W370" t="inlineStr">
        <is>
          <t>1996-05-29</t>
        </is>
      </c>
      <c r="X370" t="inlineStr">
        <is>
          <t>1996-05-29</t>
        </is>
      </c>
      <c r="Y370" t="n">
        <v>13</v>
      </c>
      <c r="Z370" t="n">
        <v>13</v>
      </c>
      <c r="AA370" t="n">
        <v>262</v>
      </c>
      <c r="AB370" t="n">
        <v>1</v>
      </c>
      <c r="AC370" t="n">
        <v>3</v>
      </c>
      <c r="AD370" t="n">
        <v>0</v>
      </c>
      <c r="AE370" t="n">
        <v>10</v>
      </c>
      <c r="AF370" t="n">
        <v>0</v>
      </c>
      <c r="AG370" t="n">
        <v>5</v>
      </c>
      <c r="AH370" t="n">
        <v>0</v>
      </c>
      <c r="AI370" t="n">
        <v>1</v>
      </c>
      <c r="AJ370" t="n">
        <v>0</v>
      </c>
      <c r="AK370" t="n">
        <v>6</v>
      </c>
      <c r="AL370" t="n">
        <v>0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HYPERLINK("https://creighton-primo.hosted.exlibrisgroup.com/primo-explore/search?tab=default_tab&amp;search_scope=EVERYTHING&amp;vid=01CRU&amp;lang=en_US&amp;offset=0&amp;query=any,contains,991004524299702656","Catalog Record")</f>
        <v/>
      </c>
      <c r="AT370">
        <f>HYPERLINK("http://www.worldcat.org/oclc/3836775","WorldCat Record")</f>
        <v/>
      </c>
      <c r="AU370" t="inlineStr">
        <is>
          <t>7955604:eng</t>
        </is>
      </c>
      <c r="AV370" t="inlineStr">
        <is>
          <t>3836775</t>
        </is>
      </c>
      <c r="AW370" t="inlineStr">
        <is>
          <t>991004524299702656</t>
        </is>
      </c>
      <c r="AX370" t="inlineStr">
        <is>
          <t>991004524299702656</t>
        </is>
      </c>
      <c r="AY370" t="inlineStr">
        <is>
          <t>2255666270002656</t>
        </is>
      </c>
      <c r="AZ370" t="inlineStr">
        <is>
          <t>BOOK</t>
        </is>
      </c>
      <c r="BC370" t="inlineStr">
        <is>
          <t>32285002121381</t>
        </is>
      </c>
      <c r="BD370" t="inlineStr">
        <is>
          <t>893417736</t>
        </is>
      </c>
    </row>
    <row r="371">
      <c r="A371" t="inlineStr">
        <is>
          <t>No</t>
        </is>
      </c>
      <c r="B371" t="inlineStr">
        <is>
          <t>RJ506.D68 K86 2003</t>
        </is>
      </c>
      <c r="C371" t="inlineStr">
        <is>
          <t>0                      RJ 0506000D  68                 K  86          2003</t>
        </is>
      </c>
      <c r="D371" t="inlineStr">
        <is>
          <t>Early communication skills for children with down syndrome : a guide for parents and professionals / Libby Kumin.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Kumin, Libby.</t>
        </is>
      </c>
      <c r="L371" t="inlineStr">
        <is>
          <t>Bethesda, MD : Woodbine House, 2003.</t>
        </is>
      </c>
      <c r="M371" t="inlineStr">
        <is>
          <t>2003</t>
        </is>
      </c>
      <c r="N371" t="inlineStr">
        <is>
          <t>2nd ed.</t>
        </is>
      </c>
      <c r="O371" t="inlineStr">
        <is>
          <t>eng</t>
        </is>
      </c>
      <c r="P371" t="inlineStr">
        <is>
          <t>mdu</t>
        </is>
      </c>
      <c r="Q371" t="inlineStr">
        <is>
          <t>Topics in Down syndrome</t>
        </is>
      </c>
      <c r="R371" t="inlineStr">
        <is>
          <t xml:space="preserve">RJ </t>
        </is>
      </c>
      <c r="S371" t="n">
        <v>2</v>
      </c>
      <c r="T371" t="n">
        <v>2</v>
      </c>
      <c r="U371" t="inlineStr">
        <is>
          <t>2010-10-14</t>
        </is>
      </c>
      <c r="V371" t="inlineStr">
        <is>
          <t>2010-10-14</t>
        </is>
      </c>
      <c r="W371" t="inlineStr">
        <is>
          <t>2003-11-17</t>
        </is>
      </c>
      <c r="X371" t="inlineStr">
        <is>
          <t>2003-11-17</t>
        </is>
      </c>
      <c r="Y371" t="n">
        <v>684</v>
      </c>
      <c r="Z371" t="n">
        <v>610</v>
      </c>
      <c r="AA371" t="n">
        <v>813</v>
      </c>
      <c r="AB371" t="n">
        <v>5</v>
      </c>
      <c r="AC371" t="n">
        <v>7</v>
      </c>
      <c r="AD371" t="n">
        <v>5</v>
      </c>
      <c r="AE371" t="n">
        <v>6</v>
      </c>
      <c r="AF371" t="n">
        <v>2</v>
      </c>
      <c r="AG371" t="n">
        <v>2</v>
      </c>
      <c r="AH371" t="n">
        <v>0</v>
      </c>
      <c r="AI371" t="n">
        <v>0</v>
      </c>
      <c r="AJ371" t="n">
        <v>2</v>
      </c>
      <c r="AK371" t="n">
        <v>2</v>
      </c>
      <c r="AL371" t="n">
        <v>3</v>
      </c>
      <c r="AM371" t="n">
        <v>4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HYPERLINK("https://creighton-primo.hosted.exlibrisgroup.com/primo-explore/search?tab=default_tab&amp;search_scope=EVERYTHING&amp;vid=01CRU&amp;lang=en_US&amp;offset=0&amp;query=any,contains,991004181379702656","Catalog Record")</f>
        <v/>
      </c>
      <c r="AT371">
        <f>HYPERLINK("http://www.worldcat.org/oclc/51992259","WorldCat Record")</f>
        <v/>
      </c>
      <c r="AU371" t="inlineStr">
        <is>
          <t>838395486:eng</t>
        </is>
      </c>
      <c r="AV371" t="inlineStr">
        <is>
          <t>51992259</t>
        </is>
      </c>
      <c r="AW371" t="inlineStr">
        <is>
          <t>991004181379702656</t>
        </is>
      </c>
      <c r="AX371" t="inlineStr">
        <is>
          <t>991004181379702656</t>
        </is>
      </c>
      <c r="AY371" t="inlineStr">
        <is>
          <t>2267041200002656</t>
        </is>
      </c>
      <c r="AZ371" t="inlineStr">
        <is>
          <t>BOOK</t>
        </is>
      </c>
      <c r="BB371" t="inlineStr">
        <is>
          <t>9781890627270</t>
        </is>
      </c>
      <c r="BC371" t="inlineStr">
        <is>
          <t>32285004799069</t>
        </is>
      </c>
      <c r="BD371" t="inlineStr">
        <is>
          <t>893888390</t>
        </is>
      </c>
    </row>
    <row r="372">
      <c r="A372" t="inlineStr">
        <is>
          <t>No</t>
        </is>
      </c>
      <c r="B372" t="inlineStr">
        <is>
          <t>RJ506.D78 A364 1992</t>
        </is>
      </c>
      <c r="C372" t="inlineStr">
        <is>
          <t>0                      RJ 0506000D  78                 A  364         1992</t>
        </is>
      </c>
      <c r="D372" t="inlineStr">
        <is>
          <t>Adolescent substance abuse : etiology, treatment, and prevention / edited by Gary W. Lawson, Ann W. Lawson.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Gaithersburg, Md. : Aspen Publishers, 1992.</t>
        </is>
      </c>
      <c r="M372" t="inlineStr">
        <is>
          <t>1992</t>
        </is>
      </c>
      <c r="O372" t="inlineStr">
        <is>
          <t>eng</t>
        </is>
      </c>
      <c r="P372" t="inlineStr">
        <is>
          <t>mdu</t>
        </is>
      </c>
      <c r="R372" t="inlineStr">
        <is>
          <t xml:space="preserve">RJ </t>
        </is>
      </c>
      <c r="S372" t="n">
        <v>17</v>
      </c>
      <c r="T372" t="n">
        <v>17</v>
      </c>
      <c r="U372" t="inlineStr">
        <is>
          <t>2000-09-27</t>
        </is>
      </c>
      <c r="V372" t="inlineStr">
        <is>
          <t>2000-09-27</t>
        </is>
      </c>
      <c r="W372" t="inlineStr">
        <is>
          <t>1993-01-04</t>
        </is>
      </c>
      <c r="X372" t="inlineStr">
        <is>
          <t>1993-01-04</t>
        </is>
      </c>
      <c r="Y372" t="n">
        <v>337</v>
      </c>
      <c r="Z372" t="n">
        <v>295</v>
      </c>
      <c r="AA372" t="n">
        <v>307</v>
      </c>
      <c r="AB372" t="n">
        <v>3</v>
      </c>
      <c r="AC372" t="n">
        <v>3</v>
      </c>
      <c r="AD372" t="n">
        <v>16</v>
      </c>
      <c r="AE372" t="n">
        <v>16</v>
      </c>
      <c r="AF372" t="n">
        <v>5</v>
      </c>
      <c r="AG372" t="n">
        <v>5</v>
      </c>
      <c r="AH372" t="n">
        <v>3</v>
      </c>
      <c r="AI372" t="n">
        <v>3</v>
      </c>
      <c r="AJ372" t="n">
        <v>10</v>
      </c>
      <c r="AK372" t="n">
        <v>10</v>
      </c>
      <c r="AL372" t="n">
        <v>2</v>
      </c>
      <c r="AM372" t="n">
        <v>2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HYPERLINK("http://catalog.hathitrust.org/Record/002584569","HathiTrust Record")</f>
        <v/>
      </c>
      <c r="AS372">
        <f>HYPERLINK("https://creighton-primo.hosted.exlibrisgroup.com/primo-explore/search?tab=default_tab&amp;search_scope=EVERYTHING&amp;vid=01CRU&amp;lang=en_US&amp;offset=0&amp;query=any,contains,991002030209702656","Catalog Record")</f>
        <v/>
      </c>
      <c r="AT372">
        <f>HYPERLINK("http://www.worldcat.org/oclc/25834311","WorldCat Record")</f>
        <v/>
      </c>
      <c r="AU372" t="inlineStr">
        <is>
          <t>766843684:eng</t>
        </is>
      </c>
      <c r="AV372" t="inlineStr">
        <is>
          <t>25834311</t>
        </is>
      </c>
      <c r="AW372" t="inlineStr">
        <is>
          <t>991002030209702656</t>
        </is>
      </c>
      <c r="AX372" t="inlineStr">
        <is>
          <t>991002030209702656</t>
        </is>
      </c>
      <c r="AY372" t="inlineStr">
        <is>
          <t>2263074970002656</t>
        </is>
      </c>
      <c r="AZ372" t="inlineStr">
        <is>
          <t>BOOK</t>
        </is>
      </c>
      <c r="BB372" t="inlineStr">
        <is>
          <t>9780834202542</t>
        </is>
      </c>
      <c r="BC372" t="inlineStr">
        <is>
          <t>32285001403988</t>
        </is>
      </c>
      <c r="BD372" t="inlineStr">
        <is>
          <t>893615607</t>
        </is>
      </c>
    </row>
    <row r="373">
      <c r="A373" t="inlineStr">
        <is>
          <t>No</t>
        </is>
      </c>
      <c r="B373" t="inlineStr">
        <is>
          <t>RJ506.D78 N89 1990</t>
        </is>
      </c>
      <c r="C373" t="inlineStr">
        <is>
          <t>0                      RJ 0506000D  78                 N  89          1990</t>
        </is>
      </c>
      <c r="D373" t="inlineStr">
        <is>
          <t>Substance abuse in adolescents and young adults : a guide to treatment / Joseph Nowinski.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Nowinski, Joseph.</t>
        </is>
      </c>
      <c r="L373" t="inlineStr">
        <is>
          <t>New York : Norton, c1990.</t>
        </is>
      </c>
      <c r="M373" t="inlineStr">
        <is>
          <t>1990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RJ </t>
        </is>
      </c>
      <c r="S373" t="n">
        <v>1</v>
      </c>
      <c r="T373" t="n">
        <v>1</v>
      </c>
      <c r="U373" t="inlineStr">
        <is>
          <t>2002-11-21</t>
        </is>
      </c>
      <c r="V373" t="inlineStr">
        <is>
          <t>2002-11-21</t>
        </is>
      </c>
      <c r="W373" t="inlineStr">
        <is>
          <t>2002-11-21</t>
        </is>
      </c>
      <c r="X373" t="inlineStr">
        <is>
          <t>2002-11-21</t>
        </is>
      </c>
      <c r="Y373" t="n">
        <v>506</v>
      </c>
      <c r="Z373" t="n">
        <v>441</v>
      </c>
      <c r="AA373" t="n">
        <v>445</v>
      </c>
      <c r="AB373" t="n">
        <v>4</v>
      </c>
      <c r="AC373" t="n">
        <v>4</v>
      </c>
      <c r="AD373" t="n">
        <v>19</v>
      </c>
      <c r="AE373" t="n">
        <v>19</v>
      </c>
      <c r="AF373" t="n">
        <v>6</v>
      </c>
      <c r="AG373" t="n">
        <v>6</v>
      </c>
      <c r="AH373" t="n">
        <v>4</v>
      </c>
      <c r="AI373" t="n">
        <v>4</v>
      </c>
      <c r="AJ373" t="n">
        <v>10</v>
      </c>
      <c r="AK373" t="n">
        <v>10</v>
      </c>
      <c r="AL373" t="n">
        <v>3</v>
      </c>
      <c r="AM373" t="n">
        <v>3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HYPERLINK("https://creighton-primo.hosted.exlibrisgroup.com/primo-explore/search?tab=default_tab&amp;search_scope=EVERYTHING&amp;vid=01CRU&amp;lang=en_US&amp;offset=0&amp;query=any,contains,991003933049702656","Catalog Record")</f>
        <v/>
      </c>
      <c r="AT373">
        <f>HYPERLINK("http://www.worldcat.org/oclc/20759172","WorldCat Record")</f>
        <v/>
      </c>
      <c r="AU373" t="inlineStr">
        <is>
          <t>432730638:eng</t>
        </is>
      </c>
      <c r="AV373" t="inlineStr">
        <is>
          <t>20759172</t>
        </is>
      </c>
      <c r="AW373" t="inlineStr">
        <is>
          <t>991003933049702656</t>
        </is>
      </c>
      <c r="AX373" t="inlineStr">
        <is>
          <t>991003933049702656</t>
        </is>
      </c>
      <c r="AY373" t="inlineStr">
        <is>
          <t>2268688960002656</t>
        </is>
      </c>
      <c r="AZ373" t="inlineStr">
        <is>
          <t>BOOK</t>
        </is>
      </c>
      <c r="BB373" t="inlineStr">
        <is>
          <t>9780393700978</t>
        </is>
      </c>
      <c r="BC373" t="inlineStr">
        <is>
          <t>32285004665864</t>
        </is>
      </c>
      <c r="BD373" t="inlineStr">
        <is>
          <t>893435679</t>
        </is>
      </c>
    </row>
    <row r="374">
      <c r="A374" t="inlineStr">
        <is>
          <t>No</t>
        </is>
      </c>
      <c r="B374" t="inlineStr">
        <is>
          <t>RJ506.E18 L48 1987</t>
        </is>
      </c>
      <c r="C374" t="inlineStr">
        <is>
          <t>0                      RJ 0506000E  18                 L  48          1987</t>
        </is>
      </c>
      <c r="D374" t="inlineStr">
        <is>
          <t>Student eating disorders : anorexia nervosa and bulimia / by Michael P. Levine ; introduction by David M. Garner.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Levine, Michael P.</t>
        </is>
      </c>
      <c r="L374" t="inlineStr">
        <is>
          <t>Washington, D.C. : National Education Association, c1987.</t>
        </is>
      </c>
      <c r="M374" t="inlineStr">
        <is>
          <t>1987</t>
        </is>
      </c>
      <c r="O374" t="inlineStr">
        <is>
          <t>eng</t>
        </is>
      </c>
      <c r="P374" t="inlineStr">
        <is>
          <t>dcu</t>
        </is>
      </c>
      <c r="Q374" t="inlineStr">
        <is>
          <t>How schools can help combat</t>
        </is>
      </c>
      <c r="R374" t="inlineStr">
        <is>
          <t xml:space="preserve">RJ </t>
        </is>
      </c>
      <c r="S374" t="n">
        <v>44</v>
      </c>
      <c r="T374" t="n">
        <v>44</v>
      </c>
      <c r="U374" t="inlineStr">
        <is>
          <t>2003-10-24</t>
        </is>
      </c>
      <c r="V374" t="inlineStr">
        <is>
          <t>2003-10-24</t>
        </is>
      </c>
      <c r="W374" t="inlineStr">
        <is>
          <t>1990-02-21</t>
        </is>
      </c>
      <c r="X374" t="inlineStr">
        <is>
          <t>1990-02-21</t>
        </is>
      </c>
      <c r="Y374" t="n">
        <v>505</v>
      </c>
      <c r="Z374" t="n">
        <v>483</v>
      </c>
      <c r="AA374" t="n">
        <v>489</v>
      </c>
      <c r="AB374" t="n">
        <v>4</v>
      </c>
      <c r="AC374" t="n">
        <v>4</v>
      </c>
      <c r="AD374" t="n">
        <v>18</v>
      </c>
      <c r="AE374" t="n">
        <v>18</v>
      </c>
      <c r="AF374" t="n">
        <v>8</v>
      </c>
      <c r="AG374" t="n">
        <v>8</v>
      </c>
      <c r="AH374" t="n">
        <v>4</v>
      </c>
      <c r="AI374" t="n">
        <v>4</v>
      </c>
      <c r="AJ374" t="n">
        <v>9</v>
      </c>
      <c r="AK374" t="n">
        <v>9</v>
      </c>
      <c r="AL374" t="n">
        <v>3</v>
      </c>
      <c r="AM374" t="n">
        <v>3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HYPERLINK("http://catalog.hathitrust.org/Record/004505112","HathiTrust Record")</f>
        <v/>
      </c>
      <c r="AS374">
        <f>HYPERLINK("https://creighton-primo.hosted.exlibrisgroup.com/primo-explore/search?tab=default_tab&amp;search_scope=EVERYTHING&amp;vid=01CRU&amp;lang=en_US&amp;offset=0&amp;query=any,contains,991000885969702656","Catalog Record")</f>
        <v/>
      </c>
      <c r="AT374">
        <f>HYPERLINK("http://www.worldcat.org/oclc/13861083","WorldCat Record")</f>
        <v/>
      </c>
      <c r="AU374" t="inlineStr">
        <is>
          <t>312193902:eng</t>
        </is>
      </c>
      <c r="AV374" t="inlineStr">
        <is>
          <t>13861083</t>
        </is>
      </c>
      <c r="AW374" t="inlineStr">
        <is>
          <t>991000885969702656</t>
        </is>
      </c>
      <c r="AX374" t="inlineStr">
        <is>
          <t>991000885969702656</t>
        </is>
      </c>
      <c r="AY374" t="inlineStr">
        <is>
          <t>2262409190002656</t>
        </is>
      </c>
      <c r="AZ374" t="inlineStr">
        <is>
          <t>BOOK</t>
        </is>
      </c>
      <c r="BB374" t="inlineStr">
        <is>
          <t>9780810632905</t>
        </is>
      </c>
      <c r="BC374" t="inlineStr">
        <is>
          <t>32285000058676</t>
        </is>
      </c>
      <c r="BD374" t="inlineStr">
        <is>
          <t>893803143</t>
        </is>
      </c>
    </row>
    <row r="375">
      <c r="A375" t="inlineStr">
        <is>
          <t>No</t>
        </is>
      </c>
      <c r="B375" t="inlineStr">
        <is>
          <t>RJ506.E18 S68 2001</t>
        </is>
      </c>
      <c r="C375" t="inlineStr">
        <is>
          <t>0                      RJ 0506000E  18                 S  68          2001</t>
        </is>
      </c>
      <c r="D375" t="inlineStr">
        <is>
          <t>Trim kids : the proven 12-week plan that has helped thousands of children achieve a healthier weight / Melinda S. Sothern, T. Kristian von Almen, Heidi Schumacher.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Sothern, Melinda.</t>
        </is>
      </c>
      <c r="L375" t="inlineStr">
        <is>
          <t>New York : HarperResource, c2001.</t>
        </is>
      </c>
      <c r="M375" t="inlineStr">
        <is>
          <t>2001</t>
        </is>
      </c>
      <c r="N375" t="inlineStr">
        <is>
          <t>1st ed.</t>
        </is>
      </c>
      <c r="O375" t="inlineStr">
        <is>
          <t>eng</t>
        </is>
      </c>
      <c r="P375" t="inlineStr">
        <is>
          <t>nyu</t>
        </is>
      </c>
      <c r="R375" t="inlineStr">
        <is>
          <t xml:space="preserve">RJ </t>
        </is>
      </c>
      <c r="S375" t="n">
        <v>6</v>
      </c>
      <c r="T375" t="n">
        <v>6</v>
      </c>
      <c r="U375" t="inlineStr">
        <is>
          <t>2005-11-03</t>
        </is>
      </c>
      <c r="V375" t="inlineStr">
        <is>
          <t>2005-11-03</t>
        </is>
      </c>
      <c r="W375" t="inlineStr">
        <is>
          <t>2002-03-20</t>
        </is>
      </c>
      <c r="X375" t="inlineStr">
        <is>
          <t>2002-03-20</t>
        </is>
      </c>
      <c r="Y375" t="n">
        <v>455</v>
      </c>
      <c r="Z375" t="n">
        <v>442</v>
      </c>
      <c r="AA375" t="n">
        <v>500</v>
      </c>
      <c r="AB375" t="n">
        <v>4</v>
      </c>
      <c r="AC375" t="n">
        <v>5</v>
      </c>
      <c r="AD375" t="n">
        <v>3</v>
      </c>
      <c r="AE375" t="n">
        <v>3</v>
      </c>
      <c r="AF375" t="n">
        <v>1</v>
      </c>
      <c r="AG375" t="n">
        <v>1</v>
      </c>
      <c r="AH375" t="n">
        <v>1</v>
      </c>
      <c r="AI375" t="n">
        <v>1</v>
      </c>
      <c r="AJ375" t="n">
        <v>1</v>
      </c>
      <c r="AK375" t="n">
        <v>1</v>
      </c>
      <c r="AL375" t="n">
        <v>1</v>
      </c>
      <c r="AM375" t="n">
        <v>1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HYPERLINK("https://creighton-primo.hosted.exlibrisgroup.com/primo-explore/search?tab=default_tab&amp;search_scope=EVERYTHING&amp;vid=01CRU&amp;lang=en_US&amp;offset=0&amp;query=any,contains,991003742959702656","Catalog Record")</f>
        <v/>
      </c>
      <c r="AT375">
        <f>HYPERLINK("http://www.worldcat.org/oclc/46671082","WorldCat Record")</f>
        <v/>
      </c>
      <c r="AU375" t="inlineStr">
        <is>
          <t>650850:eng</t>
        </is>
      </c>
      <c r="AV375" t="inlineStr">
        <is>
          <t>46671082</t>
        </is>
      </c>
      <c r="AW375" t="inlineStr">
        <is>
          <t>991003742959702656</t>
        </is>
      </c>
      <c r="AX375" t="inlineStr">
        <is>
          <t>991003742959702656</t>
        </is>
      </c>
      <c r="AY375" t="inlineStr">
        <is>
          <t>2263452370002656</t>
        </is>
      </c>
      <c r="AZ375" t="inlineStr">
        <is>
          <t>BOOK</t>
        </is>
      </c>
      <c r="BB375" t="inlineStr">
        <is>
          <t>9780060188153</t>
        </is>
      </c>
      <c r="BC375" t="inlineStr">
        <is>
          <t>32285004463021</t>
        </is>
      </c>
      <c r="BD375" t="inlineStr">
        <is>
          <t>893611385</t>
        </is>
      </c>
    </row>
    <row r="376">
      <c r="A376" t="inlineStr">
        <is>
          <t>No</t>
        </is>
      </c>
      <c r="B376" t="inlineStr">
        <is>
          <t>RJ506.F73 F74 1991</t>
        </is>
      </c>
      <c r="C376" t="inlineStr">
        <is>
          <t>0                      RJ 0506000F  73                 F  74          1991</t>
        </is>
      </c>
      <c r="D376" t="inlineStr">
        <is>
          <t>Fragile X syndrome : diagnosis, treatment, and research / edited by Randi Jenssen Hagerman and Amy Cronister Silverman.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L376" t="inlineStr">
        <is>
          <t>Baltimore : Johns Hopkins University Press, c1991.</t>
        </is>
      </c>
      <c r="M376" t="inlineStr">
        <is>
          <t>1991</t>
        </is>
      </c>
      <c r="O376" t="inlineStr">
        <is>
          <t>eng</t>
        </is>
      </c>
      <c r="P376" t="inlineStr">
        <is>
          <t>mdu</t>
        </is>
      </c>
      <c r="Q376" t="inlineStr">
        <is>
          <t>The Johns Hopkins series in contemporary medicine and public health</t>
        </is>
      </c>
      <c r="R376" t="inlineStr">
        <is>
          <t xml:space="preserve">RJ </t>
        </is>
      </c>
      <c r="S376" t="n">
        <v>15</v>
      </c>
      <c r="T376" t="n">
        <v>15</v>
      </c>
      <c r="U376" t="inlineStr">
        <is>
          <t>2004-03-01</t>
        </is>
      </c>
      <c r="V376" t="inlineStr">
        <is>
          <t>2004-03-01</t>
        </is>
      </c>
      <c r="W376" t="inlineStr">
        <is>
          <t>1992-06-22</t>
        </is>
      </c>
      <c r="X376" t="inlineStr">
        <is>
          <t>1992-06-22</t>
        </is>
      </c>
      <c r="Y376" t="n">
        <v>188</v>
      </c>
      <c r="Z376" t="n">
        <v>143</v>
      </c>
      <c r="AA376" t="n">
        <v>361</v>
      </c>
      <c r="AB376" t="n">
        <v>2</v>
      </c>
      <c r="AC376" t="n">
        <v>3</v>
      </c>
      <c r="AD376" t="n">
        <v>4</v>
      </c>
      <c r="AE376" t="n">
        <v>14</v>
      </c>
      <c r="AF376" t="n">
        <v>1</v>
      </c>
      <c r="AG376" t="n">
        <v>5</v>
      </c>
      <c r="AH376" t="n">
        <v>2</v>
      </c>
      <c r="AI376" t="n">
        <v>4</v>
      </c>
      <c r="AJ376" t="n">
        <v>2</v>
      </c>
      <c r="AK376" t="n">
        <v>7</v>
      </c>
      <c r="AL376" t="n">
        <v>1</v>
      </c>
      <c r="AM376" t="n">
        <v>2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HYPERLINK("http://catalog.hathitrust.org/Record/002506958","HathiTrust Record")</f>
        <v/>
      </c>
      <c r="AS376">
        <f>HYPERLINK("https://creighton-primo.hosted.exlibrisgroup.com/primo-explore/search?tab=default_tab&amp;search_scope=EVERYTHING&amp;vid=01CRU&amp;lang=en_US&amp;offset=0&amp;query=any,contains,991001832349702656","Catalog Record")</f>
        <v/>
      </c>
      <c r="AT376">
        <f>HYPERLINK("http://www.worldcat.org/oclc/23016498","WorldCat Record")</f>
        <v/>
      </c>
      <c r="AU376" t="inlineStr">
        <is>
          <t>836820939:eng</t>
        </is>
      </c>
      <c r="AV376" t="inlineStr">
        <is>
          <t>23016498</t>
        </is>
      </c>
      <c r="AW376" t="inlineStr">
        <is>
          <t>991001832349702656</t>
        </is>
      </c>
      <c r="AX376" t="inlineStr">
        <is>
          <t>991001832349702656</t>
        </is>
      </c>
      <c r="AY376" t="inlineStr">
        <is>
          <t>2264726440002656</t>
        </is>
      </c>
      <c r="AZ376" t="inlineStr">
        <is>
          <t>BOOK</t>
        </is>
      </c>
      <c r="BB376" t="inlineStr">
        <is>
          <t>9780801841699</t>
        </is>
      </c>
      <c r="BC376" t="inlineStr">
        <is>
          <t>32285001155265</t>
        </is>
      </c>
      <c r="BD376" t="inlineStr">
        <is>
          <t>893509995</t>
        </is>
      </c>
    </row>
    <row r="377">
      <c r="A377" t="inlineStr">
        <is>
          <t>No</t>
        </is>
      </c>
      <c r="B377" t="inlineStr">
        <is>
          <t>RJ506.F73 S87 1985</t>
        </is>
      </c>
      <c r="C377" t="inlineStr">
        <is>
          <t>0                      RJ 0506000F  73                 S  87          1985</t>
        </is>
      </c>
      <c r="D377" t="inlineStr">
        <is>
          <t>Fragile sites on human chromosomes / Grant R. Sutherland and Frederick Hecht ; with contributions by John C. Mulley and Thoams W. Glover and Barbara K. Hecht.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Sutherland, Grant R.</t>
        </is>
      </c>
      <c r="L377" t="inlineStr">
        <is>
          <t>New York : Oxford University Press, 1985.</t>
        </is>
      </c>
      <c r="M377" t="inlineStr">
        <is>
          <t>1985</t>
        </is>
      </c>
      <c r="O377" t="inlineStr">
        <is>
          <t>eng</t>
        </is>
      </c>
      <c r="P377" t="inlineStr">
        <is>
          <t>nyu</t>
        </is>
      </c>
      <c r="Q377" t="inlineStr">
        <is>
          <t>Oxford monographs on medical genetics ; no. 13</t>
        </is>
      </c>
      <c r="R377" t="inlineStr">
        <is>
          <t xml:space="preserve">RJ </t>
        </is>
      </c>
      <c r="S377" t="n">
        <v>4</v>
      </c>
      <c r="T377" t="n">
        <v>4</v>
      </c>
      <c r="U377" t="inlineStr">
        <is>
          <t>2004-03-01</t>
        </is>
      </c>
      <c r="V377" t="inlineStr">
        <is>
          <t>2004-03-01</t>
        </is>
      </c>
      <c r="W377" t="inlineStr">
        <is>
          <t>1993-03-03</t>
        </is>
      </c>
      <c r="X377" t="inlineStr">
        <is>
          <t>1993-03-03</t>
        </is>
      </c>
      <c r="Y377" t="n">
        <v>226</v>
      </c>
      <c r="Z377" t="n">
        <v>166</v>
      </c>
      <c r="AA377" t="n">
        <v>173</v>
      </c>
      <c r="AB377" t="n">
        <v>2</v>
      </c>
      <c r="AC377" t="n">
        <v>2</v>
      </c>
      <c r="AD377" t="n">
        <v>7</v>
      </c>
      <c r="AE377" t="n">
        <v>7</v>
      </c>
      <c r="AF377" t="n">
        <v>2</v>
      </c>
      <c r="AG377" t="n">
        <v>2</v>
      </c>
      <c r="AH377" t="n">
        <v>2</v>
      </c>
      <c r="AI377" t="n">
        <v>2</v>
      </c>
      <c r="AJ377" t="n">
        <v>2</v>
      </c>
      <c r="AK377" t="n">
        <v>2</v>
      </c>
      <c r="AL377" t="n">
        <v>1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HYPERLINK("http://catalog.hathitrust.org/Record/000461007","HathiTrust Record")</f>
        <v/>
      </c>
      <c r="AS377">
        <f>HYPERLINK("https://creighton-primo.hosted.exlibrisgroup.com/primo-explore/search?tab=default_tab&amp;search_scope=EVERYTHING&amp;vid=01CRU&amp;lang=en_US&amp;offset=0&amp;query=any,contains,991000469979702656","Catalog Record")</f>
        <v/>
      </c>
      <c r="AT377">
        <f>HYPERLINK("http://www.worldcat.org/oclc/10996651","WorldCat Record")</f>
        <v/>
      </c>
      <c r="AU377" t="inlineStr">
        <is>
          <t>3454127:eng</t>
        </is>
      </c>
      <c r="AV377" t="inlineStr">
        <is>
          <t>10996651</t>
        </is>
      </c>
      <c r="AW377" t="inlineStr">
        <is>
          <t>991000469979702656</t>
        </is>
      </c>
      <c r="AX377" t="inlineStr">
        <is>
          <t>991000469979702656</t>
        </is>
      </c>
      <c r="AY377" t="inlineStr">
        <is>
          <t>2262064860002656</t>
        </is>
      </c>
      <c r="AZ377" t="inlineStr">
        <is>
          <t>BOOK</t>
        </is>
      </c>
      <c r="BB377" t="inlineStr">
        <is>
          <t>9780195035421</t>
        </is>
      </c>
      <c r="BC377" t="inlineStr">
        <is>
          <t>32285001529634</t>
        </is>
      </c>
      <c r="BD377" t="inlineStr">
        <is>
          <t>893425735</t>
        </is>
      </c>
    </row>
    <row r="378">
      <c r="A378" t="inlineStr">
        <is>
          <t>No</t>
        </is>
      </c>
      <c r="B378" t="inlineStr">
        <is>
          <t>RJ506.H9 B37 1981</t>
        </is>
      </c>
      <c r="C378" t="inlineStr">
        <is>
          <t>0                      RJ 0506000H  9                  B  37          1981</t>
        </is>
      </c>
      <c r="D378" t="inlineStr">
        <is>
          <t>Hyperactive children : a handbook for diagnosis and treatment / Russell A. Barkley ; foreword by Dennis P. Cantwell.</t>
        </is>
      </c>
      <c r="F378" t="inlineStr">
        <is>
          <t>No</t>
        </is>
      </c>
      <c r="G378" t="inlineStr">
        <is>
          <t>1</t>
        </is>
      </c>
      <c r="H378" t="inlineStr">
        <is>
          <t>Yes</t>
        </is>
      </c>
      <c r="I378" t="inlineStr">
        <is>
          <t>No</t>
        </is>
      </c>
      <c r="J378" t="inlineStr">
        <is>
          <t>0</t>
        </is>
      </c>
      <c r="K378" t="inlineStr">
        <is>
          <t>Barkley, Russell A., 1949-</t>
        </is>
      </c>
      <c r="L378" t="inlineStr">
        <is>
          <t>New York : Guilford Press, c1981.</t>
        </is>
      </c>
      <c r="M378" t="inlineStr">
        <is>
          <t>1981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RJ </t>
        </is>
      </c>
      <c r="S378" t="n">
        <v>16</v>
      </c>
      <c r="T378" t="n">
        <v>16</v>
      </c>
      <c r="U378" t="inlineStr">
        <is>
          <t>2006-11-21</t>
        </is>
      </c>
      <c r="V378" t="inlineStr">
        <is>
          <t>2006-11-21</t>
        </is>
      </c>
      <c r="W378" t="inlineStr">
        <is>
          <t>1990-02-12</t>
        </is>
      </c>
      <c r="X378" t="inlineStr">
        <is>
          <t>1990-02-12</t>
        </is>
      </c>
      <c r="Y378" t="n">
        <v>575</v>
      </c>
      <c r="Z378" t="n">
        <v>508</v>
      </c>
      <c r="AA378" t="n">
        <v>509</v>
      </c>
      <c r="AB378" t="n">
        <v>5</v>
      </c>
      <c r="AC378" t="n">
        <v>5</v>
      </c>
      <c r="AD378" t="n">
        <v>13</v>
      </c>
      <c r="AE378" t="n">
        <v>13</v>
      </c>
      <c r="AF378" t="n">
        <v>5</v>
      </c>
      <c r="AG378" t="n">
        <v>5</v>
      </c>
      <c r="AH378" t="n">
        <v>1</v>
      </c>
      <c r="AI378" t="n">
        <v>1</v>
      </c>
      <c r="AJ378" t="n">
        <v>7</v>
      </c>
      <c r="AK378" t="n">
        <v>7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HYPERLINK("https://creighton-primo.hosted.exlibrisgroup.com/primo-explore/search?tab=default_tab&amp;search_scope=EVERYTHING&amp;vid=01CRU&amp;lang=en_US&amp;offset=0&amp;query=any,contains,991005101239702656","Catalog Record")</f>
        <v/>
      </c>
      <c r="AT378">
        <f>HYPERLINK("http://www.worldcat.org/oclc/7283890","WorldCat Record")</f>
        <v/>
      </c>
      <c r="AU378" t="inlineStr">
        <is>
          <t>12716490:eng</t>
        </is>
      </c>
      <c r="AV378" t="inlineStr">
        <is>
          <t>7283890</t>
        </is>
      </c>
      <c r="AW378" t="inlineStr">
        <is>
          <t>991005101239702656</t>
        </is>
      </c>
      <c r="AX378" t="inlineStr">
        <is>
          <t>991005101239702656</t>
        </is>
      </c>
      <c r="AY378" t="inlineStr">
        <is>
          <t>2259749520002656</t>
        </is>
      </c>
      <c r="AZ378" t="inlineStr">
        <is>
          <t>BOOK</t>
        </is>
      </c>
      <c r="BB378" t="inlineStr">
        <is>
          <t>9780898626094</t>
        </is>
      </c>
      <c r="BC378" t="inlineStr">
        <is>
          <t>32285000045590</t>
        </is>
      </c>
      <c r="BD378" t="inlineStr">
        <is>
          <t>893789436</t>
        </is>
      </c>
    </row>
    <row r="379">
      <c r="A379" t="inlineStr">
        <is>
          <t>No</t>
        </is>
      </c>
      <c r="B379" t="inlineStr">
        <is>
          <t>RJ506.H9 C36</t>
        </is>
      </c>
      <c r="C379" t="inlineStr">
        <is>
          <t>0                      RJ 0506000H  9                  C  36</t>
        </is>
      </c>
      <c r="D379" t="inlineStr">
        <is>
          <t>The hyperactive child : diagnosis, management, current research / editor, Dennis P. Cantwell.</t>
        </is>
      </c>
      <c r="F379" t="inlineStr">
        <is>
          <t>No</t>
        </is>
      </c>
      <c r="G379" t="inlineStr">
        <is>
          <t>1</t>
        </is>
      </c>
      <c r="H379" t="inlineStr">
        <is>
          <t>Yes</t>
        </is>
      </c>
      <c r="I379" t="inlineStr">
        <is>
          <t>No</t>
        </is>
      </c>
      <c r="J379" t="inlineStr">
        <is>
          <t>0</t>
        </is>
      </c>
      <c r="K379" t="inlineStr">
        <is>
          <t>Cantwell, Dennis P., 1939-</t>
        </is>
      </c>
      <c r="L379" t="inlineStr">
        <is>
          <t>New York : SP Books Division of Spectrum Publications : distributed by Halsted Press, [1975]</t>
        </is>
      </c>
      <c r="M379" t="inlineStr">
        <is>
          <t>1975</t>
        </is>
      </c>
      <c r="O379" t="inlineStr">
        <is>
          <t>eng</t>
        </is>
      </c>
      <c r="P379" t="inlineStr">
        <is>
          <t>nyu</t>
        </is>
      </c>
      <c r="Q379" t="inlineStr">
        <is>
          <t>Series on child behavior and development ; v. 1</t>
        </is>
      </c>
      <c r="R379" t="inlineStr">
        <is>
          <t xml:space="preserve">RJ </t>
        </is>
      </c>
      <c r="S379" t="n">
        <v>10</v>
      </c>
      <c r="T379" t="n">
        <v>14</v>
      </c>
      <c r="U379" t="inlineStr">
        <is>
          <t>1998-03-01</t>
        </is>
      </c>
      <c r="V379" t="inlineStr">
        <is>
          <t>1998-03-01</t>
        </is>
      </c>
      <c r="W379" t="inlineStr">
        <is>
          <t>1991-11-19</t>
        </is>
      </c>
      <c r="X379" t="inlineStr">
        <is>
          <t>1991-11-19</t>
        </is>
      </c>
      <c r="Y379" t="n">
        <v>613</v>
      </c>
      <c r="Z379" t="n">
        <v>516</v>
      </c>
      <c r="AA379" t="n">
        <v>535</v>
      </c>
      <c r="AB379" t="n">
        <v>6</v>
      </c>
      <c r="AC379" t="n">
        <v>6</v>
      </c>
      <c r="AD379" t="n">
        <v>16</v>
      </c>
      <c r="AE379" t="n">
        <v>18</v>
      </c>
      <c r="AF379" t="n">
        <v>8</v>
      </c>
      <c r="AG379" t="n">
        <v>9</v>
      </c>
      <c r="AH379" t="n">
        <v>3</v>
      </c>
      <c r="AI379" t="n">
        <v>4</v>
      </c>
      <c r="AJ379" t="n">
        <v>8</v>
      </c>
      <c r="AK379" t="n">
        <v>8</v>
      </c>
      <c r="AL379" t="n">
        <v>2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HYPERLINK("http://catalog.hathitrust.org/Record/000040313","HathiTrust Record")</f>
        <v/>
      </c>
      <c r="AS379">
        <f>HYPERLINK("https://creighton-primo.hosted.exlibrisgroup.com/primo-explore/search?tab=default_tab&amp;search_scope=EVERYTHING&amp;vid=01CRU&amp;lang=en_US&amp;offset=0&amp;query=any,contains,991001772319702656","Catalog Record")</f>
        <v/>
      </c>
      <c r="AT379">
        <f>HYPERLINK("http://www.worldcat.org/oclc/1601870","WorldCat Record")</f>
        <v/>
      </c>
      <c r="AU379" t="inlineStr">
        <is>
          <t>20408711:eng</t>
        </is>
      </c>
      <c r="AV379" t="inlineStr">
        <is>
          <t>1601870</t>
        </is>
      </c>
      <c r="AW379" t="inlineStr">
        <is>
          <t>991001772319702656</t>
        </is>
      </c>
      <c r="AX379" t="inlineStr">
        <is>
          <t>991001772319702656</t>
        </is>
      </c>
      <c r="AY379" t="inlineStr">
        <is>
          <t>2266536400002656</t>
        </is>
      </c>
      <c r="AZ379" t="inlineStr">
        <is>
          <t>BOOK</t>
        </is>
      </c>
      <c r="BB379" t="inlineStr">
        <is>
          <t>9780470134412</t>
        </is>
      </c>
      <c r="BC379" t="inlineStr">
        <is>
          <t>32285000821040</t>
        </is>
      </c>
      <c r="BD379" t="inlineStr">
        <is>
          <t>893408344</t>
        </is>
      </c>
    </row>
    <row r="380">
      <c r="A380" t="inlineStr">
        <is>
          <t>No</t>
        </is>
      </c>
      <c r="B380" t="inlineStr">
        <is>
          <t>RJ506.H9 C65</t>
        </is>
      </c>
      <c r="C380" t="inlineStr">
        <is>
          <t>0                      RJ 0506000H  9                  C  65</t>
        </is>
      </c>
      <c r="D380" t="inlineStr">
        <is>
          <t>Food additives and hyperactive children / C. Keith Conners.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Conners, C. Keith.</t>
        </is>
      </c>
      <c r="L380" t="inlineStr">
        <is>
          <t>New York : Plenum Press, c1980.</t>
        </is>
      </c>
      <c r="M380" t="inlineStr">
        <is>
          <t>1980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RJ </t>
        </is>
      </c>
      <c r="S380" t="n">
        <v>7</v>
      </c>
      <c r="T380" t="n">
        <v>7</v>
      </c>
      <c r="U380" t="inlineStr">
        <is>
          <t>1997-05-01</t>
        </is>
      </c>
      <c r="V380" t="inlineStr">
        <is>
          <t>1997-05-01</t>
        </is>
      </c>
      <c r="W380" t="inlineStr">
        <is>
          <t>1991-11-08</t>
        </is>
      </c>
      <c r="X380" t="inlineStr">
        <is>
          <t>1991-11-08</t>
        </is>
      </c>
      <c r="Y380" t="n">
        <v>631</v>
      </c>
      <c r="Z380" t="n">
        <v>498</v>
      </c>
      <c r="AA380" t="n">
        <v>519</v>
      </c>
      <c r="AB380" t="n">
        <v>5</v>
      </c>
      <c r="AC380" t="n">
        <v>5</v>
      </c>
      <c r="AD380" t="n">
        <v>21</v>
      </c>
      <c r="AE380" t="n">
        <v>22</v>
      </c>
      <c r="AF380" t="n">
        <v>6</v>
      </c>
      <c r="AG380" t="n">
        <v>7</v>
      </c>
      <c r="AH380" t="n">
        <v>5</v>
      </c>
      <c r="AI380" t="n">
        <v>5</v>
      </c>
      <c r="AJ380" t="n">
        <v>12</v>
      </c>
      <c r="AK380" t="n">
        <v>13</v>
      </c>
      <c r="AL380" t="n">
        <v>3</v>
      </c>
      <c r="AM380" t="n">
        <v>3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HYPERLINK("http://catalog.hathitrust.org/Record/000730061","HathiTrust Record")</f>
        <v/>
      </c>
      <c r="AS380">
        <f>HYPERLINK("https://creighton-primo.hosted.exlibrisgroup.com/primo-explore/search?tab=default_tab&amp;search_scope=EVERYTHING&amp;vid=01CRU&amp;lang=en_US&amp;offset=0&amp;query=any,contains,991004904579702656","Catalog Record")</f>
        <v/>
      </c>
      <c r="AT380">
        <f>HYPERLINK("http://www.worldcat.org/oclc/5946283","WorldCat Record")</f>
        <v/>
      </c>
      <c r="AU380" t="inlineStr">
        <is>
          <t>437402:eng</t>
        </is>
      </c>
      <c r="AV380" t="inlineStr">
        <is>
          <t>5946283</t>
        </is>
      </c>
      <c r="AW380" t="inlineStr">
        <is>
          <t>991004904579702656</t>
        </is>
      </c>
      <c r="AX380" t="inlineStr">
        <is>
          <t>991004904579702656</t>
        </is>
      </c>
      <c r="AY380" t="inlineStr">
        <is>
          <t>2257662600002656</t>
        </is>
      </c>
      <c r="AZ380" t="inlineStr">
        <is>
          <t>BOOK</t>
        </is>
      </c>
      <c r="BB380" t="inlineStr">
        <is>
          <t>9780306404009</t>
        </is>
      </c>
      <c r="BC380" t="inlineStr">
        <is>
          <t>32285000821032</t>
        </is>
      </c>
      <c r="BD380" t="inlineStr">
        <is>
          <t>893713185</t>
        </is>
      </c>
    </row>
    <row r="381">
      <c r="A381" t="inlineStr">
        <is>
          <t>No</t>
        </is>
      </c>
      <c r="B381" t="inlineStr">
        <is>
          <t>RJ506.H9 C653 1986</t>
        </is>
      </c>
      <c r="C381" t="inlineStr">
        <is>
          <t>0                      RJ 0506000H  9                  C  653         1986</t>
        </is>
      </c>
      <c r="D381" t="inlineStr">
        <is>
          <t>Hyperkinetic children : a neuropsychosocial approach / C. Keith Conners and Karen C. Wells.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Conners, C. Keith.</t>
        </is>
      </c>
      <c r="L381" t="inlineStr">
        <is>
          <t>Beverly Hills : Sage Publications, c1986.</t>
        </is>
      </c>
      <c r="M381" t="inlineStr">
        <is>
          <t>1986</t>
        </is>
      </c>
      <c r="O381" t="inlineStr">
        <is>
          <t>eng</t>
        </is>
      </c>
      <c r="P381" t="inlineStr">
        <is>
          <t>cau</t>
        </is>
      </c>
      <c r="Q381" t="inlineStr">
        <is>
          <t>Developmental clinical psychology and psychiatry series ; v. 7</t>
        </is>
      </c>
      <c r="R381" t="inlineStr">
        <is>
          <t xml:space="preserve">RJ </t>
        </is>
      </c>
      <c r="S381" t="n">
        <v>10</v>
      </c>
      <c r="T381" t="n">
        <v>10</v>
      </c>
      <c r="U381" t="inlineStr">
        <is>
          <t>2006-03-29</t>
        </is>
      </c>
      <c r="V381" t="inlineStr">
        <is>
          <t>2006-03-29</t>
        </is>
      </c>
      <c r="W381" t="inlineStr">
        <is>
          <t>1990-04-04</t>
        </is>
      </c>
      <c r="X381" t="inlineStr">
        <is>
          <t>1990-04-04</t>
        </is>
      </c>
      <c r="Y381" t="n">
        <v>315</v>
      </c>
      <c r="Z381" t="n">
        <v>253</v>
      </c>
      <c r="AA381" t="n">
        <v>261</v>
      </c>
      <c r="AB381" t="n">
        <v>3</v>
      </c>
      <c r="AC381" t="n">
        <v>3</v>
      </c>
      <c r="AD381" t="n">
        <v>14</v>
      </c>
      <c r="AE381" t="n">
        <v>14</v>
      </c>
      <c r="AF381" t="n">
        <v>5</v>
      </c>
      <c r="AG381" t="n">
        <v>5</v>
      </c>
      <c r="AH381" t="n">
        <v>3</v>
      </c>
      <c r="AI381" t="n">
        <v>3</v>
      </c>
      <c r="AJ381" t="n">
        <v>10</v>
      </c>
      <c r="AK381" t="n">
        <v>10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HYPERLINK("http://catalog.hathitrust.org/Record/000584066","HathiTrust Record")</f>
        <v/>
      </c>
      <c r="AS381">
        <f>HYPERLINK("https://creighton-primo.hosted.exlibrisgroup.com/primo-explore/search?tab=default_tab&amp;search_scope=EVERYTHING&amp;vid=01CRU&amp;lang=en_US&amp;offset=0&amp;query=any,contains,991000704999702656","Catalog Record")</f>
        <v/>
      </c>
      <c r="AT381">
        <f>HYPERLINK("http://www.worldcat.org/oclc/12556510","WorldCat Record")</f>
        <v/>
      </c>
      <c r="AU381" t="inlineStr">
        <is>
          <t>4920790:eng</t>
        </is>
      </c>
      <c r="AV381" t="inlineStr">
        <is>
          <t>12556510</t>
        </is>
      </c>
      <c r="AW381" t="inlineStr">
        <is>
          <t>991000704999702656</t>
        </is>
      </c>
      <c r="AX381" t="inlineStr">
        <is>
          <t>991000704999702656</t>
        </is>
      </c>
      <c r="AY381" t="inlineStr">
        <is>
          <t>2255008150002656</t>
        </is>
      </c>
      <c r="AZ381" t="inlineStr">
        <is>
          <t>BOOK</t>
        </is>
      </c>
      <c r="BB381" t="inlineStr">
        <is>
          <t>9780803922792</t>
        </is>
      </c>
      <c r="BC381" t="inlineStr">
        <is>
          <t>32285000110097</t>
        </is>
      </c>
      <c r="BD381" t="inlineStr">
        <is>
          <t>893696072</t>
        </is>
      </c>
    </row>
    <row r="382">
      <c r="A382" t="inlineStr">
        <is>
          <t>No</t>
        </is>
      </c>
      <c r="B382" t="inlineStr">
        <is>
          <t>RJ506.H9 C66</t>
        </is>
      </c>
      <c r="C382" t="inlineStr">
        <is>
          <t>0                      RJ 0506000H  9                  C  66</t>
        </is>
      </c>
      <c r="D382" t="inlineStr">
        <is>
          <t>Identifying hyperactive children : the medicalization of deviant behavior / Peter Conrad ; foreword by Mark A. Stewart.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Conrad, Peter, 1945-</t>
        </is>
      </c>
      <c r="L382" t="inlineStr">
        <is>
          <t>Lexington, Mass. : Lexington Books, c1976.</t>
        </is>
      </c>
      <c r="M382" t="inlineStr">
        <is>
          <t>1976</t>
        </is>
      </c>
      <c r="O382" t="inlineStr">
        <is>
          <t>eng</t>
        </is>
      </c>
      <c r="P382" t="inlineStr">
        <is>
          <t>mau</t>
        </is>
      </c>
      <c r="R382" t="inlineStr">
        <is>
          <t xml:space="preserve">RJ </t>
        </is>
      </c>
      <c r="S382" t="n">
        <v>10</v>
      </c>
      <c r="T382" t="n">
        <v>10</v>
      </c>
      <c r="U382" t="inlineStr">
        <is>
          <t>1993-11-16</t>
        </is>
      </c>
      <c r="V382" t="inlineStr">
        <is>
          <t>1993-11-16</t>
        </is>
      </c>
      <c r="W382" t="inlineStr">
        <is>
          <t>1991-10-31</t>
        </is>
      </c>
      <c r="X382" t="inlineStr">
        <is>
          <t>1991-10-31</t>
        </is>
      </c>
      <c r="Y382" t="n">
        <v>274</v>
      </c>
      <c r="Z382" t="n">
        <v>215</v>
      </c>
      <c r="AA382" t="n">
        <v>287</v>
      </c>
      <c r="AB382" t="n">
        <v>4</v>
      </c>
      <c r="AC382" t="n">
        <v>4</v>
      </c>
      <c r="AD382" t="n">
        <v>8</v>
      </c>
      <c r="AE382" t="n">
        <v>9</v>
      </c>
      <c r="AF382" t="n">
        <v>2</v>
      </c>
      <c r="AG382" t="n">
        <v>3</v>
      </c>
      <c r="AH382" t="n">
        <v>1</v>
      </c>
      <c r="AI382" t="n">
        <v>1</v>
      </c>
      <c r="AJ382" t="n">
        <v>5</v>
      </c>
      <c r="AK382" t="n">
        <v>5</v>
      </c>
      <c r="AL382" t="n">
        <v>2</v>
      </c>
      <c r="AM382" t="n">
        <v>2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HYPERLINK("https://creighton-primo.hosted.exlibrisgroup.com/primo-explore/search?tab=default_tab&amp;search_scope=EVERYTHING&amp;vid=01CRU&amp;lang=en_US&amp;offset=0&amp;query=any,contains,991003991689702656","Catalog Record")</f>
        <v/>
      </c>
      <c r="AT382">
        <f>HYPERLINK("http://www.worldcat.org/oclc/2047956","WorldCat Record")</f>
        <v/>
      </c>
      <c r="AU382" t="inlineStr">
        <is>
          <t>836650970:eng</t>
        </is>
      </c>
      <c r="AV382" t="inlineStr">
        <is>
          <t>2047956</t>
        </is>
      </c>
      <c r="AW382" t="inlineStr">
        <is>
          <t>991003991689702656</t>
        </is>
      </c>
      <c r="AX382" t="inlineStr">
        <is>
          <t>991003991689702656</t>
        </is>
      </c>
      <c r="AY382" t="inlineStr">
        <is>
          <t>2270686580002656</t>
        </is>
      </c>
      <c r="AZ382" t="inlineStr">
        <is>
          <t>BOOK</t>
        </is>
      </c>
      <c r="BB382" t="inlineStr">
        <is>
          <t>9780669004991</t>
        </is>
      </c>
      <c r="BC382" t="inlineStr">
        <is>
          <t>32285000803188</t>
        </is>
      </c>
      <c r="BD382" t="inlineStr">
        <is>
          <t>893442045</t>
        </is>
      </c>
    </row>
    <row r="383">
      <c r="A383" t="inlineStr">
        <is>
          <t>No</t>
        </is>
      </c>
      <c r="B383" t="inlineStr">
        <is>
          <t>RJ506.H9 F4 1983</t>
        </is>
      </c>
      <c r="C383" t="inlineStr">
        <is>
          <t>0                      RJ 0506000H  9                  F  4           1983</t>
        </is>
      </c>
      <c r="D383" t="inlineStr">
        <is>
          <t>The Feingold handbook.</t>
        </is>
      </c>
      <c r="F383" t="inlineStr">
        <is>
          <t>No</t>
        </is>
      </c>
      <c r="G383" t="inlineStr">
        <is>
          <t>1</t>
        </is>
      </c>
      <c r="H383" t="inlineStr">
        <is>
          <t>Yes</t>
        </is>
      </c>
      <c r="I383" t="inlineStr">
        <is>
          <t>No</t>
        </is>
      </c>
      <c r="J383" t="inlineStr">
        <is>
          <t>0</t>
        </is>
      </c>
      <c r="L383" t="inlineStr">
        <is>
          <t>Alexandria, VA : Feingold Association of the United States, c1983.</t>
        </is>
      </c>
      <c r="M383" t="inlineStr">
        <is>
          <t>1983</t>
        </is>
      </c>
      <c r="N383" t="inlineStr">
        <is>
          <t>2nd ed.</t>
        </is>
      </c>
      <c r="O383" t="inlineStr">
        <is>
          <t>eng</t>
        </is>
      </c>
      <c r="P383" t="inlineStr">
        <is>
          <t>vau</t>
        </is>
      </c>
      <c r="R383" t="inlineStr">
        <is>
          <t xml:space="preserve">RJ </t>
        </is>
      </c>
      <c r="S383" t="n">
        <v>4</v>
      </c>
      <c r="T383" t="n">
        <v>4</v>
      </c>
      <c r="U383" t="inlineStr">
        <is>
          <t>1998-10-27</t>
        </is>
      </c>
      <c r="V383" t="inlineStr">
        <is>
          <t>1998-10-27</t>
        </is>
      </c>
      <c r="W383" t="inlineStr">
        <is>
          <t>1993-03-03</t>
        </is>
      </c>
      <c r="X383" t="inlineStr">
        <is>
          <t>1993-03-03</t>
        </is>
      </c>
      <c r="Y383" t="n">
        <v>261</v>
      </c>
      <c r="Z383" t="n">
        <v>258</v>
      </c>
      <c r="AA383" t="n">
        <v>272</v>
      </c>
      <c r="AB383" t="n">
        <v>4</v>
      </c>
      <c r="AC383" t="n">
        <v>4</v>
      </c>
      <c r="AD383" t="n">
        <v>6</v>
      </c>
      <c r="AE383" t="n">
        <v>6</v>
      </c>
      <c r="AF383" t="n">
        <v>2</v>
      </c>
      <c r="AG383" t="n">
        <v>2</v>
      </c>
      <c r="AH383" t="n">
        <v>0</v>
      </c>
      <c r="AI383" t="n">
        <v>0</v>
      </c>
      <c r="AJ383" t="n">
        <v>2</v>
      </c>
      <c r="AK383" t="n">
        <v>2</v>
      </c>
      <c r="AL383" t="n">
        <v>2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HYPERLINK("https://creighton-primo.hosted.exlibrisgroup.com/primo-explore/search?tab=default_tab&amp;search_scope=EVERYTHING&amp;vid=01CRU&amp;lang=en_US&amp;offset=0&amp;query=any,contains,991001761129702656","Catalog Record")</f>
        <v/>
      </c>
      <c r="AT383">
        <f>HYPERLINK("http://www.worldcat.org/oclc/9954542","WorldCat Record")</f>
        <v/>
      </c>
      <c r="AU383" t="inlineStr">
        <is>
          <t>54600354:eng</t>
        </is>
      </c>
      <c r="AV383" t="inlineStr">
        <is>
          <t>9954542</t>
        </is>
      </c>
      <c r="AW383" t="inlineStr">
        <is>
          <t>991001761129702656</t>
        </is>
      </c>
      <c r="AX383" t="inlineStr">
        <is>
          <t>991001761129702656</t>
        </is>
      </c>
      <c r="AY383" t="inlineStr">
        <is>
          <t>2264453620002656</t>
        </is>
      </c>
      <c r="AZ383" t="inlineStr">
        <is>
          <t>BOOK</t>
        </is>
      </c>
      <c r="BC383" t="inlineStr">
        <is>
          <t>32285001529642</t>
        </is>
      </c>
      <c r="BD383" t="inlineStr">
        <is>
          <t>893885518</t>
        </is>
      </c>
    </row>
    <row r="384">
      <c r="A384" t="inlineStr">
        <is>
          <t>No</t>
        </is>
      </c>
      <c r="B384" t="inlineStr">
        <is>
          <t>RJ506.H9 F7 1987</t>
        </is>
      </c>
      <c r="C384" t="inlineStr">
        <is>
          <t>0                      RJ 0506000H  9                  F  7           1987</t>
        </is>
      </c>
      <c r="D384" t="inlineStr">
        <is>
          <t>Attention deficit disorder and hyperactivity / Ronald J. Friedman and Guy T. Doyal.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Friedman, Ronald J.</t>
        </is>
      </c>
      <c r="L384" t="inlineStr">
        <is>
          <t>Danville, Ill. : The Interstate, c1987.</t>
        </is>
      </c>
      <c r="M384" t="inlineStr">
        <is>
          <t>1987</t>
        </is>
      </c>
      <c r="N384" t="inlineStr">
        <is>
          <t>2d ed.</t>
        </is>
      </c>
      <c r="O384" t="inlineStr">
        <is>
          <t>eng</t>
        </is>
      </c>
      <c r="P384" t="inlineStr">
        <is>
          <t>ilu</t>
        </is>
      </c>
      <c r="R384" t="inlineStr">
        <is>
          <t xml:space="preserve">RJ </t>
        </is>
      </c>
      <c r="S384" t="n">
        <v>36</v>
      </c>
      <c r="T384" t="n">
        <v>36</v>
      </c>
      <c r="U384" t="inlineStr">
        <is>
          <t>2000-02-28</t>
        </is>
      </c>
      <c r="V384" t="inlineStr">
        <is>
          <t>2000-02-28</t>
        </is>
      </c>
      <c r="W384" t="inlineStr">
        <is>
          <t>1990-04-04</t>
        </is>
      </c>
      <c r="X384" t="inlineStr">
        <is>
          <t>1990-04-04</t>
        </is>
      </c>
      <c r="Y384" t="n">
        <v>60</v>
      </c>
      <c r="Z384" t="n">
        <v>52</v>
      </c>
      <c r="AA384" t="n">
        <v>85</v>
      </c>
      <c r="AB384" t="n">
        <v>2</v>
      </c>
      <c r="AC384" t="n">
        <v>3</v>
      </c>
      <c r="AD384" t="n">
        <v>2</v>
      </c>
      <c r="AE384" t="n">
        <v>3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1</v>
      </c>
      <c r="AL384" t="n">
        <v>1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HYPERLINK("https://creighton-primo.hosted.exlibrisgroup.com/primo-explore/search?tab=default_tab&amp;search_scope=EVERYTHING&amp;vid=01CRU&amp;lang=en_US&amp;offset=0&amp;query=any,contains,991001253259702656","Catalog Record")</f>
        <v/>
      </c>
      <c r="AT384">
        <f>HYPERLINK("http://www.worldcat.org/oclc/17687890","WorldCat Record")</f>
        <v/>
      </c>
      <c r="AU384" t="inlineStr">
        <is>
          <t>16002802:eng</t>
        </is>
      </c>
      <c r="AV384" t="inlineStr">
        <is>
          <t>17687890</t>
        </is>
      </c>
      <c r="AW384" t="inlineStr">
        <is>
          <t>991001253259702656</t>
        </is>
      </c>
      <c r="AX384" t="inlineStr">
        <is>
          <t>991001253259702656</t>
        </is>
      </c>
      <c r="AY384" t="inlineStr">
        <is>
          <t>2264220370002656</t>
        </is>
      </c>
      <c r="AZ384" t="inlineStr">
        <is>
          <t>BOOK</t>
        </is>
      </c>
      <c r="BC384" t="inlineStr">
        <is>
          <t>32285000110113</t>
        </is>
      </c>
      <c r="BD384" t="inlineStr">
        <is>
          <t>893522425</t>
        </is>
      </c>
    </row>
    <row r="385">
      <c r="A385" t="inlineStr">
        <is>
          <t>No</t>
        </is>
      </c>
      <c r="B385" t="inlineStr">
        <is>
          <t>RJ506.H9 H96 1977</t>
        </is>
      </c>
      <c r="C385" t="inlineStr">
        <is>
          <t>0                      RJ 0506000H  9                  H  96          1977</t>
        </is>
      </c>
      <c r="D385" t="inlineStr">
        <is>
          <t>The Hyperactive child and stimulant drugs / edited by James J. Bosco and Stanley S. Robin.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Chicago : University of Chicago Press, 1977, c1976.</t>
        </is>
      </c>
      <c r="M385" t="inlineStr">
        <is>
          <t>1977</t>
        </is>
      </c>
      <c r="N385" t="inlineStr">
        <is>
          <t>1st book ed.</t>
        </is>
      </c>
      <c r="O385" t="inlineStr">
        <is>
          <t>eng</t>
        </is>
      </c>
      <c r="P385" t="inlineStr">
        <is>
          <t>ilu</t>
        </is>
      </c>
      <c r="R385" t="inlineStr">
        <is>
          <t xml:space="preserve">RJ </t>
        </is>
      </c>
      <c r="S385" t="n">
        <v>6</v>
      </c>
      <c r="T385" t="n">
        <v>6</v>
      </c>
      <c r="U385" t="inlineStr">
        <is>
          <t>2007-02-25</t>
        </is>
      </c>
      <c r="V385" t="inlineStr">
        <is>
          <t>2007-02-25</t>
        </is>
      </c>
      <c r="W385" t="inlineStr">
        <is>
          <t>1997-09-09</t>
        </is>
      </c>
      <c r="X385" t="inlineStr">
        <is>
          <t>1997-09-09</t>
        </is>
      </c>
      <c r="Y385" t="n">
        <v>313</v>
      </c>
      <c r="Z385" t="n">
        <v>266</v>
      </c>
      <c r="AA385" t="n">
        <v>268</v>
      </c>
      <c r="AB385" t="n">
        <v>3</v>
      </c>
      <c r="AC385" t="n">
        <v>3</v>
      </c>
      <c r="AD385" t="n">
        <v>10</v>
      </c>
      <c r="AE385" t="n">
        <v>10</v>
      </c>
      <c r="AF385" t="n">
        <v>1</v>
      </c>
      <c r="AG385" t="n">
        <v>1</v>
      </c>
      <c r="AH385" t="n">
        <v>2</v>
      </c>
      <c r="AI385" t="n">
        <v>2</v>
      </c>
      <c r="AJ385" t="n">
        <v>8</v>
      </c>
      <c r="AK385" t="n">
        <v>8</v>
      </c>
      <c r="AL385" t="n">
        <v>1</v>
      </c>
      <c r="AM385" t="n">
        <v>1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HYPERLINK("https://creighton-primo.hosted.exlibrisgroup.com/primo-explore/search?tab=default_tab&amp;search_scope=EVERYTHING&amp;vid=01CRU&amp;lang=en_US&amp;offset=0&amp;query=any,contains,991004215139702656","Catalog Record")</f>
        <v/>
      </c>
      <c r="AT385">
        <f>HYPERLINK("http://www.worldcat.org/oclc/2695068","WorldCat Record")</f>
        <v/>
      </c>
      <c r="AU385" t="inlineStr">
        <is>
          <t>355857292:eng</t>
        </is>
      </c>
      <c r="AV385" t="inlineStr">
        <is>
          <t>2695068</t>
        </is>
      </c>
      <c r="AW385" t="inlineStr">
        <is>
          <t>991004215139702656</t>
        </is>
      </c>
      <c r="AX385" t="inlineStr">
        <is>
          <t>991004215139702656</t>
        </is>
      </c>
      <c r="AY385" t="inlineStr">
        <is>
          <t>2264550990002656</t>
        </is>
      </c>
      <c r="AZ385" t="inlineStr">
        <is>
          <t>BOOK</t>
        </is>
      </c>
      <c r="BB385" t="inlineStr">
        <is>
          <t>9780226066615</t>
        </is>
      </c>
      <c r="BC385" t="inlineStr">
        <is>
          <t>32285003168944</t>
        </is>
      </c>
      <c r="BD385" t="inlineStr">
        <is>
          <t>893446086</t>
        </is>
      </c>
    </row>
    <row r="386">
      <c r="A386" t="inlineStr">
        <is>
          <t>No</t>
        </is>
      </c>
      <c r="B386" t="inlineStr">
        <is>
          <t>RJ506.H9 H963</t>
        </is>
      </c>
      <c r="C386" t="inlineStr">
        <is>
          <t>0                      RJ 0506000H  9                  H  963</t>
        </is>
      </c>
      <c r="D386" t="inlineStr">
        <is>
          <t>Hyperactive children : the social ecology of identification and treatment / edited by Carol K. Whalen, Barbara Henker.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New York : Academic Press, 1980.</t>
        </is>
      </c>
      <c r="M386" t="inlineStr">
        <is>
          <t>1980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RJ </t>
        </is>
      </c>
      <c r="S386" t="n">
        <v>25</v>
      </c>
      <c r="T386" t="n">
        <v>25</v>
      </c>
      <c r="U386" t="inlineStr">
        <is>
          <t>2006-11-21</t>
        </is>
      </c>
      <c r="V386" t="inlineStr">
        <is>
          <t>2006-11-21</t>
        </is>
      </c>
      <c r="W386" t="inlineStr">
        <is>
          <t>1990-02-12</t>
        </is>
      </c>
      <c r="X386" t="inlineStr">
        <is>
          <t>1990-02-12</t>
        </is>
      </c>
      <c r="Y386" t="n">
        <v>592</v>
      </c>
      <c r="Z386" t="n">
        <v>445</v>
      </c>
      <c r="AA386" t="n">
        <v>447</v>
      </c>
      <c r="AB386" t="n">
        <v>4</v>
      </c>
      <c r="AC386" t="n">
        <v>4</v>
      </c>
      <c r="AD386" t="n">
        <v>17</v>
      </c>
      <c r="AE386" t="n">
        <v>17</v>
      </c>
      <c r="AF386" t="n">
        <v>6</v>
      </c>
      <c r="AG386" t="n">
        <v>6</v>
      </c>
      <c r="AH386" t="n">
        <v>3</v>
      </c>
      <c r="AI386" t="n">
        <v>3</v>
      </c>
      <c r="AJ386" t="n">
        <v>9</v>
      </c>
      <c r="AK386" t="n">
        <v>9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HYPERLINK("http://catalog.hathitrust.org/Record/000732355","HathiTrust Record")</f>
        <v/>
      </c>
      <c r="AS386">
        <f>HYPERLINK("https://creighton-primo.hosted.exlibrisgroup.com/primo-explore/search?tab=default_tab&amp;search_scope=EVERYTHING&amp;vid=01CRU&amp;lang=en_US&amp;offset=0&amp;query=any,contains,991004911069702656","Catalog Record")</f>
        <v/>
      </c>
      <c r="AT386">
        <f>HYPERLINK("http://www.worldcat.org/oclc/5992215","WorldCat Record")</f>
        <v/>
      </c>
      <c r="AU386" t="inlineStr">
        <is>
          <t>894395923:eng</t>
        </is>
      </c>
      <c r="AV386" t="inlineStr">
        <is>
          <t>5992215</t>
        </is>
      </c>
      <c r="AW386" t="inlineStr">
        <is>
          <t>991004911069702656</t>
        </is>
      </c>
      <c r="AX386" t="inlineStr">
        <is>
          <t>991004911069702656</t>
        </is>
      </c>
      <c r="AY386" t="inlineStr">
        <is>
          <t>2261637910002656</t>
        </is>
      </c>
      <c r="AZ386" t="inlineStr">
        <is>
          <t>BOOK</t>
        </is>
      </c>
      <c r="BB386" t="inlineStr">
        <is>
          <t>9780127459509</t>
        </is>
      </c>
      <c r="BC386" t="inlineStr">
        <is>
          <t>32285000045608</t>
        </is>
      </c>
      <c r="BD386" t="inlineStr">
        <is>
          <t>893446450</t>
        </is>
      </c>
    </row>
    <row r="387">
      <c r="A387" t="inlineStr">
        <is>
          <t>No</t>
        </is>
      </c>
      <c r="B387" t="inlineStr">
        <is>
          <t>RJ506.H9 O44 1984</t>
        </is>
      </c>
      <c r="C387" t="inlineStr">
        <is>
          <t>0                      RJ 0506000H  9                  O  44          1984</t>
        </is>
      </c>
      <c r="D387" t="inlineStr">
        <is>
          <t>Mommy, I can't sit still! : coping with hyperactive and aggressive children / by K. Daniel O'Leary.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O'Leary, K. Daniel, 1940-</t>
        </is>
      </c>
      <c r="L387" t="inlineStr">
        <is>
          <t>[New York] : New Horizon Press, c1984.</t>
        </is>
      </c>
      <c r="M387" t="inlineStr">
        <is>
          <t>1984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RJ </t>
        </is>
      </c>
      <c r="S387" t="n">
        <v>21</v>
      </c>
      <c r="T387" t="n">
        <v>21</v>
      </c>
      <c r="U387" t="inlineStr">
        <is>
          <t>1997-04-10</t>
        </is>
      </c>
      <c r="V387" t="inlineStr">
        <is>
          <t>1997-04-10</t>
        </is>
      </c>
      <c r="W387" t="inlineStr">
        <is>
          <t>1990-04-04</t>
        </is>
      </c>
      <c r="X387" t="inlineStr">
        <is>
          <t>1990-04-04</t>
        </is>
      </c>
      <c r="Y387" t="n">
        <v>315</v>
      </c>
      <c r="Z387" t="n">
        <v>282</v>
      </c>
      <c r="AA387" t="n">
        <v>321</v>
      </c>
      <c r="AB387" t="n">
        <v>2</v>
      </c>
      <c r="AC387" t="n">
        <v>3</v>
      </c>
      <c r="AD387" t="n">
        <v>1</v>
      </c>
      <c r="AE387" t="n">
        <v>2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1</v>
      </c>
      <c r="AL387" t="n">
        <v>0</v>
      </c>
      <c r="AM387" t="n">
        <v>1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HYPERLINK("http://catalog.hathitrust.org/Record/000121347","HathiTrust Record")</f>
        <v/>
      </c>
      <c r="AS387">
        <f>HYPERLINK("https://creighton-primo.hosted.exlibrisgroup.com/primo-explore/search?tab=default_tab&amp;search_scope=EVERYTHING&amp;vid=01CRU&amp;lang=en_US&amp;offset=0&amp;query=any,contains,991000367149702656","Catalog Record")</f>
        <v/>
      </c>
      <c r="AT387">
        <f>HYPERLINK("http://www.worldcat.org/oclc/10404131","WorldCat Record")</f>
        <v/>
      </c>
      <c r="AU387" t="inlineStr">
        <is>
          <t>2891040:eng</t>
        </is>
      </c>
      <c r="AV387" t="inlineStr">
        <is>
          <t>10404131</t>
        </is>
      </c>
      <c r="AW387" t="inlineStr">
        <is>
          <t>991000367149702656</t>
        </is>
      </c>
      <c r="AX387" t="inlineStr">
        <is>
          <t>991000367149702656</t>
        </is>
      </c>
      <c r="AY387" t="inlineStr">
        <is>
          <t>2270010090002656</t>
        </is>
      </c>
      <c r="AZ387" t="inlineStr">
        <is>
          <t>BOOK</t>
        </is>
      </c>
      <c r="BB387" t="inlineStr">
        <is>
          <t>9780882820002</t>
        </is>
      </c>
      <c r="BC387" t="inlineStr">
        <is>
          <t>32285000110105</t>
        </is>
      </c>
      <c r="BD387" t="inlineStr">
        <is>
          <t>893896807</t>
        </is>
      </c>
    </row>
    <row r="388">
      <c r="A388" t="inlineStr">
        <is>
          <t>No</t>
        </is>
      </c>
      <c r="B388" t="inlineStr">
        <is>
          <t>RJ506.H9 P74</t>
        </is>
      </c>
      <c r="C388" t="inlineStr">
        <is>
          <t>0                      RJ 0506000H  9                  P  74</t>
        </is>
      </c>
      <c r="D388" t="inlineStr">
        <is>
          <t>Principles and techniques of intervention with hyperactive children / edited by Marvin J. Fine.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Springfield, Ill. : Thomas, c1977.</t>
        </is>
      </c>
      <c r="M388" t="inlineStr">
        <is>
          <t>1977</t>
        </is>
      </c>
      <c r="O388" t="inlineStr">
        <is>
          <t>eng</t>
        </is>
      </c>
      <c r="P388" t="inlineStr">
        <is>
          <t>ilu</t>
        </is>
      </c>
      <c r="R388" t="inlineStr">
        <is>
          <t xml:space="preserve">RJ </t>
        </is>
      </c>
      <c r="S388" t="n">
        <v>9</v>
      </c>
      <c r="T388" t="n">
        <v>9</v>
      </c>
      <c r="U388" t="inlineStr">
        <is>
          <t>1997-05-01</t>
        </is>
      </c>
      <c r="V388" t="inlineStr">
        <is>
          <t>1997-05-01</t>
        </is>
      </c>
      <c r="W388" t="inlineStr">
        <is>
          <t>1992-12-11</t>
        </is>
      </c>
      <c r="X388" t="inlineStr">
        <is>
          <t>1992-12-11</t>
        </is>
      </c>
      <c r="Y388" t="n">
        <v>336</v>
      </c>
      <c r="Z388" t="n">
        <v>275</v>
      </c>
      <c r="AA388" t="n">
        <v>281</v>
      </c>
      <c r="AB388" t="n">
        <v>3</v>
      </c>
      <c r="AC388" t="n">
        <v>3</v>
      </c>
      <c r="AD388" t="n">
        <v>6</v>
      </c>
      <c r="AE388" t="n">
        <v>6</v>
      </c>
      <c r="AF388" t="n">
        <v>2</v>
      </c>
      <c r="AG388" t="n">
        <v>2</v>
      </c>
      <c r="AH388" t="n">
        <v>1</v>
      </c>
      <c r="AI388" t="n">
        <v>1</v>
      </c>
      <c r="AJ388" t="n">
        <v>5</v>
      </c>
      <c r="AK388" t="n">
        <v>5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HYPERLINK("http://catalog.hathitrust.org/Record/007469876","HathiTrust Record")</f>
        <v/>
      </c>
      <c r="AS388">
        <f>HYPERLINK("https://creighton-primo.hosted.exlibrisgroup.com/primo-explore/search?tab=default_tab&amp;search_scope=EVERYTHING&amp;vid=01CRU&amp;lang=en_US&amp;offset=0&amp;query=any,contains,991004320919702656","Catalog Record")</f>
        <v/>
      </c>
      <c r="AT388">
        <f>HYPERLINK("http://www.worldcat.org/oclc/3017798","WorldCat Record")</f>
        <v/>
      </c>
      <c r="AU388" t="inlineStr">
        <is>
          <t>7156240:eng</t>
        </is>
      </c>
      <c r="AV388" t="inlineStr">
        <is>
          <t>3017798</t>
        </is>
      </c>
      <c r="AW388" t="inlineStr">
        <is>
          <t>991004320919702656</t>
        </is>
      </c>
      <c r="AX388" t="inlineStr">
        <is>
          <t>991004320919702656</t>
        </is>
      </c>
      <c r="AY388" t="inlineStr">
        <is>
          <t>2269987240002656</t>
        </is>
      </c>
      <c r="AZ388" t="inlineStr">
        <is>
          <t>BOOK</t>
        </is>
      </c>
      <c r="BB388" t="inlineStr">
        <is>
          <t>9780398035709</t>
        </is>
      </c>
      <c r="BC388" t="inlineStr">
        <is>
          <t>32285001440550</t>
        </is>
      </c>
      <c r="BD388" t="inlineStr">
        <is>
          <t>893894850</t>
        </is>
      </c>
    </row>
    <row r="389">
      <c r="A389" t="inlineStr">
        <is>
          <t>No</t>
        </is>
      </c>
      <c r="B389" t="inlineStr">
        <is>
          <t>RJ506.H9 R67</t>
        </is>
      </c>
      <c r="C389" t="inlineStr">
        <is>
          <t>0                      RJ 0506000H  9                  R  67</t>
        </is>
      </c>
      <c r="D389" t="inlineStr">
        <is>
          <t>Hyperactivity : research, theory, and action / Dorothea M. Ross, Sheila XXX A. Ross.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Ross, Dorothea M.</t>
        </is>
      </c>
      <c r="L389" t="inlineStr">
        <is>
          <t>New York : Wiley, c1976.</t>
        </is>
      </c>
      <c r="M389" t="inlineStr">
        <is>
          <t>1976</t>
        </is>
      </c>
      <c r="O389" t="inlineStr">
        <is>
          <t>eng</t>
        </is>
      </c>
      <c r="P389" t="inlineStr">
        <is>
          <t>nyu</t>
        </is>
      </c>
      <c r="Q389" t="inlineStr">
        <is>
          <t>Wiley series on personality processes</t>
        </is>
      </c>
      <c r="R389" t="inlineStr">
        <is>
          <t xml:space="preserve">RJ </t>
        </is>
      </c>
      <c r="S389" t="n">
        <v>15</v>
      </c>
      <c r="T389" t="n">
        <v>15</v>
      </c>
      <c r="U389" t="inlineStr">
        <is>
          <t>2006-11-21</t>
        </is>
      </c>
      <c r="V389" t="inlineStr">
        <is>
          <t>2006-11-21</t>
        </is>
      </c>
      <c r="W389" t="inlineStr">
        <is>
          <t>1991-10-31</t>
        </is>
      </c>
      <c r="X389" t="inlineStr">
        <is>
          <t>1991-10-31</t>
        </is>
      </c>
      <c r="Y389" t="n">
        <v>489</v>
      </c>
      <c r="Z389" t="n">
        <v>381</v>
      </c>
      <c r="AA389" t="n">
        <v>390</v>
      </c>
      <c r="AB389" t="n">
        <v>4</v>
      </c>
      <c r="AC389" t="n">
        <v>4</v>
      </c>
      <c r="AD389" t="n">
        <v>14</v>
      </c>
      <c r="AE389" t="n">
        <v>14</v>
      </c>
      <c r="AF389" t="n">
        <v>6</v>
      </c>
      <c r="AG389" t="n">
        <v>6</v>
      </c>
      <c r="AH389" t="n">
        <v>3</v>
      </c>
      <c r="AI389" t="n">
        <v>3</v>
      </c>
      <c r="AJ389" t="n">
        <v>9</v>
      </c>
      <c r="AK389" t="n">
        <v>9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HYPERLINK("http://catalog.hathitrust.org/Record/000702795","HathiTrust Record")</f>
        <v/>
      </c>
      <c r="AS389">
        <f>HYPERLINK("https://creighton-primo.hosted.exlibrisgroup.com/primo-explore/search?tab=default_tab&amp;search_scope=EVERYTHING&amp;vid=01CRU&amp;lang=en_US&amp;offset=0&amp;query=any,contains,991004002189702656","Catalog Record")</f>
        <v/>
      </c>
      <c r="AT389">
        <f>HYPERLINK("http://www.worldcat.org/oclc/2074404","WorldCat Record")</f>
        <v/>
      </c>
      <c r="AU389" t="inlineStr">
        <is>
          <t>197763571:eng</t>
        </is>
      </c>
      <c r="AV389" t="inlineStr">
        <is>
          <t>2074404</t>
        </is>
      </c>
      <c r="AW389" t="inlineStr">
        <is>
          <t>991004002189702656</t>
        </is>
      </c>
      <c r="AX389" t="inlineStr">
        <is>
          <t>991004002189702656</t>
        </is>
      </c>
      <c r="AY389" t="inlineStr">
        <is>
          <t>2263914050002656</t>
        </is>
      </c>
      <c r="AZ389" t="inlineStr">
        <is>
          <t>BOOK</t>
        </is>
      </c>
      <c r="BB389" t="inlineStr">
        <is>
          <t>9780471736783</t>
        </is>
      </c>
      <c r="BC389" t="inlineStr">
        <is>
          <t>32285000803196</t>
        </is>
      </c>
      <c r="BD389" t="inlineStr">
        <is>
          <t>893888207</t>
        </is>
      </c>
    </row>
    <row r="390">
      <c r="A390" t="inlineStr">
        <is>
          <t>No</t>
        </is>
      </c>
      <c r="B390" t="inlineStr">
        <is>
          <t>RJ506.H9 S24</t>
        </is>
      </c>
      <c r="C390" t="inlineStr">
        <is>
          <t>0                      RJ 0506000H  9                  S  24</t>
        </is>
      </c>
      <c r="D390" t="inlineStr">
        <is>
          <t>Hyperactive children : diagnosis and management / Daniel J. Safer and Richard P. Allen.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Safer, Daniel J.</t>
        </is>
      </c>
      <c r="L390" t="inlineStr">
        <is>
          <t>Baltimore : University Park Press, c1976.</t>
        </is>
      </c>
      <c r="M390" t="inlineStr">
        <is>
          <t>1976</t>
        </is>
      </c>
      <c r="O390" t="inlineStr">
        <is>
          <t>eng</t>
        </is>
      </c>
      <c r="P390" t="inlineStr">
        <is>
          <t>mdu</t>
        </is>
      </c>
      <c r="R390" t="inlineStr">
        <is>
          <t xml:space="preserve">RJ </t>
        </is>
      </c>
      <c r="S390" t="n">
        <v>11</v>
      </c>
      <c r="T390" t="n">
        <v>11</v>
      </c>
      <c r="U390" t="inlineStr">
        <is>
          <t>1996-04-23</t>
        </is>
      </c>
      <c r="V390" t="inlineStr">
        <is>
          <t>1996-04-23</t>
        </is>
      </c>
      <c r="W390" t="inlineStr">
        <is>
          <t>1991-11-19</t>
        </is>
      </c>
      <c r="X390" t="inlineStr">
        <is>
          <t>1991-11-19</t>
        </is>
      </c>
      <c r="Y390" t="n">
        <v>729</v>
      </c>
      <c r="Z390" t="n">
        <v>597</v>
      </c>
      <c r="AA390" t="n">
        <v>600</v>
      </c>
      <c r="AB390" t="n">
        <v>9</v>
      </c>
      <c r="AC390" t="n">
        <v>9</v>
      </c>
      <c r="AD390" t="n">
        <v>29</v>
      </c>
      <c r="AE390" t="n">
        <v>29</v>
      </c>
      <c r="AF390" t="n">
        <v>11</v>
      </c>
      <c r="AG390" t="n">
        <v>11</v>
      </c>
      <c r="AH390" t="n">
        <v>7</v>
      </c>
      <c r="AI390" t="n">
        <v>7</v>
      </c>
      <c r="AJ390" t="n">
        <v>13</v>
      </c>
      <c r="AK390" t="n">
        <v>13</v>
      </c>
      <c r="AL390" t="n">
        <v>6</v>
      </c>
      <c r="AM390" t="n">
        <v>6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HYPERLINK("http://catalog.hathitrust.org/Record/000707302","HathiTrust Record")</f>
        <v/>
      </c>
      <c r="AS390">
        <f>HYPERLINK("https://creighton-primo.hosted.exlibrisgroup.com/primo-explore/search?tab=default_tab&amp;search_scope=EVERYTHING&amp;vid=01CRU&amp;lang=en_US&amp;offset=0&amp;query=any,contains,991004014489702656","Catalog Record")</f>
        <v/>
      </c>
      <c r="AT390">
        <f>HYPERLINK("http://www.worldcat.org/oclc/2103163","WorldCat Record")</f>
        <v/>
      </c>
      <c r="AU390" t="inlineStr">
        <is>
          <t>181558:eng</t>
        </is>
      </c>
      <c r="AV390" t="inlineStr">
        <is>
          <t>2103163</t>
        </is>
      </c>
      <c r="AW390" t="inlineStr">
        <is>
          <t>991004014489702656</t>
        </is>
      </c>
      <c r="AX390" t="inlineStr">
        <is>
          <t>991004014489702656</t>
        </is>
      </c>
      <c r="AY390" t="inlineStr">
        <is>
          <t>2269987830002656</t>
        </is>
      </c>
      <c r="AZ390" t="inlineStr">
        <is>
          <t>BOOK</t>
        </is>
      </c>
      <c r="BB390" t="inlineStr">
        <is>
          <t>9780839107576</t>
        </is>
      </c>
      <c r="BC390" t="inlineStr">
        <is>
          <t>32285000821024</t>
        </is>
      </c>
      <c r="BD390" t="inlineStr">
        <is>
          <t>893806546</t>
        </is>
      </c>
    </row>
    <row r="391">
      <c r="A391" t="inlineStr">
        <is>
          <t>No</t>
        </is>
      </c>
      <c r="B391" t="inlineStr">
        <is>
          <t>RJ506.H9 S73</t>
        </is>
      </c>
      <c r="C391" t="inlineStr">
        <is>
          <t>0                      RJ 0506000H  9                  S  73</t>
        </is>
      </c>
      <c r="D391" t="inlineStr">
        <is>
          <t>Raising a hyperactive child / [by] Mark A. Stewart and Sally Wendkos Olds.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Stewart, Mark A.</t>
        </is>
      </c>
      <c r="L391" t="inlineStr">
        <is>
          <t>New York : Harper &amp; Row, [1973]</t>
        </is>
      </c>
      <c r="M391" t="inlineStr">
        <is>
          <t>1973</t>
        </is>
      </c>
      <c r="N391" t="inlineStr">
        <is>
          <t>[1st ed.]</t>
        </is>
      </c>
      <c r="O391" t="inlineStr">
        <is>
          <t>eng</t>
        </is>
      </c>
      <c r="P391" t="inlineStr">
        <is>
          <t>nyu</t>
        </is>
      </c>
      <c r="R391" t="inlineStr">
        <is>
          <t xml:space="preserve">RJ </t>
        </is>
      </c>
      <c r="S391" t="n">
        <v>3</v>
      </c>
      <c r="T391" t="n">
        <v>3</v>
      </c>
      <c r="U391" t="inlineStr">
        <is>
          <t>1992-04-04</t>
        </is>
      </c>
      <c r="V391" t="inlineStr">
        <is>
          <t>1992-04-04</t>
        </is>
      </c>
      <c r="W391" t="inlineStr">
        <is>
          <t>1991-10-31</t>
        </is>
      </c>
      <c r="X391" t="inlineStr">
        <is>
          <t>1991-10-31</t>
        </is>
      </c>
      <c r="Y391" t="n">
        <v>619</v>
      </c>
      <c r="Z391" t="n">
        <v>548</v>
      </c>
      <c r="AA391" t="n">
        <v>554</v>
      </c>
      <c r="AB391" t="n">
        <v>7</v>
      </c>
      <c r="AC391" t="n">
        <v>7</v>
      </c>
      <c r="AD391" t="n">
        <v>9</v>
      </c>
      <c r="AE391" t="n">
        <v>9</v>
      </c>
      <c r="AF391" t="n">
        <v>1</v>
      </c>
      <c r="AG391" t="n">
        <v>1</v>
      </c>
      <c r="AH391" t="n">
        <v>1</v>
      </c>
      <c r="AI391" t="n">
        <v>1</v>
      </c>
      <c r="AJ391" t="n">
        <v>5</v>
      </c>
      <c r="AK391" t="n">
        <v>5</v>
      </c>
      <c r="AL391" t="n">
        <v>3</v>
      </c>
      <c r="AM391" t="n">
        <v>3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HYPERLINK("http://catalog.hathitrust.org/Record/001578997","HathiTrust Record")</f>
        <v/>
      </c>
      <c r="AS391">
        <f>HYPERLINK("https://creighton-primo.hosted.exlibrisgroup.com/primo-explore/search?tab=default_tab&amp;search_scope=EVERYTHING&amp;vid=01CRU&amp;lang=en_US&amp;offset=0&amp;query=any,contains,991003049069702656","Catalog Record")</f>
        <v/>
      </c>
      <c r="AT391">
        <f>HYPERLINK("http://www.worldcat.org/oclc/609280","WorldCat Record")</f>
        <v/>
      </c>
      <c r="AU391" t="inlineStr">
        <is>
          <t>402540:eng</t>
        </is>
      </c>
      <c r="AV391" t="inlineStr">
        <is>
          <t>609280</t>
        </is>
      </c>
      <c r="AW391" t="inlineStr">
        <is>
          <t>991003049069702656</t>
        </is>
      </c>
      <c r="AX391" t="inlineStr">
        <is>
          <t>991003049069702656</t>
        </is>
      </c>
      <c r="AY391" t="inlineStr">
        <is>
          <t>2254798950002656</t>
        </is>
      </c>
      <c r="AZ391" t="inlineStr">
        <is>
          <t>BOOK</t>
        </is>
      </c>
      <c r="BB391" t="inlineStr">
        <is>
          <t>9780060141219</t>
        </is>
      </c>
      <c r="BC391" t="inlineStr">
        <is>
          <t>32285000803204</t>
        </is>
      </c>
      <c r="BD391" t="inlineStr">
        <is>
          <t>893592140</t>
        </is>
      </c>
    </row>
    <row r="392">
      <c r="A392" t="inlineStr">
        <is>
          <t>No</t>
        </is>
      </c>
      <c r="B392" t="inlineStr">
        <is>
          <t>RJ506.H9 W44 1986</t>
        </is>
      </c>
      <c r="C392" t="inlineStr">
        <is>
          <t>0                      RJ 0506000H  9                  W  44          1986</t>
        </is>
      </c>
      <c r="D392" t="inlineStr">
        <is>
          <t>Hyperactive children grown up : empirical findings and theoretical considerations / Gabrielle Weiss, Lily Trokenberg Hechtman.</t>
        </is>
      </c>
      <c r="F392" t="inlineStr">
        <is>
          <t>No</t>
        </is>
      </c>
      <c r="G392" t="inlineStr">
        <is>
          <t>1</t>
        </is>
      </c>
      <c r="H392" t="inlineStr">
        <is>
          <t>Yes</t>
        </is>
      </c>
      <c r="I392" t="inlineStr">
        <is>
          <t>No</t>
        </is>
      </c>
      <c r="J392" t="inlineStr">
        <is>
          <t>0</t>
        </is>
      </c>
      <c r="K392" t="inlineStr">
        <is>
          <t>Weiss, Gabrielle.</t>
        </is>
      </c>
      <c r="L392" t="inlineStr">
        <is>
          <t>New York : Guilford Press, c1986.</t>
        </is>
      </c>
      <c r="M392" t="inlineStr">
        <is>
          <t>1986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RJ </t>
        </is>
      </c>
      <c r="S392" t="n">
        <v>29</v>
      </c>
      <c r="T392" t="n">
        <v>29</v>
      </c>
      <c r="U392" t="inlineStr">
        <is>
          <t>1999-03-05</t>
        </is>
      </c>
      <c r="V392" t="inlineStr">
        <is>
          <t>1999-03-05</t>
        </is>
      </c>
      <c r="W392" t="inlineStr">
        <is>
          <t>1990-02-12</t>
        </is>
      </c>
      <c r="X392" t="inlineStr">
        <is>
          <t>1990-02-12</t>
        </is>
      </c>
      <c r="Y392" t="n">
        <v>466</v>
      </c>
      <c r="Z392" t="n">
        <v>398</v>
      </c>
      <c r="AA392" t="n">
        <v>399</v>
      </c>
      <c r="AB392" t="n">
        <v>3</v>
      </c>
      <c r="AC392" t="n">
        <v>3</v>
      </c>
      <c r="AD392" t="n">
        <v>14</v>
      </c>
      <c r="AE392" t="n">
        <v>14</v>
      </c>
      <c r="AF392" t="n">
        <v>4</v>
      </c>
      <c r="AG392" t="n">
        <v>4</v>
      </c>
      <c r="AH392" t="n">
        <v>4</v>
      </c>
      <c r="AI392" t="n">
        <v>4</v>
      </c>
      <c r="AJ392" t="n">
        <v>9</v>
      </c>
      <c r="AK392" t="n">
        <v>9</v>
      </c>
      <c r="AL392" t="n">
        <v>0</v>
      </c>
      <c r="AM392" t="n">
        <v>0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HYPERLINK("https://creighton-primo.hosted.exlibrisgroup.com/primo-explore/search?tab=default_tab&amp;search_scope=EVERYTHING&amp;vid=01CRU&amp;lang=en_US&amp;offset=0&amp;query=any,contains,991000779229702656","Catalog Record")</f>
        <v/>
      </c>
      <c r="AT392">
        <f>HYPERLINK("http://www.worldcat.org/oclc/13093927","WorldCat Record")</f>
        <v/>
      </c>
      <c r="AU392" t="inlineStr">
        <is>
          <t>201220277:eng</t>
        </is>
      </c>
      <c r="AV392" t="inlineStr">
        <is>
          <t>13093927</t>
        </is>
      </c>
      <c r="AW392" t="inlineStr">
        <is>
          <t>991000779229702656</t>
        </is>
      </c>
      <c r="AX392" t="inlineStr">
        <is>
          <t>991000779229702656</t>
        </is>
      </c>
      <c r="AY392" t="inlineStr">
        <is>
          <t>2269852930002656</t>
        </is>
      </c>
      <c r="AZ392" t="inlineStr">
        <is>
          <t>BOOK</t>
        </is>
      </c>
      <c r="BB392" t="inlineStr">
        <is>
          <t>9780898626612</t>
        </is>
      </c>
      <c r="BC392" t="inlineStr">
        <is>
          <t>32285000045616</t>
        </is>
      </c>
      <c r="BD392" t="inlineStr">
        <is>
          <t>893784523</t>
        </is>
      </c>
    </row>
    <row r="393">
      <c r="A393" t="inlineStr">
        <is>
          <t>No</t>
        </is>
      </c>
      <c r="B393" t="inlineStr">
        <is>
          <t>RJ506.H9 W45 1973</t>
        </is>
      </c>
      <c r="C393" t="inlineStr">
        <is>
          <t>0                      RJ 0506000H  9                  W  45          1973</t>
        </is>
      </c>
      <c r="D393" t="inlineStr">
        <is>
          <t>The hyperactive child : a handbook for parents / by Paul H. Wender.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Wender, Paul H., 1934-2016.</t>
        </is>
      </c>
      <c r="L393" t="inlineStr">
        <is>
          <t>New York : Crown Publishers, 1973.</t>
        </is>
      </c>
      <c r="M393" t="inlineStr">
        <is>
          <t>1973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RJ </t>
        </is>
      </c>
      <c r="S393" t="n">
        <v>16</v>
      </c>
      <c r="T393" t="n">
        <v>16</v>
      </c>
      <c r="U393" t="inlineStr">
        <is>
          <t>2001-10-25</t>
        </is>
      </c>
      <c r="V393" t="inlineStr">
        <is>
          <t>2001-10-25</t>
        </is>
      </c>
      <c r="W393" t="inlineStr">
        <is>
          <t>1991-10-28</t>
        </is>
      </c>
      <c r="X393" t="inlineStr">
        <is>
          <t>1991-10-28</t>
        </is>
      </c>
      <c r="Y393" t="n">
        <v>406</v>
      </c>
      <c r="Z393" t="n">
        <v>358</v>
      </c>
      <c r="AA393" t="n">
        <v>372</v>
      </c>
      <c r="AB393" t="n">
        <v>7</v>
      </c>
      <c r="AC393" t="n">
        <v>7</v>
      </c>
      <c r="AD393" t="n">
        <v>6</v>
      </c>
      <c r="AE393" t="n">
        <v>7</v>
      </c>
      <c r="AF393" t="n">
        <v>2</v>
      </c>
      <c r="AG393" t="n">
        <v>2</v>
      </c>
      <c r="AH393" t="n">
        <v>1</v>
      </c>
      <c r="AI393" t="n">
        <v>2</v>
      </c>
      <c r="AJ393" t="n">
        <v>1</v>
      </c>
      <c r="AK393" t="n">
        <v>1</v>
      </c>
      <c r="AL393" t="n">
        <v>3</v>
      </c>
      <c r="AM393" t="n">
        <v>3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HYPERLINK("http://catalog.hathitrust.org/Record/000836530","HathiTrust Record")</f>
        <v/>
      </c>
      <c r="AS393">
        <f>HYPERLINK("https://creighton-primo.hosted.exlibrisgroup.com/primo-explore/search?tab=default_tab&amp;search_scope=EVERYTHING&amp;vid=01CRU&amp;lang=en_US&amp;offset=0&amp;query=any,contains,991003090409702656","Catalog Record")</f>
        <v/>
      </c>
      <c r="AT393">
        <f>HYPERLINK("http://www.worldcat.org/oclc/640499","WorldCat Record")</f>
        <v/>
      </c>
      <c r="AU393" t="inlineStr">
        <is>
          <t>196536001:eng</t>
        </is>
      </c>
      <c r="AV393" t="inlineStr">
        <is>
          <t>640499</t>
        </is>
      </c>
      <c r="AW393" t="inlineStr">
        <is>
          <t>991003090409702656</t>
        </is>
      </c>
      <c r="AX393" t="inlineStr">
        <is>
          <t>991003090409702656</t>
        </is>
      </c>
      <c r="AY393" t="inlineStr">
        <is>
          <t>2263359700002656</t>
        </is>
      </c>
      <c r="AZ393" t="inlineStr">
        <is>
          <t>BOOK</t>
        </is>
      </c>
      <c r="BB393" t="inlineStr">
        <is>
          <t>9780517503522</t>
        </is>
      </c>
      <c r="BC393" t="inlineStr">
        <is>
          <t>32285000802164</t>
        </is>
      </c>
      <c r="BD393" t="inlineStr">
        <is>
          <t>893686184</t>
        </is>
      </c>
    </row>
    <row r="394">
      <c r="A394" t="inlineStr">
        <is>
          <t>No</t>
        </is>
      </c>
      <c r="B394" t="inlineStr">
        <is>
          <t>RJ506.J88 C455 2003</t>
        </is>
      </c>
      <c r="C394" t="inlineStr">
        <is>
          <t>0                      RJ 0506000J  88                 C  455         2003</t>
        </is>
      </c>
      <c r="D394" t="inlineStr">
        <is>
          <t>Treating chronic juvenile offenders : advances made through the Oregon multidimensional treatment foster care model / Patricia Chamberlain.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Chamberlain, Patricia.</t>
        </is>
      </c>
      <c r="L394" t="inlineStr">
        <is>
          <t>Washington, DC : American Psychological Association, 2003.</t>
        </is>
      </c>
      <c r="M394" t="inlineStr">
        <is>
          <t>2003</t>
        </is>
      </c>
      <c r="N394" t="inlineStr">
        <is>
          <t>1st ed.</t>
        </is>
      </c>
      <c r="O394" t="inlineStr">
        <is>
          <t>eng</t>
        </is>
      </c>
      <c r="P394" t="inlineStr">
        <is>
          <t>dcu</t>
        </is>
      </c>
      <c r="Q394" t="inlineStr">
        <is>
          <t>Law and public policy</t>
        </is>
      </c>
      <c r="R394" t="inlineStr">
        <is>
          <t xml:space="preserve">RJ </t>
        </is>
      </c>
      <c r="S394" t="n">
        <v>5</v>
      </c>
      <c r="T394" t="n">
        <v>5</v>
      </c>
      <c r="U394" t="inlineStr">
        <is>
          <t>2007-02-28</t>
        </is>
      </c>
      <c r="V394" t="inlineStr">
        <is>
          <t>2007-02-28</t>
        </is>
      </c>
      <c r="W394" t="inlineStr">
        <is>
          <t>2003-04-24</t>
        </is>
      </c>
      <c r="X394" t="inlineStr">
        <is>
          <t>2003-04-24</t>
        </is>
      </c>
      <c r="Y394" t="n">
        <v>332</v>
      </c>
      <c r="Z394" t="n">
        <v>279</v>
      </c>
      <c r="AA394" t="n">
        <v>356</v>
      </c>
      <c r="AB394" t="n">
        <v>4</v>
      </c>
      <c r="AC394" t="n">
        <v>5</v>
      </c>
      <c r="AD394" t="n">
        <v>10</v>
      </c>
      <c r="AE394" t="n">
        <v>17</v>
      </c>
      <c r="AF394" t="n">
        <v>3</v>
      </c>
      <c r="AG394" t="n">
        <v>5</v>
      </c>
      <c r="AH394" t="n">
        <v>3</v>
      </c>
      <c r="AI394" t="n">
        <v>3</v>
      </c>
      <c r="AJ394" t="n">
        <v>3</v>
      </c>
      <c r="AK394" t="n">
        <v>7</v>
      </c>
      <c r="AL394" t="n">
        <v>3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HYPERLINK("https://creighton-primo.hosted.exlibrisgroup.com/primo-explore/search?tab=default_tab&amp;search_scope=EVERYTHING&amp;vid=01CRU&amp;lang=en_US&amp;offset=0&amp;query=any,contains,991003979899702656","Catalog Record")</f>
        <v/>
      </c>
      <c r="AT394">
        <f>HYPERLINK("http://www.worldcat.org/oclc/51566391","WorldCat Record")</f>
        <v/>
      </c>
      <c r="AU394" t="inlineStr">
        <is>
          <t>837145082:eng</t>
        </is>
      </c>
      <c r="AV394" t="inlineStr">
        <is>
          <t>51566391</t>
        </is>
      </c>
      <c r="AW394" t="inlineStr">
        <is>
          <t>991003979899702656</t>
        </is>
      </c>
      <c r="AX394" t="inlineStr">
        <is>
          <t>991003979899702656</t>
        </is>
      </c>
      <c r="AY394" t="inlineStr">
        <is>
          <t>2263351710002656</t>
        </is>
      </c>
      <c r="AZ394" t="inlineStr">
        <is>
          <t>BOOK</t>
        </is>
      </c>
      <c r="BB394" t="inlineStr">
        <is>
          <t>9781557989963</t>
        </is>
      </c>
      <c r="BC394" t="inlineStr">
        <is>
          <t>32285004743844</t>
        </is>
      </c>
      <c r="BD394" t="inlineStr">
        <is>
          <t>893888182</t>
        </is>
      </c>
    </row>
    <row r="395">
      <c r="A395" t="inlineStr">
        <is>
          <t>No</t>
        </is>
      </c>
      <c r="B395" t="inlineStr">
        <is>
          <t>RJ506.J88 G75 2004</t>
        </is>
      </c>
      <c r="C395" t="inlineStr">
        <is>
          <t>0                      RJ 0506000J  88                 G  75          2004</t>
        </is>
      </c>
      <c r="D395" t="inlineStr">
        <is>
          <t>Double jeopardy : adolescent offenders with mental disorders / Thomas Grisso ; foreword by Franklin E. Zimring.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Grisso, Thomas.</t>
        </is>
      </c>
      <c r="L395" t="inlineStr">
        <is>
          <t>Chicago : University of Chicago Press, 2004.</t>
        </is>
      </c>
      <c r="M395" t="inlineStr">
        <is>
          <t>2004</t>
        </is>
      </c>
      <c r="O395" t="inlineStr">
        <is>
          <t>eng</t>
        </is>
      </c>
      <c r="P395" t="inlineStr">
        <is>
          <t>ilu</t>
        </is>
      </c>
      <c r="Q395" t="inlineStr">
        <is>
          <t>Adolescent development and legal policy</t>
        </is>
      </c>
      <c r="R395" t="inlineStr">
        <is>
          <t xml:space="preserve">RJ </t>
        </is>
      </c>
      <c r="S395" t="n">
        <v>1</v>
      </c>
      <c r="T395" t="n">
        <v>1</v>
      </c>
      <c r="U395" t="inlineStr">
        <is>
          <t>2005-03-17</t>
        </is>
      </c>
      <c r="V395" t="inlineStr">
        <is>
          <t>2005-03-17</t>
        </is>
      </c>
      <c r="W395" t="inlineStr">
        <is>
          <t>2005-03-17</t>
        </is>
      </c>
      <c r="X395" t="inlineStr">
        <is>
          <t>2005-03-17</t>
        </is>
      </c>
      <c r="Y395" t="n">
        <v>691</v>
      </c>
      <c r="Z395" t="n">
        <v>629</v>
      </c>
      <c r="AA395" t="n">
        <v>663</v>
      </c>
      <c r="AB395" t="n">
        <v>2</v>
      </c>
      <c r="AC395" t="n">
        <v>3</v>
      </c>
      <c r="AD395" t="n">
        <v>22</v>
      </c>
      <c r="AE395" t="n">
        <v>24</v>
      </c>
      <c r="AF395" t="n">
        <v>9</v>
      </c>
      <c r="AG395" t="n">
        <v>10</v>
      </c>
      <c r="AH395" t="n">
        <v>4</v>
      </c>
      <c r="AI395" t="n">
        <v>4</v>
      </c>
      <c r="AJ395" t="n">
        <v>7</v>
      </c>
      <c r="AK395" t="n">
        <v>7</v>
      </c>
      <c r="AL395" t="n">
        <v>1</v>
      </c>
      <c r="AM395" t="n">
        <v>2</v>
      </c>
      <c r="AN395" t="n">
        <v>5</v>
      </c>
      <c r="AO395" t="n">
        <v>5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HYPERLINK("https://creighton-primo.hosted.exlibrisgroup.com/primo-explore/search?tab=default_tab&amp;search_scope=EVERYTHING&amp;vid=01CRU&amp;lang=en_US&amp;offset=0&amp;query=any,contains,991004462769702656","Catalog Record")</f>
        <v/>
      </c>
      <c r="AT395">
        <f>HYPERLINK("http://www.worldcat.org/oclc/53138925","WorldCat Record")</f>
        <v/>
      </c>
      <c r="AU395" t="inlineStr">
        <is>
          <t>796411960:eng</t>
        </is>
      </c>
      <c r="AV395" t="inlineStr">
        <is>
          <t>53138925</t>
        </is>
      </c>
      <c r="AW395" t="inlineStr">
        <is>
          <t>991004462769702656</t>
        </is>
      </c>
      <c r="AX395" t="inlineStr">
        <is>
          <t>991004462769702656</t>
        </is>
      </c>
      <c r="AY395" t="inlineStr">
        <is>
          <t>2266257840002656</t>
        </is>
      </c>
      <c r="AZ395" t="inlineStr">
        <is>
          <t>BOOK</t>
        </is>
      </c>
      <c r="BB395" t="inlineStr">
        <is>
          <t>9780226309149</t>
        </is>
      </c>
      <c r="BC395" t="inlineStr">
        <is>
          <t>32285005042766</t>
        </is>
      </c>
      <c r="BD395" t="inlineStr">
        <is>
          <t>893612382</t>
        </is>
      </c>
    </row>
    <row r="396">
      <c r="A396" t="inlineStr">
        <is>
          <t>No</t>
        </is>
      </c>
      <c r="B396" t="inlineStr">
        <is>
          <t>RJ506.J88 P76</t>
        </is>
      </c>
      <c r="C396" t="inlineStr">
        <is>
          <t>0                      RJ 0506000J  88                 P  76</t>
        </is>
      </c>
      <c r="D396" t="inlineStr">
        <is>
          <t>Progress in behavior therapy with delinquents / compiled and edited by Jerome S. Stumphauzer.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Springfield, Ill. : Thomas, c1979.</t>
        </is>
      </c>
      <c r="M396" t="inlineStr">
        <is>
          <t>1979</t>
        </is>
      </c>
      <c r="O396" t="inlineStr">
        <is>
          <t>eng</t>
        </is>
      </c>
      <c r="P396" t="inlineStr">
        <is>
          <t>ilu</t>
        </is>
      </c>
      <c r="R396" t="inlineStr">
        <is>
          <t xml:space="preserve">RJ </t>
        </is>
      </c>
      <c r="S396" t="n">
        <v>3</v>
      </c>
      <c r="T396" t="n">
        <v>3</v>
      </c>
      <c r="U396" t="inlineStr">
        <is>
          <t>1997-03-19</t>
        </is>
      </c>
      <c r="V396" t="inlineStr">
        <is>
          <t>1997-03-19</t>
        </is>
      </c>
      <c r="W396" t="inlineStr">
        <is>
          <t>1993-03-03</t>
        </is>
      </c>
      <c r="X396" t="inlineStr">
        <is>
          <t>1993-03-03</t>
        </is>
      </c>
      <c r="Y396" t="n">
        <v>277</v>
      </c>
      <c r="Z396" t="n">
        <v>232</v>
      </c>
      <c r="AA396" t="n">
        <v>241</v>
      </c>
      <c r="AB396" t="n">
        <v>4</v>
      </c>
      <c r="AC396" t="n">
        <v>4</v>
      </c>
      <c r="AD396" t="n">
        <v>9</v>
      </c>
      <c r="AE396" t="n">
        <v>9</v>
      </c>
      <c r="AF396" t="n">
        <v>3</v>
      </c>
      <c r="AG396" t="n">
        <v>3</v>
      </c>
      <c r="AH396" t="n">
        <v>1</v>
      </c>
      <c r="AI396" t="n">
        <v>1</v>
      </c>
      <c r="AJ396" t="n">
        <v>4</v>
      </c>
      <c r="AK396" t="n">
        <v>4</v>
      </c>
      <c r="AL396" t="n">
        <v>2</v>
      </c>
      <c r="AM396" t="n">
        <v>2</v>
      </c>
      <c r="AN396" t="n">
        <v>2</v>
      </c>
      <c r="AO396" t="n">
        <v>2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HYPERLINK("http://catalog.hathitrust.org/Record/000705806","HathiTrust Record")</f>
        <v/>
      </c>
      <c r="AS396">
        <f>HYPERLINK("https://creighton-primo.hosted.exlibrisgroup.com/primo-explore/search?tab=default_tab&amp;search_scope=EVERYTHING&amp;vid=01CRU&amp;lang=en_US&amp;offset=0&amp;query=any,contains,991004505069702656","Catalog Record")</f>
        <v/>
      </c>
      <c r="AT396">
        <f>HYPERLINK("http://www.worldcat.org/oclc/3730873","WorldCat Record")</f>
        <v/>
      </c>
      <c r="AU396" t="inlineStr">
        <is>
          <t>471878:eng</t>
        </is>
      </c>
      <c r="AV396" t="inlineStr">
        <is>
          <t>3730873</t>
        </is>
      </c>
      <c r="AW396" t="inlineStr">
        <is>
          <t>991004505069702656</t>
        </is>
      </c>
      <c r="AX396" t="inlineStr">
        <is>
          <t>991004505069702656</t>
        </is>
      </c>
      <c r="AY396" t="inlineStr">
        <is>
          <t>2270842610002656</t>
        </is>
      </c>
      <c r="AZ396" t="inlineStr">
        <is>
          <t>BOOK</t>
        </is>
      </c>
      <c r="BB396" t="inlineStr">
        <is>
          <t>9780398037338</t>
        </is>
      </c>
      <c r="BC396" t="inlineStr">
        <is>
          <t>32285001529659</t>
        </is>
      </c>
      <c r="BD396" t="inlineStr">
        <is>
          <t>893325454</t>
        </is>
      </c>
    </row>
    <row r="397">
      <c r="A397" t="inlineStr">
        <is>
          <t>No</t>
        </is>
      </c>
      <c r="B397" t="inlineStr">
        <is>
          <t>RJ506.J88 R69 1994</t>
        </is>
      </c>
      <c r="C397" t="inlineStr">
        <is>
          <t>0                      RJ 0506000J  88                 R  69          1994</t>
        </is>
      </c>
      <c r="D397" t="inlineStr">
        <is>
          <t>Youth crime/violence and the cause / [Marcella Royal].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Royal, Marcella.</t>
        </is>
      </c>
      <c r="L397" t="inlineStr">
        <is>
          <t>Monroe, WA : Barrons, 1994.</t>
        </is>
      </c>
      <c r="M397" t="inlineStr">
        <is>
          <t>1994</t>
        </is>
      </c>
      <c r="O397" t="inlineStr">
        <is>
          <t>eng</t>
        </is>
      </c>
      <c r="P397" t="inlineStr">
        <is>
          <t>wau</t>
        </is>
      </c>
      <c r="R397" t="inlineStr">
        <is>
          <t xml:space="preserve">RJ </t>
        </is>
      </c>
      <c r="S397" t="n">
        <v>17</v>
      </c>
      <c r="T397" t="n">
        <v>17</v>
      </c>
      <c r="U397" t="inlineStr">
        <is>
          <t>2000-11-13</t>
        </is>
      </c>
      <c r="V397" t="inlineStr">
        <is>
          <t>2000-11-13</t>
        </is>
      </c>
      <c r="W397" t="inlineStr">
        <is>
          <t>1995-03-22</t>
        </is>
      </c>
      <c r="X397" t="inlineStr">
        <is>
          <t>1995-03-22</t>
        </is>
      </c>
      <c r="Y397" t="n">
        <v>46</v>
      </c>
      <c r="Z397" t="n">
        <v>38</v>
      </c>
      <c r="AA397" t="n">
        <v>38</v>
      </c>
      <c r="AB397" t="n">
        <v>1</v>
      </c>
      <c r="AC397" t="n">
        <v>1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HYPERLINK("https://creighton-primo.hosted.exlibrisgroup.com/primo-explore/search?tab=default_tab&amp;search_scope=EVERYTHING&amp;vid=01CRU&amp;lang=en_US&amp;offset=0&amp;query=any,contains,991002439769702656","Catalog Record")</f>
        <v/>
      </c>
      <c r="AT397">
        <f>HYPERLINK("http://www.worldcat.org/oclc/31795834","WorldCat Record")</f>
        <v/>
      </c>
      <c r="AU397" t="inlineStr">
        <is>
          <t>46082725:eng</t>
        </is>
      </c>
      <c r="AV397" t="inlineStr">
        <is>
          <t>31795834</t>
        </is>
      </c>
      <c r="AW397" t="inlineStr">
        <is>
          <t>991002439769702656</t>
        </is>
      </c>
      <c r="AX397" t="inlineStr">
        <is>
          <t>991002439769702656</t>
        </is>
      </c>
      <c r="AY397" t="inlineStr">
        <is>
          <t>2260447150002656</t>
        </is>
      </c>
      <c r="AZ397" t="inlineStr">
        <is>
          <t>BOOK</t>
        </is>
      </c>
      <c r="BB397" t="inlineStr">
        <is>
          <t>9780964211100</t>
        </is>
      </c>
      <c r="BC397" t="inlineStr">
        <is>
          <t>32285002004215</t>
        </is>
      </c>
      <c r="BD397" t="inlineStr">
        <is>
          <t>893685362</t>
        </is>
      </c>
    </row>
    <row r="398">
      <c r="A398" t="inlineStr">
        <is>
          <t>No</t>
        </is>
      </c>
      <c r="B398" t="inlineStr">
        <is>
          <t>RJ506.J88 V84</t>
        </is>
      </c>
      <c r="C398" t="inlineStr">
        <is>
          <t>0                      RJ 0506000J  88                 V  84</t>
        </is>
      </c>
      <c r="D398" t="inlineStr">
        <is>
          <t>Vulnerabilities to delinquency / edited by Dorothy Otnow Lewis.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L398" t="inlineStr">
        <is>
          <t>New York : SP Medical &amp; Scientific Books, c1981.</t>
        </is>
      </c>
      <c r="M398" t="inlineStr">
        <is>
          <t>1981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RJ </t>
        </is>
      </c>
      <c r="S398" t="n">
        <v>1</v>
      </c>
      <c r="T398" t="n">
        <v>1</v>
      </c>
      <c r="U398" t="inlineStr">
        <is>
          <t>1993-08-02</t>
        </is>
      </c>
      <c r="V398" t="inlineStr">
        <is>
          <t>1993-08-02</t>
        </is>
      </c>
      <c r="W398" t="inlineStr">
        <is>
          <t>1991-11-12</t>
        </is>
      </c>
      <c r="X398" t="inlineStr">
        <is>
          <t>1991-11-12</t>
        </is>
      </c>
      <c r="Y398" t="n">
        <v>230</v>
      </c>
      <c r="Z398" t="n">
        <v>199</v>
      </c>
      <c r="AA398" t="n">
        <v>209</v>
      </c>
      <c r="AB398" t="n">
        <v>2</v>
      </c>
      <c r="AC398" t="n">
        <v>2</v>
      </c>
      <c r="AD398" t="n">
        <v>7</v>
      </c>
      <c r="AE398" t="n">
        <v>7</v>
      </c>
      <c r="AF398" t="n">
        <v>2</v>
      </c>
      <c r="AG398" t="n">
        <v>2</v>
      </c>
      <c r="AH398" t="n">
        <v>1</v>
      </c>
      <c r="AI398" t="n">
        <v>1</v>
      </c>
      <c r="AJ398" t="n">
        <v>6</v>
      </c>
      <c r="AK398" t="n">
        <v>6</v>
      </c>
      <c r="AL398" t="n">
        <v>1</v>
      </c>
      <c r="AM398" t="n">
        <v>1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HYPERLINK("http://catalog.hathitrust.org/Record/000181879","HathiTrust Record")</f>
        <v/>
      </c>
      <c r="AS398">
        <f>HYPERLINK("https://creighton-primo.hosted.exlibrisgroup.com/primo-explore/search?tab=default_tab&amp;search_scope=EVERYTHING&amp;vid=01CRU&amp;lang=en_US&amp;offset=0&amp;query=any,contains,991005033819702656","Catalog Record")</f>
        <v/>
      </c>
      <c r="AT398">
        <f>HYPERLINK("http://www.worldcat.org/oclc/6735771","WorldCat Record")</f>
        <v/>
      </c>
      <c r="AU398" t="inlineStr">
        <is>
          <t>54405236:eng</t>
        </is>
      </c>
      <c r="AV398" t="inlineStr">
        <is>
          <t>6735771</t>
        </is>
      </c>
      <c r="AW398" t="inlineStr">
        <is>
          <t>991005033819702656</t>
        </is>
      </c>
      <c r="AX398" t="inlineStr">
        <is>
          <t>991005033819702656</t>
        </is>
      </c>
      <c r="AY398" t="inlineStr">
        <is>
          <t>2268079900002656</t>
        </is>
      </c>
      <c r="AZ398" t="inlineStr">
        <is>
          <t>BOOK</t>
        </is>
      </c>
      <c r="BB398" t="inlineStr">
        <is>
          <t>9780893351366</t>
        </is>
      </c>
      <c r="BC398" t="inlineStr">
        <is>
          <t>32285000821487</t>
        </is>
      </c>
      <c r="BD398" t="inlineStr">
        <is>
          <t>893344543</t>
        </is>
      </c>
    </row>
    <row r="399">
      <c r="A399" t="inlineStr">
        <is>
          <t>No</t>
        </is>
      </c>
      <c r="B399" t="inlineStr">
        <is>
          <t>RJ506.J88 W56 1984</t>
        </is>
      </c>
      <c r="C399" t="inlineStr">
        <is>
          <t>0                      RJ 0506000J  88                 W  56          1984</t>
        </is>
      </c>
      <c r="D399" t="inlineStr">
        <is>
          <t>Deprivation and delinquency / D.W. Winnicott ; edited by Clare Winnicott, Ray Shepherd, and Madeleine Davis.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Winnicott, D. W. (Donald Woods), 1896-1971.</t>
        </is>
      </c>
      <c r="L399" t="inlineStr">
        <is>
          <t>London ; New York : Tavistock Publications ; New York : Tavistock Publications in association with Methuen, 1984.</t>
        </is>
      </c>
      <c r="M399" t="inlineStr">
        <is>
          <t>1984</t>
        </is>
      </c>
      <c r="O399" t="inlineStr">
        <is>
          <t>eng</t>
        </is>
      </c>
      <c r="P399" t="inlineStr">
        <is>
          <t>enk</t>
        </is>
      </c>
      <c r="R399" t="inlineStr">
        <is>
          <t xml:space="preserve">RJ </t>
        </is>
      </c>
      <c r="S399" t="n">
        <v>7</v>
      </c>
      <c r="T399" t="n">
        <v>7</v>
      </c>
      <c r="U399" t="inlineStr">
        <is>
          <t>1995-04-07</t>
        </is>
      </c>
      <c r="V399" t="inlineStr">
        <is>
          <t>1995-04-07</t>
        </is>
      </c>
      <c r="W399" t="inlineStr">
        <is>
          <t>1992-12-03</t>
        </is>
      </c>
      <c r="X399" t="inlineStr">
        <is>
          <t>1992-12-03</t>
        </is>
      </c>
      <c r="Y399" t="n">
        <v>497</v>
      </c>
      <c r="Z399" t="n">
        <v>339</v>
      </c>
      <c r="AA399" t="n">
        <v>421</v>
      </c>
      <c r="AB399" t="n">
        <v>2</v>
      </c>
      <c r="AC399" t="n">
        <v>2</v>
      </c>
      <c r="AD399" t="n">
        <v>11</v>
      </c>
      <c r="AE399" t="n">
        <v>17</v>
      </c>
      <c r="AF399" t="n">
        <v>4</v>
      </c>
      <c r="AG399" t="n">
        <v>7</v>
      </c>
      <c r="AH399" t="n">
        <v>2</v>
      </c>
      <c r="AI399" t="n">
        <v>4</v>
      </c>
      <c r="AJ399" t="n">
        <v>8</v>
      </c>
      <c r="AK399" t="n">
        <v>10</v>
      </c>
      <c r="AL399" t="n">
        <v>1</v>
      </c>
      <c r="AM399" t="n">
        <v>1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HYPERLINK("http://catalog.hathitrust.org/Record/000361807","HathiTrust Record")</f>
        <v/>
      </c>
      <c r="AS399">
        <f>HYPERLINK("https://creighton-primo.hosted.exlibrisgroup.com/primo-explore/search?tab=default_tab&amp;search_scope=EVERYTHING&amp;vid=01CRU&amp;lang=en_US&amp;offset=0&amp;query=any,contains,991000470809702656","Catalog Record")</f>
        <v/>
      </c>
      <c r="AT399">
        <f>HYPERLINK("http://www.worldcat.org/oclc/10996865","WorldCat Record")</f>
        <v/>
      </c>
      <c r="AU399" t="inlineStr">
        <is>
          <t>3467580:eng</t>
        </is>
      </c>
      <c r="AV399" t="inlineStr">
        <is>
          <t>10996865</t>
        </is>
      </c>
      <c r="AW399" t="inlineStr">
        <is>
          <t>991000470809702656</t>
        </is>
      </c>
      <c r="AX399" t="inlineStr">
        <is>
          <t>991000470809702656</t>
        </is>
      </c>
      <c r="AY399" t="inlineStr">
        <is>
          <t>2262009150002656</t>
        </is>
      </c>
      <c r="AZ399" t="inlineStr">
        <is>
          <t>BOOK</t>
        </is>
      </c>
      <c r="BB399" t="inlineStr">
        <is>
          <t>9780422791809</t>
        </is>
      </c>
      <c r="BC399" t="inlineStr">
        <is>
          <t>32285001411924</t>
        </is>
      </c>
      <c r="BD399" t="inlineStr">
        <is>
          <t>893333500</t>
        </is>
      </c>
    </row>
    <row r="400">
      <c r="A400" t="inlineStr">
        <is>
          <t>No</t>
        </is>
      </c>
      <c r="B400" t="inlineStr">
        <is>
          <t>RJ506.L4 F37</t>
        </is>
      </c>
      <c r="C400" t="inlineStr">
        <is>
          <t>0                      RJ 0506000L  4                  F  37</t>
        </is>
      </c>
      <c r="D400" t="inlineStr">
        <is>
          <t>Learning disabilities : a psychological perspective / Sylvia Farnham-Diggory.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Farnham-Diggory, Sylvia.</t>
        </is>
      </c>
      <c r="L400" t="inlineStr">
        <is>
          <t>Cambridge, Mass. : Harvard University Press, 1978.</t>
        </is>
      </c>
      <c r="M400" t="inlineStr">
        <is>
          <t>1978</t>
        </is>
      </c>
      <c r="O400" t="inlineStr">
        <is>
          <t>eng</t>
        </is>
      </c>
      <c r="P400" t="inlineStr">
        <is>
          <t>mau</t>
        </is>
      </c>
      <c r="Q400" t="inlineStr">
        <is>
          <t>The Developing child</t>
        </is>
      </c>
      <c r="R400" t="inlineStr">
        <is>
          <t xml:space="preserve">RJ </t>
        </is>
      </c>
      <c r="S400" t="n">
        <v>4</v>
      </c>
      <c r="T400" t="n">
        <v>4</v>
      </c>
      <c r="U400" t="inlineStr">
        <is>
          <t>2005-10-03</t>
        </is>
      </c>
      <c r="V400" t="inlineStr">
        <is>
          <t>2005-10-03</t>
        </is>
      </c>
      <c r="W400" t="inlineStr">
        <is>
          <t>1991-12-10</t>
        </is>
      </c>
      <c r="X400" t="inlineStr">
        <is>
          <t>1991-12-10</t>
        </is>
      </c>
      <c r="Y400" t="n">
        <v>816</v>
      </c>
      <c r="Z400" t="n">
        <v>746</v>
      </c>
      <c r="AA400" t="n">
        <v>772</v>
      </c>
      <c r="AB400" t="n">
        <v>5</v>
      </c>
      <c r="AC400" t="n">
        <v>5</v>
      </c>
      <c r="AD400" t="n">
        <v>22</v>
      </c>
      <c r="AE400" t="n">
        <v>23</v>
      </c>
      <c r="AF400" t="n">
        <v>5</v>
      </c>
      <c r="AG400" t="n">
        <v>6</v>
      </c>
      <c r="AH400" t="n">
        <v>5</v>
      </c>
      <c r="AI400" t="n">
        <v>5</v>
      </c>
      <c r="AJ400" t="n">
        <v>14</v>
      </c>
      <c r="AK400" t="n">
        <v>15</v>
      </c>
      <c r="AL400" t="n">
        <v>3</v>
      </c>
      <c r="AM400" t="n">
        <v>3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HYPERLINK("http://catalog.hathitrust.org/Record/000135551","HathiTrust Record")</f>
        <v/>
      </c>
      <c r="AS400">
        <f>HYPERLINK("https://creighton-primo.hosted.exlibrisgroup.com/primo-explore/search?tab=default_tab&amp;search_scope=EVERYTHING&amp;vid=01CRU&amp;lang=en_US&amp;offset=0&amp;query=any,contains,991004529649702656","Catalog Record")</f>
        <v/>
      </c>
      <c r="AT400">
        <f>HYPERLINK("http://www.worldcat.org/oclc/3844716","WorldCat Record")</f>
        <v/>
      </c>
      <c r="AU400" t="inlineStr">
        <is>
          <t>15254099:eng</t>
        </is>
      </c>
      <c r="AV400" t="inlineStr">
        <is>
          <t>3844716</t>
        </is>
      </c>
      <c r="AW400" t="inlineStr">
        <is>
          <t>991004529649702656</t>
        </is>
      </c>
      <c r="AX400" t="inlineStr">
        <is>
          <t>991004529649702656</t>
        </is>
      </c>
      <c r="AY400" t="inlineStr">
        <is>
          <t>2264805870002656</t>
        </is>
      </c>
      <c r="AZ400" t="inlineStr">
        <is>
          <t>BOOK</t>
        </is>
      </c>
      <c r="BB400" t="inlineStr">
        <is>
          <t>9780674519213</t>
        </is>
      </c>
      <c r="BC400" t="inlineStr">
        <is>
          <t>32285000839265</t>
        </is>
      </c>
      <c r="BD400" t="inlineStr">
        <is>
          <t>893350123</t>
        </is>
      </c>
    </row>
    <row r="401">
      <c r="A401" t="inlineStr">
        <is>
          <t>No</t>
        </is>
      </c>
      <c r="B401" t="inlineStr">
        <is>
          <t>RJ506.L4 G35 1988</t>
        </is>
      </c>
      <c r="C401" t="inlineStr">
        <is>
          <t>0                      RJ 0506000L  4                  G  35          1988</t>
        </is>
      </c>
      <c r="D401" t="inlineStr">
        <is>
          <t>Emotional and behavioral problems in children with learning disabilities / Robin P. Gallico, Thomas J. Burns, Charles S. Grob.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Gallico, Robin P., 1948-</t>
        </is>
      </c>
      <c r="L401" t="inlineStr">
        <is>
          <t>Boston : Little, Brown, 1988.</t>
        </is>
      </c>
      <c r="M401" t="inlineStr">
        <is>
          <t>1987</t>
        </is>
      </c>
      <c r="O401" t="inlineStr">
        <is>
          <t>eng</t>
        </is>
      </c>
      <c r="P401" t="inlineStr">
        <is>
          <t>mau</t>
        </is>
      </c>
      <c r="R401" t="inlineStr">
        <is>
          <t xml:space="preserve">RJ </t>
        </is>
      </c>
      <c r="S401" t="n">
        <v>26</v>
      </c>
      <c r="T401" t="n">
        <v>26</v>
      </c>
      <c r="U401" t="inlineStr">
        <is>
          <t>1997-10-22</t>
        </is>
      </c>
      <c r="V401" t="inlineStr">
        <is>
          <t>1997-10-22</t>
        </is>
      </c>
      <c r="W401" t="inlineStr">
        <is>
          <t>1990-02-12</t>
        </is>
      </c>
      <c r="X401" t="inlineStr">
        <is>
          <t>1990-02-12</t>
        </is>
      </c>
      <c r="Y401" t="n">
        <v>292</v>
      </c>
      <c r="Z401" t="n">
        <v>250</v>
      </c>
      <c r="AA401" t="n">
        <v>302</v>
      </c>
      <c r="AB401" t="n">
        <v>2</v>
      </c>
      <c r="AC401" t="n">
        <v>3</v>
      </c>
      <c r="AD401" t="n">
        <v>11</v>
      </c>
      <c r="AE401" t="n">
        <v>16</v>
      </c>
      <c r="AF401" t="n">
        <v>4</v>
      </c>
      <c r="AG401" t="n">
        <v>6</v>
      </c>
      <c r="AH401" t="n">
        <v>2</v>
      </c>
      <c r="AI401" t="n">
        <v>2</v>
      </c>
      <c r="AJ401" t="n">
        <v>7</v>
      </c>
      <c r="AK401" t="n">
        <v>10</v>
      </c>
      <c r="AL401" t="n">
        <v>1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HYPERLINK("http://catalog.hathitrust.org/Record/000845292","HathiTrust Record")</f>
        <v/>
      </c>
      <c r="AS401">
        <f>HYPERLINK("https://creighton-primo.hosted.exlibrisgroup.com/primo-explore/search?tab=default_tab&amp;search_scope=EVERYTHING&amp;vid=01CRU&amp;lang=en_US&amp;offset=0&amp;query=any,contains,991001135369702656","Catalog Record")</f>
        <v/>
      </c>
      <c r="AT401">
        <f>HYPERLINK("http://www.worldcat.org/oclc/16709515","WorldCat Record")</f>
        <v/>
      </c>
      <c r="AU401" t="inlineStr">
        <is>
          <t>13270690:eng</t>
        </is>
      </c>
      <c r="AV401" t="inlineStr">
        <is>
          <t>16709515</t>
        </is>
      </c>
      <c r="AW401" t="inlineStr">
        <is>
          <t>991001135369702656</t>
        </is>
      </c>
      <c r="AX401" t="inlineStr">
        <is>
          <t>991001135369702656</t>
        </is>
      </c>
      <c r="AY401" t="inlineStr">
        <is>
          <t>2259660750002656</t>
        </is>
      </c>
      <c r="AZ401" t="inlineStr">
        <is>
          <t>BOOK</t>
        </is>
      </c>
      <c r="BB401" t="inlineStr">
        <is>
          <t>9780316302869</t>
        </is>
      </c>
      <c r="BC401" t="inlineStr">
        <is>
          <t>32285000045624</t>
        </is>
      </c>
      <c r="BD401" t="inlineStr">
        <is>
          <t>893420098</t>
        </is>
      </c>
    </row>
    <row r="402">
      <c r="A402" t="inlineStr">
        <is>
          <t>No</t>
        </is>
      </c>
      <c r="B402" t="inlineStr">
        <is>
          <t>RJ506.L4 I57 1978</t>
        </is>
      </c>
      <c r="C402" t="inlineStr">
        <is>
          <t>0                      RJ 0506000L  4                  I  57          1978</t>
        </is>
      </c>
      <c r="D402" t="inlineStr">
        <is>
          <t>Treatment of hyperactive and learning disordered children : current research : [proceedings] / edited by Robert M. Knights and Dirk J. Bakker.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International Conference on the Treatment of Hyperactive and Learning Disordered Children (1978 : Mont Ste. Marie)</t>
        </is>
      </c>
      <c r="L402" t="inlineStr">
        <is>
          <t>Baltimore : University Park Press, 1980.</t>
        </is>
      </c>
      <c r="M402" t="inlineStr">
        <is>
          <t>1979</t>
        </is>
      </c>
      <c r="O402" t="inlineStr">
        <is>
          <t>eng</t>
        </is>
      </c>
      <c r="P402" t="inlineStr">
        <is>
          <t>mdu</t>
        </is>
      </c>
      <c r="R402" t="inlineStr">
        <is>
          <t xml:space="preserve">RJ </t>
        </is>
      </c>
      <c r="S402" t="n">
        <v>6</v>
      </c>
      <c r="T402" t="n">
        <v>6</v>
      </c>
      <c r="U402" t="inlineStr">
        <is>
          <t>1996-10-07</t>
        </is>
      </c>
      <c r="V402" t="inlineStr">
        <is>
          <t>1996-10-07</t>
        </is>
      </c>
      <c r="W402" t="inlineStr">
        <is>
          <t>1992-04-24</t>
        </is>
      </c>
      <c r="X402" t="inlineStr">
        <is>
          <t>1992-04-24</t>
        </is>
      </c>
      <c r="Y402" t="n">
        <v>364</v>
      </c>
      <c r="Z402" t="n">
        <v>282</v>
      </c>
      <c r="AA402" t="n">
        <v>288</v>
      </c>
      <c r="AB402" t="n">
        <v>4</v>
      </c>
      <c r="AC402" t="n">
        <v>4</v>
      </c>
      <c r="AD402" t="n">
        <v>10</v>
      </c>
      <c r="AE402" t="n">
        <v>12</v>
      </c>
      <c r="AF402" t="n">
        <v>3</v>
      </c>
      <c r="AG402" t="n">
        <v>5</v>
      </c>
      <c r="AH402" t="n">
        <v>2</v>
      </c>
      <c r="AI402" t="n">
        <v>2</v>
      </c>
      <c r="AJ402" t="n">
        <v>4</v>
      </c>
      <c r="AK402" t="n">
        <v>6</v>
      </c>
      <c r="AL402" t="n">
        <v>3</v>
      </c>
      <c r="AM402" t="n">
        <v>3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HYPERLINK("https://creighton-primo.hosted.exlibrisgroup.com/primo-explore/search?tab=default_tab&amp;search_scope=EVERYTHING&amp;vid=01CRU&amp;lang=en_US&amp;offset=0&amp;query=any,contains,991004807979702656","Catalog Record")</f>
        <v/>
      </c>
      <c r="AT402">
        <f>HYPERLINK("http://www.worldcat.org/oclc/5264217","WorldCat Record")</f>
        <v/>
      </c>
      <c r="AU402" t="inlineStr">
        <is>
          <t>889875833:eng</t>
        </is>
      </c>
      <c r="AV402" t="inlineStr">
        <is>
          <t>5264217</t>
        </is>
      </c>
      <c r="AW402" t="inlineStr">
        <is>
          <t>991004807979702656</t>
        </is>
      </c>
      <c r="AX402" t="inlineStr">
        <is>
          <t>991004807979702656</t>
        </is>
      </c>
      <c r="AY402" t="inlineStr">
        <is>
          <t>2258646940002656</t>
        </is>
      </c>
      <c r="AZ402" t="inlineStr">
        <is>
          <t>BOOK</t>
        </is>
      </c>
      <c r="BC402" t="inlineStr">
        <is>
          <t>32285001095313</t>
        </is>
      </c>
      <c r="BD402" t="inlineStr">
        <is>
          <t>893436778</t>
        </is>
      </c>
    </row>
    <row r="403">
      <c r="A403" t="inlineStr">
        <is>
          <t>No</t>
        </is>
      </c>
      <c r="B403" t="inlineStr">
        <is>
          <t>RJ506.L4 L434</t>
        </is>
      </c>
      <c r="C403" t="inlineStr">
        <is>
          <t>0                      RJ 0506000L  4                  L  434</t>
        </is>
      </c>
      <c r="D403" t="inlineStr">
        <is>
          <t>The Learning-disabled child / edited by Marvin I. Gottlieb, Peter W. Zinkus, Larry J. Bradford.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New York : Grune &amp; Stratton, c1979.</t>
        </is>
      </c>
      <c r="M403" t="inlineStr">
        <is>
          <t>1979</t>
        </is>
      </c>
      <c r="O403" t="inlineStr">
        <is>
          <t>eng</t>
        </is>
      </c>
      <c r="P403" t="inlineStr">
        <is>
          <t>nyu</t>
        </is>
      </c>
      <c r="Q403" t="inlineStr">
        <is>
          <t>Current issues in developmental pediatrics</t>
        </is>
      </c>
      <c r="R403" t="inlineStr">
        <is>
          <t xml:space="preserve">RJ </t>
        </is>
      </c>
      <c r="S403" t="n">
        <v>4</v>
      </c>
      <c r="T403" t="n">
        <v>4</v>
      </c>
      <c r="U403" t="inlineStr">
        <is>
          <t>1996-10-28</t>
        </is>
      </c>
      <c r="V403" t="inlineStr">
        <is>
          <t>1996-10-28</t>
        </is>
      </c>
      <c r="W403" t="inlineStr">
        <is>
          <t>1990-02-12</t>
        </is>
      </c>
      <c r="X403" t="inlineStr">
        <is>
          <t>1990-02-12</t>
        </is>
      </c>
      <c r="Y403" t="n">
        <v>323</v>
      </c>
      <c r="Z403" t="n">
        <v>240</v>
      </c>
      <c r="AA403" t="n">
        <v>245</v>
      </c>
      <c r="AB403" t="n">
        <v>6</v>
      </c>
      <c r="AC403" t="n">
        <v>6</v>
      </c>
      <c r="AD403" t="n">
        <v>8</v>
      </c>
      <c r="AE403" t="n">
        <v>8</v>
      </c>
      <c r="AF403" t="n">
        <v>4</v>
      </c>
      <c r="AG403" t="n">
        <v>4</v>
      </c>
      <c r="AH403" t="n">
        <v>0</v>
      </c>
      <c r="AI403" t="n">
        <v>0</v>
      </c>
      <c r="AJ403" t="n">
        <v>2</v>
      </c>
      <c r="AK403" t="n">
        <v>2</v>
      </c>
      <c r="AL403" t="n">
        <v>2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HYPERLINK("https://creighton-primo.hosted.exlibrisgroup.com/primo-explore/search?tab=default_tab&amp;search_scope=EVERYTHING&amp;vid=01CRU&amp;lang=en_US&amp;offset=0&amp;query=any,contains,991004900539702656","Catalog Record")</f>
        <v/>
      </c>
      <c r="AT403">
        <f>HYPERLINK("http://www.worldcat.org/oclc/5932371","WorldCat Record")</f>
        <v/>
      </c>
      <c r="AU403" t="inlineStr">
        <is>
          <t>181306389:eng</t>
        </is>
      </c>
      <c r="AV403" t="inlineStr">
        <is>
          <t>5932371</t>
        </is>
      </c>
      <c r="AW403" t="inlineStr">
        <is>
          <t>991004900539702656</t>
        </is>
      </c>
      <c r="AX403" t="inlineStr">
        <is>
          <t>991004900539702656</t>
        </is>
      </c>
      <c r="AY403" t="inlineStr">
        <is>
          <t>2261215830002656</t>
        </is>
      </c>
      <c r="AZ403" t="inlineStr">
        <is>
          <t>BOOK</t>
        </is>
      </c>
      <c r="BB403" t="inlineStr">
        <is>
          <t>9780808911791</t>
        </is>
      </c>
      <c r="BC403" t="inlineStr">
        <is>
          <t>32285000045632</t>
        </is>
      </c>
      <c r="BD403" t="inlineStr">
        <is>
          <t>893801469</t>
        </is>
      </c>
    </row>
    <row r="404">
      <c r="A404" t="inlineStr">
        <is>
          <t>No</t>
        </is>
      </c>
      <c r="B404" t="inlineStr">
        <is>
          <t>RJ506.L4 Q57 1979</t>
        </is>
      </c>
      <c r="C404" t="inlineStr">
        <is>
          <t>0                      RJ 0506000L  4                  Q  57          1979</t>
        </is>
      </c>
      <c r="D404" t="inlineStr">
        <is>
          <t>Neuropsychological fundamentals in learning disabilities / Julio B. de Quiros, Orlando L. Schrager.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Quirós, Julio B. de (Julio Bernaldo)</t>
        </is>
      </c>
      <c r="L404" t="inlineStr">
        <is>
          <t>Novato, Calif. : Academic Therapy Publications, c1979.</t>
        </is>
      </c>
      <c r="M404" t="inlineStr">
        <is>
          <t>1979</t>
        </is>
      </c>
      <c r="N404" t="inlineStr">
        <is>
          <t>Rev. ed.</t>
        </is>
      </c>
      <c r="O404" t="inlineStr">
        <is>
          <t>eng</t>
        </is>
      </c>
      <c r="P404" t="inlineStr">
        <is>
          <t>cau</t>
        </is>
      </c>
      <c r="R404" t="inlineStr">
        <is>
          <t xml:space="preserve">RJ </t>
        </is>
      </c>
      <c r="S404" t="n">
        <v>1</v>
      </c>
      <c r="T404" t="n">
        <v>1</v>
      </c>
      <c r="U404" t="inlineStr">
        <is>
          <t>1993-04-01</t>
        </is>
      </c>
      <c r="V404" t="inlineStr">
        <is>
          <t>1993-04-01</t>
        </is>
      </c>
      <c r="W404" t="inlineStr">
        <is>
          <t>1993-03-03</t>
        </is>
      </c>
      <c r="X404" t="inlineStr">
        <is>
          <t>1993-03-03</t>
        </is>
      </c>
      <c r="Y404" t="n">
        <v>160</v>
      </c>
      <c r="Z404" t="n">
        <v>133</v>
      </c>
      <c r="AA404" t="n">
        <v>255</v>
      </c>
      <c r="AB404" t="n">
        <v>2</v>
      </c>
      <c r="AC404" t="n">
        <v>3</v>
      </c>
      <c r="AD404" t="n">
        <v>6</v>
      </c>
      <c r="AE404" t="n">
        <v>6</v>
      </c>
      <c r="AF404" t="n">
        <v>2</v>
      </c>
      <c r="AG404" t="n">
        <v>2</v>
      </c>
      <c r="AH404" t="n">
        <v>1</v>
      </c>
      <c r="AI404" t="n">
        <v>1</v>
      </c>
      <c r="AJ404" t="n">
        <v>3</v>
      </c>
      <c r="AK404" t="n">
        <v>3</v>
      </c>
      <c r="AL404" t="n">
        <v>1</v>
      </c>
      <c r="AM404" t="n">
        <v>1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HYPERLINK("http://catalog.hathitrust.org/Record/000105133","HathiTrust Record")</f>
        <v/>
      </c>
      <c r="AS404">
        <f>HYPERLINK("https://creighton-primo.hosted.exlibrisgroup.com/primo-explore/search?tab=default_tab&amp;search_scope=EVERYTHING&amp;vid=01CRU&amp;lang=en_US&amp;offset=0&amp;query=any,contains,991004870309702656","Catalog Record")</f>
        <v/>
      </c>
      <c r="AT404">
        <f>HYPERLINK("http://www.worldcat.org/oclc/5751177","WorldCat Record")</f>
        <v/>
      </c>
      <c r="AU404" t="inlineStr">
        <is>
          <t>4494913311:eng</t>
        </is>
      </c>
      <c r="AV404" t="inlineStr">
        <is>
          <t>5751177</t>
        </is>
      </c>
      <c r="AW404" t="inlineStr">
        <is>
          <t>991004870309702656</t>
        </is>
      </c>
      <c r="AX404" t="inlineStr">
        <is>
          <t>991004870309702656</t>
        </is>
      </c>
      <c r="AY404" t="inlineStr">
        <is>
          <t>2270287610002656</t>
        </is>
      </c>
      <c r="AZ404" t="inlineStr">
        <is>
          <t>BOOK</t>
        </is>
      </c>
      <c r="BB404" t="inlineStr">
        <is>
          <t>9780878792405</t>
        </is>
      </c>
      <c r="BC404" t="inlineStr">
        <is>
          <t>32285001529675</t>
        </is>
      </c>
      <c r="BD404" t="inlineStr">
        <is>
          <t>893801442</t>
        </is>
      </c>
    </row>
    <row r="405">
      <c r="A405" t="inlineStr">
        <is>
          <t>No</t>
        </is>
      </c>
      <c r="B405" t="inlineStr">
        <is>
          <t>RJ506.L4 S26 1985</t>
        </is>
      </c>
      <c r="C405" t="inlineStr">
        <is>
          <t>0                      RJ 0506000L  4                  S  26          1985</t>
        </is>
      </c>
      <c r="D405" t="inlineStr">
        <is>
          <t>Cognitive control therapy with children and adolescents / Sebastiano Santostefano.</t>
        </is>
      </c>
      <c r="F405" t="inlineStr">
        <is>
          <t>No</t>
        </is>
      </c>
      <c r="G405" t="inlineStr">
        <is>
          <t>1</t>
        </is>
      </c>
      <c r="H405" t="inlineStr">
        <is>
          <t>Yes</t>
        </is>
      </c>
      <c r="I405" t="inlineStr">
        <is>
          <t>No</t>
        </is>
      </c>
      <c r="J405" t="inlineStr">
        <is>
          <t>0</t>
        </is>
      </c>
      <c r="K405" t="inlineStr">
        <is>
          <t>Santostefano, Sebastiano, 1929-</t>
        </is>
      </c>
      <c r="L405" t="inlineStr">
        <is>
          <t>New York : Pergamon Press, c1985.</t>
        </is>
      </c>
      <c r="M405" t="inlineStr">
        <is>
          <t>1985</t>
        </is>
      </c>
      <c r="O405" t="inlineStr">
        <is>
          <t>eng</t>
        </is>
      </c>
      <c r="P405" t="inlineStr">
        <is>
          <t>nyu</t>
        </is>
      </c>
      <c r="Q405" t="inlineStr">
        <is>
          <t>Psychology practitioner guidebooks</t>
        </is>
      </c>
      <c r="R405" t="inlineStr">
        <is>
          <t xml:space="preserve">RJ </t>
        </is>
      </c>
      <c r="S405" t="n">
        <v>5</v>
      </c>
      <c r="T405" t="n">
        <v>5</v>
      </c>
      <c r="U405" t="inlineStr">
        <is>
          <t>2005-03-20</t>
        </is>
      </c>
      <c r="V405" t="inlineStr">
        <is>
          <t>2005-03-20</t>
        </is>
      </c>
      <c r="W405" t="inlineStr">
        <is>
          <t>1993-03-03</t>
        </is>
      </c>
      <c r="X405" t="inlineStr">
        <is>
          <t>1993-03-03</t>
        </is>
      </c>
      <c r="Y405" t="n">
        <v>365</v>
      </c>
      <c r="Z405" t="n">
        <v>280</v>
      </c>
      <c r="AA405" t="n">
        <v>287</v>
      </c>
      <c r="AB405" t="n">
        <v>3</v>
      </c>
      <c r="AC405" t="n">
        <v>3</v>
      </c>
      <c r="AD405" t="n">
        <v>9</v>
      </c>
      <c r="AE405" t="n">
        <v>9</v>
      </c>
      <c r="AF405" t="n">
        <v>2</v>
      </c>
      <c r="AG405" t="n">
        <v>2</v>
      </c>
      <c r="AH405" t="n">
        <v>2</v>
      </c>
      <c r="AI405" t="n">
        <v>2</v>
      </c>
      <c r="AJ405" t="n">
        <v>6</v>
      </c>
      <c r="AK405" t="n">
        <v>6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HYPERLINK("http://catalog.hathitrust.org/Record/000352413","HathiTrust Record")</f>
        <v/>
      </c>
      <c r="AS405">
        <f>HYPERLINK("https://creighton-primo.hosted.exlibrisgroup.com/primo-explore/search?tab=default_tab&amp;search_scope=EVERYTHING&amp;vid=01CRU&amp;lang=en_US&amp;offset=0&amp;query=any,contains,991000562439702656","Catalog Record")</f>
        <v/>
      </c>
      <c r="AT405">
        <f>HYPERLINK("http://www.worldcat.org/oclc/11599251","WorldCat Record")</f>
        <v/>
      </c>
      <c r="AU405" t="inlineStr">
        <is>
          <t>4749765:eng</t>
        </is>
      </c>
      <c r="AV405" t="inlineStr">
        <is>
          <t>11599251</t>
        </is>
      </c>
      <c r="AW405" t="inlineStr">
        <is>
          <t>991000562439702656</t>
        </is>
      </c>
      <c r="AX405" t="inlineStr">
        <is>
          <t>991000562439702656</t>
        </is>
      </c>
      <c r="AY405" t="inlineStr">
        <is>
          <t>2261549880002656</t>
        </is>
      </c>
      <c r="AZ405" t="inlineStr">
        <is>
          <t>BOOK</t>
        </is>
      </c>
      <c r="BB405" t="inlineStr">
        <is>
          <t>9780080315805</t>
        </is>
      </c>
      <c r="BC405" t="inlineStr">
        <is>
          <t>32285001529683</t>
        </is>
      </c>
      <c r="BD405" t="inlineStr">
        <is>
          <t>893865485</t>
        </is>
      </c>
    </row>
    <row r="406">
      <c r="A406" t="inlineStr">
        <is>
          <t>No</t>
        </is>
      </c>
      <c r="B406" t="inlineStr">
        <is>
          <t>RJ506.M4 B42</t>
        </is>
      </c>
      <c r="C406" t="inlineStr">
        <is>
          <t>0                      RJ 0506000M  4                  B  42</t>
        </is>
      </c>
      <c r="D406" t="inlineStr">
        <is>
          <t>Behaviour modification for the mentally handicapped / edited by William Yule and Janet Carr.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L406" t="inlineStr">
        <is>
          <t>Baltimore : University Park Press, c1980.</t>
        </is>
      </c>
      <c r="M406" t="inlineStr">
        <is>
          <t>1980</t>
        </is>
      </c>
      <c r="O406" t="inlineStr">
        <is>
          <t>eng</t>
        </is>
      </c>
      <c r="P406" t="inlineStr">
        <is>
          <t>mdu</t>
        </is>
      </c>
      <c r="R406" t="inlineStr">
        <is>
          <t xml:space="preserve">RJ </t>
        </is>
      </c>
      <c r="S406" t="n">
        <v>7</v>
      </c>
      <c r="T406" t="n">
        <v>7</v>
      </c>
      <c r="U406" t="inlineStr">
        <is>
          <t>1995-10-28</t>
        </is>
      </c>
      <c r="V406" t="inlineStr">
        <is>
          <t>1995-10-28</t>
        </is>
      </c>
      <c r="W406" t="inlineStr">
        <is>
          <t>1993-03-03</t>
        </is>
      </c>
      <c r="X406" t="inlineStr">
        <is>
          <t>1993-03-03</t>
        </is>
      </c>
      <c r="Y406" t="n">
        <v>272</v>
      </c>
      <c r="Z406" t="n">
        <v>234</v>
      </c>
      <c r="AA406" t="n">
        <v>266</v>
      </c>
      <c r="AB406" t="n">
        <v>3</v>
      </c>
      <c r="AC406" t="n">
        <v>3</v>
      </c>
      <c r="AD406" t="n">
        <v>11</v>
      </c>
      <c r="AE406" t="n">
        <v>11</v>
      </c>
      <c r="AF406" t="n">
        <v>2</v>
      </c>
      <c r="AG406" t="n">
        <v>2</v>
      </c>
      <c r="AH406" t="n">
        <v>2</v>
      </c>
      <c r="AI406" t="n">
        <v>2</v>
      </c>
      <c r="AJ406" t="n">
        <v>7</v>
      </c>
      <c r="AK406" t="n">
        <v>7</v>
      </c>
      <c r="AL406" t="n">
        <v>2</v>
      </c>
      <c r="AM406" t="n">
        <v>2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HYPERLINK("http://catalog.hathitrust.org/Record/004415651","HathiTrust Record")</f>
        <v/>
      </c>
      <c r="AS406">
        <f>HYPERLINK("https://creighton-primo.hosted.exlibrisgroup.com/primo-explore/search?tab=default_tab&amp;search_scope=EVERYTHING&amp;vid=01CRU&amp;lang=en_US&amp;offset=0&amp;query=any,contains,991004966709702656","Catalog Record")</f>
        <v/>
      </c>
      <c r="AT406">
        <f>HYPERLINK("http://www.worldcat.org/oclc/6339144","WorldCat Record")</f>
        <v/>
      </c>
      <c r="AU406" t="inlineStr">
        <is>
          <t>355905791:eng</t>
        </is>
      </c>
      <c r="AV406" t="inlineStr">
        <is>
          <t>6339144</t>
        </is>
      </c>
      <c r="AW406" t="inlineStr">
        <is>
          <t>991004966709702656</t>
        </is>
      </c>
      <c r="AX406" t="inlineStr">
        <is>
          <t>991004966709702656</t>
        </is>
      </c>
      <c r="AY406" t="inlineStr">
        <is>
          <t>2268505820002656</t>
        </is>
      </c>
      <c r="AZ406" t="inlineStr">
        <is>
          <t>BOOK</t>
        </is>
      </c>
      <c r="BB406" t="inlineStr">
        <is>
          <t>9780839141037</t>
        </is>
      </c>
      <c r="BC406" t="inlineStr">
        <is>
          <t>32285001529717</t>
        </is>
      </c>
      <c r="BD406" t="inlineStr">
        <is>
          <t>893776638</t>
        </is>
      </c>
    </row>
    <row r="407">
      <c r="A407" t="inlineStr">
        <is>
          <t>No</t>
        </is>
      </c>
      <c r="B407" t="inlineStr">
        <is>
          <t>RJ506.M4 C63</t>
        </is>
      </c>
      <c r="C407" t="inlineStr">
        <is>
          <t>0                      RJ 0506000M  4                  C  63</t>
        </is>
      </c>
      <c r="D407" t="inlineStr">
        <is>
          <t>Occupational therapy for mentally retarded children : guidelines for occupational therapy aides and certified occupational therapy assistants / Mildred Copeland, Lana Ford, Nancy Solon.</t>
        </is>
      </c>
      <c r="F407" t="inlineStr">
        <is>
          <t>No</t>
        </is>
      </c>
      <c r="G407" t="inlineStr">
        <is>
          <t>1</t>
        </is>
      </c>
      <c r="H407" t="inlineStr">
        <is>
          <t>Yes</t>
        </is>
      </c>
      <c r="I407" t="inlineStr">
        <is>
          <t>No</t>
        </is>
      </c>
      <c r="J407" t="inlineStr">
        <is>
          <t>0</t>
        </is>
      </c>
      <c r="K407" t="inlineStr">
        <is>
          <t>Copeland, Mildred E.</t>
        </is>
      </c>
      <c r="L407" t="inlineStr">
        <is>
          <t>Baltimore : University Park Press, c1976.</t>
        </is>
      </c>
      <c r="M407" t="inlineStr">
        <is>
          <t>1976</t>
        </is>
      </c>
      <c r="O407" t="inlineStr">
        <is>
          <t>eng</t>
        </is>
      </c>
      <c r="P407" t="inlineStr">
        <is>
          <t>mdu</t>
        </is>
      </c>
      <c r="R407" t="inlineStr">
        <is>
          <t xml:space="preserve">RJ </t>
        </is>
      </c>
      <c r="S407" t="n">
        <v>10</v>
      </c>
      <c r="T407" t="n">
        <v>25</v>
      </c>
      <c r="U407" t="inlineStr">
        <is>
          <t>1999-03-15</t>
        </is>
      </c>
      <c r="V407" t="inlineStr">
        <is>
          <t>2001-01-23</t>
        </is>
      </c>
      <c r="W407" t="inlineStr">
        <is>
          <t>1992-03-03</t>
        </is>
      </c>
      <c r="X407" t="inlineStr">
        <is>
          <t>1992-03-03</t>
        </is>
      </c>
      <c r="Y407" t="n">
        <v>265</v>
      </c>
      <c r="Z407" t="n">
        <v>211</v>
      </c>
      <c r="AA407" t="n">
        <v>213</v>
      </c>
      <c r="AB407" t="n">
        <v>3</v>
      </c>
      <c r="AC407" t="n">
        <v>3</v>
      </c>
      <c r="AD407" t="n">
        <v>7</v>
      </c>
      <c r="AE407" t="n">
        <v>7</v>
      </c>
      <c r="AF407" t="n">
        <v>4</v>
      </c>
      <c r="AG407" t="n">
        <v>4</v>
      </c>
      <c r="AH407" t="n">
        <v>1</v>
      </c>
      <c r="AI407" t="n">
        <v>1</v>
      </c>
      <c r="AJ407" t="n">
        <v>4</v>
      </c>
      <c r="AK407" t="n">
        <v>4</v>
      </c>
      <c r="AL407" t="n">
        <v>1</v>
      </c>
      <c r="AM407" t="n">
        <v>1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HYPERLINK("http://catalog.hathitrust.org/Record/000723246","HathiTrust Record")</f>
        <v/>
      </c>
      <c r="AS407">
        <f>HYPERLINK("https://creighton-primo.hosted.exlibrisgroup.com/primo-explore/search?tab=default_tab&amp;search_scope=EVERYTHING&amp;vid=01CRU&amp;lang=en_US&amp;offset=0&amp;query=any,contains,991001785239702656","Catalog Record")</f>
        <v/>
      </c>
      <c r="AT407">
        <f>HYPERLINK("http://www.worldcat.org/oclc/2089720","WorldCat Record")</f>
        <v/>
      </c>
      <c r="AU407" t="inlineStr">
        <is>
          <t>366629644:eng</t>
        </is>
      </c>
      <c r="AV407" t="inlineStr">
        <is>
          <t>2089720</t>
        </is>
      </c>
      <c r="AW407" t="inlineStr">
        <is>
          <t>991001785239702656</t>
        </is>
      </c>
      <c r="AX407" t="inlineStr">
        <is>
          <t>991001785239702656</t>
        </is>
      </c>
      <c r="AY407" t="inlineStr">
        <is>
          <t>2263285040002656</t>
        </is>
      </c>
      <c r="AZ407" t="inlineStr">
        <is>
          <t>BOOK</t>
        </is>
      </c>
      <c r="BB407" t="inlineStr">
        <is>
          <t>9780839109303</t>
        </is>
      </c>
      <c r="BC407" t="inlineStr">
        <is>
          <t>32285000979566</t>
        </is>
      </c>
      <c r="BD407" t="inlineStr">
        <is>
          <t>893621621</t>
        </is>
      </c>
    </row>
    <row r="408">
      <c r="A408" t="inlineStr">
        <is>
          <t>No</t>
        </is>
      </c>
      <c r="B408" t="inlineStr">
        <is>
          <t>RJ506.M4 L64</t>
        </is>
      </c>
      <c r="C408" t="inlineStr">
        <is>
          <t>0                      RJ 0506000M  4                  L  64</t>
        </is>
      </c>
      <c r="D408" t="inlineStr">
        <is>
          <t>The mentally retarded child and his family / by Harold D. Love.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Love, Harold D.</t>
        </is>
      </c>
      <c r="L408" t="inlineStr">
        <is>
          <t>Springfield, Ill. : Thomas, [1973]</t>
        </is>
      </c>
      <c r="M408" t="inlineStr">
        <is>
          <t>1973</t>
        </is>
      </c>
      <c r="O408" t="inlineStr">
        <is>
          <t>eng</t>
        </is>
      </c>
      <c r="P408" t="inlineStr">
        <is>
          <t>ilu</t>
        </is>
      </c>
      <c r="R408" t="inlineStr">
        <is>
          <t xml:space="preserve">RJ </t>
        </is>
      </c>
      <c r="S408" t="n">
        <v>7</v>
      </c>
      <c r="T408" t="n">
        <v>7</v>
      </c>
      <c r="U408" t="inlineStr">
        <is>
          <t>2009-11-10</t>
        </is>
      </c>
      <c r="V408" t="inlineStr">
        <is>
          <t>2009-11-10</t>
        </is>
      </c>
      <c r="W408" t="inlineStr">
        <is>
          <t>1991-09-26</t>
        </is>
      </c>
      <c r="X408" t="inlineStr">
        <is>
          <t>1991-09-26</t>
        </is>
      </c>
      <c r="Y408" t="n">
        <v>317</v>
      </c>
      <c r="Z408" t="n">
        <v>274</v>
      </c>
      <c r="AA408" t="n">
        <v>281</v>
      </c>
      <c r="AB408" t="n">
        <v>4</v>
      </c>
      <c r="AC408" t="n">
        <v>4</v>
      </c>
      <c r="AD408" t="n">
        <v>8</v>
      </c>
      <c r="AE408" t="n">
        <v>8</v>
      </c>
      <c r="AF408" t="n">
        <v>4</v>
      </c>
      <c r="AG408" t="n">
        <v>4</v>
      </c>
      <c r="AH408" t="n">
        <v>1</v>
      </c>
      <c r="AI408" t="n">
        <v>1</v>
      </c>
      <c r="AJ408" t="n">
        <v>2</v>
      </c>
      <c r="AK408" t="n">
        <v>2</v>
      </c>
      <c r="AL408" t="n">
        <v>3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HYPERLINK("http://catalog.hathitrust.org/Record/001571047","HathiTrust Record")</f>
        <v/>
      </c>
      <c r="AS408">
        <f>HYPERLINK("https://creighton-primo.hosted.exlibrisgroup.com/primo-explore/search?tab=default_tab&amp;search_scope=EVERYTHING&amp;vid=01CRU&amp;lang=en_US&amp;offset=0&amp;query=any,contains,991003205479702656","Catalog Record")</f>
        <v/>
      </c>
      <c r="AT408">
        <f>HYPERLINK("http://www.worldcat.org/oclc/730588","WorldCat Record")</f>
        <v/>
      </c>
      <c r="AU408" t="inlineStr">
        <is>
          <t>1753521:eng</t>
        </is>
      </c>
      <c r="AV408" t="inlineStr">
        <is>
          <t>730588</t>
        </is>
      </c>
      <c r="AW408" t="inlineStr">
        <is>
          <t>991003205479702656</t>
        </is>
      </c>
      <c r="AX408" t="inlineStr">
        <is>
          <t>991003205479702656</t>
        </is>
      </c>
      <c r="AY408" t="inlineStr">
        <is>
          <t>2267036260002656</t>
        </is>
      </c>
      <c r="AZ408" t="inlineStr">
        <is>
          <t>BOOK</t>
        </is>
      </c>
      <c r="BB408" t="inlineStr">
        <is>
          <t>9780398027285</t>
        </is>
      </c>
      <c r="BC408" t="inlineStr">
        <is>
          <t>32285000760305</t>
        </is>
      </c>
      <c r="BD408" t="inlineStr">
        <is>
          <t>893511676</t>
        </is>
      </c>
    </row>
    <row r="409">
      <c r="A409" t="inlineStr">
        <is>
          <t>No</t>
        </is>
      </c>
      <c r="B409" t="inlineStr">
        <is>
          <t>RJ506.M4 M32 1986</t>
        </is>
      </c>
      <c r="C409" t="inlineStr">
        <is>
          <t>0                      RJ 0506000M  4                  M  32          1986</t>
        </is>
      </c>
      <c r="D409" t="inlineStr">
        <is>
          <t>Psychopathology among mentally retarded children and adolescents / Johnny L. Matson, Cynthia L. Frame.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Matson, Johnny L.</t>
        </is>
      </c>
      <c r="L409" t="inlineStr">
        <is>
          <t>Beverly Hills : Sage Publications, c1986.</t>
        </is>
      </c>
      <c r="M409" t="inlineStr">
        <is>
          <t>1986</t>
        </is>
      </c>
      <c r="O409" t="inlineStr">
        <is>
          <t>eng</t>
        </is>
      </c>
      <c r="P409" t="inlineStr">
        <is>
          <t>cau</t>
        </is>
      </c>
      <c r="Q409" t="inlineStr">
        <is>
          <t>Developmental clinical psychology and psychiatry ; v. 6</t>
        </is>
      </c>
      <c r="R409" t="inlineStr">
        <is>
          <t xml:space="preserve">RJ </t>
        </is>
      </c>
      <c r="S409" t="n">
        <v>6</v>
      </c>
      <c r="T409" t="n">
        <v>6</v>
      </c>
      <c r="U409" t="inlineStr">
        <is>
          <t>1994-04-09</t>
        </is>
      </c>
      <c r="V409" t="inlineStr">
        <is>
          <t>1994-04-09</t>
        </is>
      </c>
      <c r="W409" t="inlineStr">
        <is>
          <t>1993-03-03</t>
        </is>
      </c>
      <c r="X409" t="inlineStr">
        <is>
          <t>1993-03-03</t>
        </is>
      </c>
      <c r="Y409" t="n">
        <v>279</v>
      </c>
      <c r="Z409" t="n">
        <v>217</v>
      </c>
      <c r="AA409" t="n">
        <v>225</v>
      </c>
      <c r="AB409" t="n">
        <v>3</v>
      </c>
      <c r="AC409" t="n">
        <v>3</v>
      </c>
      <c r="AD409" t="n">
        <v>11</v>
      </c>
      <c r="AE409" t="n">
        <v>11</v>
      </c>
      <c r="AF409" t="n">
        <v>3</v>
      </c>
      <c r="AG409" t="n">
        <v>3</v>
      </c>
      <c r="AH409" t="n">
        <v>3</v>
      </c>
      <c r="AI409" t="n">
        <v>3</v>
      </c>
      <c r="AJ409" t="n">
        <v>6</v>
      </c>
      <c r="AK409" t="n">
        <v>6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HYPERLINK("http://catalog.hathitrust.org/Record/000397922","HathiTrust Record")</f>
        <v/>
      </c>
      <c r="AS409">
        <f>HYPERLINK("https://creighton-primo.hosted.exlibrisgroup.com/primo-explore/search?tab=default_tab&amp;search_scope=EVERYTHING&amp;vid=01CRU&amp;lang=en_US&amp;offset=0&amp;query=any,contains,991000663079702656","Catalog Record")</f>
        <v/>
      </c>
      <c r="AT409">
        <f>HYPERLINK("http://www.worldcat.org/oclc/12262221","WorldCat Record")</f>
        <v/>
      </c>
      <c r="AU409" t="inlineStr">
        <is>
          <t>4906760:eng</t>
        </is>
      </c>
      <c r="AV409" t="inlineStr">
        <is>
          <t>12262221</t>
        </is>
      </c>
      <c r="AW409" t="inlineStr">
        <is>
          <t>991000663079702656</t>
        </is>
      </c>
      <c r="AX409" t="inlineStr">
        <is>
          <t>991000663079702656</t>
        </is>
      </c>
      <c r="AY409" t="inlineStr">
        <is>
          <t>2270653430002656</t>
        </is>
      </c>
      <c r="AZ409" t="inlineStr">
        <is>
          <t>BOOK</t>
        </is>
      </c>
      <c r="BB409" t="inlineStr">
        <is>
          <t>9780803925342</t>
        </is>
      </c>
      <c r="BC409" t="inlineStr">
        <is>
          <t>32285001529741</t>
        </is>
      </c>
      <c r="BD409" t="inlineStr">
        <is>
          <t>893321237</t>
        </is>
      </c>
    </row>
    <row r="410">
      <c r="A410" t="inlineStr">
        <is>
          <t>No</t>
        </is>
      </c>
      <c r="B410" t="inlineStr">
        <is>
          <t>RJ506.M4 M66</t>
        </is>
      </c>
      <c r="C410" t="inlineStr">
        <is>
          <t>0                      RJ 0506000M  4                  M  66</t>
        </is>
      </c>
      <c r="D410" t="inlineStr">
        <is>
          <t>Teaching the severely mentally retarded : adaptive skills training / Allen A. Mori and Lowell F. Masters.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Mori, Allen A.</t>
        </is>
      </c>
      <c r="L410" t="inlineStr">
        <is>
          <t>Germantown, Md. : Aspen Systems Corp., 1980.</t>
        </is>
      </c>
      <c r="M410" t="inlineStr">
        <is>
          <t>1980</t>
        </is>
      </c>
      <c r="O410" t="inlineStr">
        <is>
          <t>eng</t>
        </is>
      </c>
      <c r="P410" t="inlineStr">
        <is>
          <t>mdu</t>
        </is>
      </c>
      <c r="R410" t="inlineStr">
        <is>
          <t xml:space="preserve">RJ </t>
        </is>
      </c>
      <c r="S410" t="n">
        <v>3</v>
      </c>
      <c r="T410" t="n">
        <v>3</v>
      </c>
      <c r="U410" t="inlineStr">
        <is>
          <t>1995-07-07</t>
        </is>
      </c>
      <c r="V410" t="inlineStr">
        <is>
          <t>1995-07-07</t>
        </is>
      </c>
      <c r="W410" t="inlineStr">
        <is>
          <t>1993-03-03</t>
        </is>
      </c>
      <c r="X410" t="inlineStr">
        <is>
          <t>1993-03-03</t>
        </is>
      </c>
      <c r="Y410" t="n">
        <v>280</v>
      </c>
      <c r="Z410" t="n">
        <v>250</v>
      </c>
      <c r="AA410" t="n">
        <v>266</v>
      </c>
      <c r="AB410" t="n">
        <v>7</v>
      </c>
      <c r="AC410" t="n">
        <v>7</v>
      </c>
      <c r="AD410" t="n">
        <v>12</v>
      </c>
      <c r="AE410" t="n">
        <v>12</v>
      </c>
      <c r="AF410" t="n">
        <v>3</v>
      </c>
      <c r="AG410" t="n">
        <v>3</v>
      </c>
      <c r="AH410" t="n">
        <v>2</v>
      </c>
      <c r="AI410" t="n">
        <v>2</v>
      </c>
      <c r="AJ410" t="n">
        <v>4</v>
      </c>
      <c r="AK410" t="n">
        <v>4</v>
      </c>
      <c r="AL410" t="n">
        <v>5</v>
      </c>
      <c r="AM410" t="n">
        <v>5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HYPERLINK("https://creighton-primo.hosted.exlibrisgroup.com/primo-explore/search?tab=default_tab&amp;search_scope=EVERYTHING&amp;vid=01CRU&amp;lang=en_US&amp;offset=0&amp;query=any,contains,991004896189702656","Catalog Record")</f>
        <v/>
      </c>
      <c r="AT410">
        <f>HYPERLINK("http://www.worldcat.org/oclc/5894042","WorldCat Record")</f>
        <v/>
      </c>
      <c r="AU410" t="inlineStr">
        <is>
          <t>426618342:eng</t>
        </is>
      </c>
      <c r="AV410" t="inlineStr">
        <is>
          <t>5894042</t>
        </is>
      </c>
      <c r="AW410" t="inlineStr">
        <is>
          <t>991004896189702656</t>
        </is>
      </c>
      <c r="AX410" t="inlineStr">
        <is>
          <t>991004896189702656</t>
        </is>
      </c>
      <c r="AY410" t="inlineStr">
        <is>
          <t>2264357210002656</t>
        </is>
      </c>
      <c r="AZ410" t="inlineStr">
        <is>
          <t>BOOK</t>
        </is>
      </c>
      <c r="BB410" t="inlineStr">
        <is>
          <t>9780894431739</t>
        </is>
      </c>
      <c r="BC410" t="inlineStr">
        <is>
          <t>32285001529758</t>
        </is>
      </c>
      <c r="BD410" t="inlineStr">
        <is>
          <t>893350474</t>
        </is>
      </c>
    </row>
    <row r="411">
      <c r="A411" t="inlineStr">
        <is>
          <t>No</t>
        </is>
      </c>
      <c r="B411" t="inlineStr">
        <is>
          <t>RJ506.M4 M87</t>
        </is>
      </c>
      <c r="C411" t="inlineStr">
        <is>
          <t>0                      RJ 0506000M  4                  M  87</t>
        </is>
      </c>
      <c r="D411" t="inlineStr">
        <is>
          <t>And say what he is : the life of a special child / J. B. Murray and Emily Murray.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Murray, John B.</t>
        </is>
      </c>
      <c r="L411" t="inlineStr">
        <is>
          <t>Cambridge, Mass. : MIT Press, [1975]</t>
        </is>
      </c>
      <c r="M411" t="inlineStr">
        <is>
          <t>1975</t>
        </is>
      </c>
      <c r="O411" t="inlineStr">
        <is>
          <t>eng</t>
        </is>
      </c>
      <c r="P411" t="inlineStr">
        <is>
          <t>mau</t>
        </is>
      </c>
      <c r="R411" t="inlineStr">
        <is>
          <t xml:space="preserve">RJ </t>
        </is>
      </c>
      <c r="S411" t="n">
        <v>2</v>
      </c>
      <c r="T411" t="n">
        <v>2</v>
      </c>
      <c r="U411" t="inlineStr">
        <is>
          <t>1993-11-06</t>
        </is>
      </c>
      <c r="V411" t="inlineStr">
        <is>
          <t>1993-11-06</t>
        </is>
      </c>
      <c r="W411" t="inlineStr">
        <is>
          <t>1992-12-22</t>
        </is>
      </c>
      <c r="X411" t="inlineStr">
        <is>
          <t>1992-12-22</t>
        </is>
      </c>
      <c r="Y411" t="n">
        <v>297</v>
      </c>
      <c r="Z411" t="n">
        <v>252</v>
      </c>
      <c r="AA411" t="n">
        <v>257</v>
      </c>
      <c r="AB411" t="n">
        <v>3</v>
      </c>
      <c r="AC411" t="n">
        <v>3</v>
      </c>
      <c r="AD411" t="n">
        <v>12</v>
      </c>
      <c r="AE411" t="n">
        <v>12</v>
      </c>
      <c r="AF411" t="n">
        <v>5</v>
      </c>
      <c r="AG411" t="n">
        <v>5</v>
      </c>
      <c r="AH411" t="n">
        <v>2</v>
      </c>
      <c r="AI411" t="n">
        <v>2</v>
      </c>
      <c r="AJ411" t="n">
        <v>5</v>
      </c>
      <c r="AK411" t="n">
        <v>5</v>
      </c>
      <c r="AL411" t="n">
        <v>2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HYPERLINK("https://creighton-primo.hosted.exlibrisgroup.com/primo-explore/search?tab=default_tab&amp;search_scope=EVERYTHING&amp;vid=01CRU&amp;lang=en_US&amp;offset=0&amp;query=any,contains,991003636759702656","Catalog Record")</f>
        <v/>
      </c>
      <c r="AT411">
        <f>HYPERLINK("http://www.worldcat.org/oclc/1230700","WorldCat Record")</f>
        <v/>
      </c>
      <c r="AU411" t="inlineStr">
        <is>
          <t>5215334678:eng</t>
        </is>
      </c>
      <c r="AV411" t="inlineStr">
        <is>
          <t>1230700</t>
        </is>
      </c>
      <c r="AW411" t="inlineStr">
        <is>
          <t>991003636759702656</t>
        </is>
      </c>
      <c r="AX411" t="inlineStr">
        <is>
          <t>991003636759702656</t>
        </is>
      </c>
      <c r="AY411" t="inlineStr">
        <is>
          <t>2261732220002656</t>
        </is>
      </c>
      <c r="AZ411" t="inlineStr">
        <is>
          <t>BOOK</t>
        </is>
      </c>
      <c r="BB411" t="inlineStr">
        <is>
          <t>9780262131155</t>
        </is>
      </c>
      <c r="BC411" t="inlineStr">
        <is>
          <t>32285001471167</t>
        </is>
      </c>
      <c r="BD411" t="inlineStr">
        <is>
          <t>893531401</t>
        </is>
      </c>
    </row>
    <row r="412">
      <c r="A412" t="inlineStr">
        <is>
          <t>No</t>
        </is>
      </c>
      <c r="B412" t="inlineStr">
        <is>
          <t>RJ506.M4 T4</t>
        </is>
      </c>
      <c r="C412" t="inlineStr">
        <is>
          <t>0                      RJ 0506000M  4                  T  4</t>
        </is>
      </c>
      <c r="D412" t="inlineStr">
        <is>
          <t>The Teaching Research motor-development scale for moderately and severely retarded children, by H. D. Bud Fredericks [and others] Illustrated by Wendy Fredericks. Photos. by Teaching Research photographic staff, Teaching Research Division, Oregon State System of Higher Education.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Springfield, Ill., Thomas [1972]</t>
        </is>
      </c>
      <c r="M412" t="inlineStr">
        <is>
          <t>1972</t>
        </is>
      </c>
      <c r="O412" t="inlineStr">
        <is>
          <t>eng</t>
        </is>
      </c>
      <c r="P412" t="inlineStr">
        <is>
          <t>ilu</t>
        </is>
      </c>
      <c r="R412" t="inlineStr">
        <is>
          <t xml:space="preserve">RJ </t>
        </is>
      </c>
      <c r="S412" t="n">
        <v>1</v>
      </c>
      <c r="T412" t="n">
        <v>1</v>
      </c>
      <c r="U412" t="inlineStr">
        <is>
          <t>2009-02-17</t>
        </is>
      </c>
      <c r="V412" t="inlineStr">
        <is>
          <t>2009-02-17</t>
        </is>
      </c>
      <c r="W412" t="inlineStr">
        <is>
          <t>1997-08-12</t>
        </is>
      </c>
      <c r="X412" t="inlineStr">
        <is>
          <t>1997-08-12</t>
        </is>
      </c>
      <c r="Y412" t="n">
        <v>245</v>
      </c>
      <c r="Z412" t="n">
        <v>219</v>
      </c>
      <c r="AA412" t="n">
        <v>226</v>
      </c>
      <c r="AB412" t="n">
        <v>2</v>
      </c>
      <c r="AC412" t="n">
        <v>2</v>
      </c>
      <c r="AD412" t="n">
        <v>8</v>
      </c>
      <c r="AE412" t="n">
        <v>8</v>
      </c>
      <c r="AF412" t="n">
        <v>5</v>
      </c>
      <c r="AG412" t="n">
        <v>5</v>
      </c>
      <c r="AH412" t="n">
        <v>1</v>
      </c>
      <c r="AI412" t="n">
        <v>1</v>
      </c>
      <c r="AJ412" t="n">
        <v>3</v>
      </c>
      <c r="AK412" t="n">
        <v>3</v>
      </c>
      <c r="AL412" t="n">
        <v>1</v>
      </c>
      <c r="AM412" t="n">
        <v>1</v>
      </c>
      <c r="AN412" t="n">
        <v>0</v>
      </c>
      <c r="AO412" t="n">
        <v>0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HYPERLINK("http://catalog.hathitrust.org/Record/001571062","HathiTrust Record")</f>
        <v/>
      </c>
      <c r="AS412">
        <f>HYPERLINK("https://creighton-primo.hosted.exlibrisgroup.com/primo-explore/search?tab=default_tab&amp;search_scope=EVERYTHING&amp;vid=01CRU&amp;lang=en_US&amp;offset=0&amp;query=any,contains,991002667989702656","Catalog Record")</f>
        <v/>
      </c>
      <c r="AT412">
        <f>HYPERLINK("http://www.worldcat.org/oclc/394175","WorldCat Record")</f>
        <v/>
      </c>
      <c r="AU412" t="inlineStr">
        <is>
          <t>53965165:eng</t>
        </is>
      </c>
      <c r="AV412" t="inlineStr">
        <is>
          <t>394175</t>
        </is>
      </c>
      <c r="AW412" t="inlineStr">
        <is>
          <t>991002667989702656</t>
        </is>
      </c>
      <c r="AX412" t="inlineStr">
        <is>
          <t>991002667989702656</t>
        </is>
      </c>
      <c r="AY412" t="inlineStr">
        <is>
          <t>2260087600002656</t>
        </is>
      </c>
      <c r="AZ412" t="inlineStr">
        <is>
          <t>BOOK</t>
        </is>
      </c>
      <c r="BB412" t="inlineStr">
        <is>
          <t>9780398022846</t>
        </is>
      </c>
      <c r="BC412" t="inlineStr">
        <is>
          <t>32285003094298</t>
        </is>
      </c>
      <c r="BD412" t="inlineStr">
        <is>
          <t>893245475</t>
        </is>
      </c>
    </row>
    <row r="413">
      <c r="A413" t="inlineStr">
        <is>
          <t>No</t>
        </is>
      </c>
      <c r="B413" t="inlineStr">
        <is>
          <t>RJ506.M84 C481 1986</t>
        </is>
      </c>
      <c r="C413" t="inlineStr">
        <is>
          <t>0                      RJ 0506000M  84                 C  481         1986</t>
        </is>
      </c>
      <c r="D413" t="inlineStr">
        <is>
          <t>Treatment of multiple personality disorder / edited by Bennett G. Braun.</t>
        </is>
      </c>
      <c r="F413" t="inlineStr">
        <is>
          <t>No</t>
        </is>
      </c>
      <c r="G413" t="inlineStr">
        <is>
          <t>1</t>
        </is>
      </c>
      <c r="H413" t="inlineStr">
        <is>
          <t>Yes</t>
        </is>
      </c>
      <c r="I413" t="inlineStr">
        <is>
          <t>No</t>
        </is>
      </c>
      <c r="J413" t="inlineStr">
        <is>
          <t>0</t>
        </is>
      </c>
      <c r="L413" t="inlineStr">
        <is>
          <t>Washington, D.C. : American Psychiatric Press, c1986.</t>
        </is>
      </c>
      <c r="M413" t="inlineStr">
        <is>
          <t>1986</t>
        </is>
      </c>
      <c r="O413" t="inlineStr">
        <is>
          <t>eng</t>
        </is>
      </c>
      <c r="P413" t="inlineStr">
        <is>
          <t>dcu</t>
        </is>
      </c>
      <c r="R413" t="inlineStr">
        <is>
          <t xml:space="preserve">RJ </t>
        </is>
      </c>
      <c r="S413" t="n">
        <v>27</v>
      </c>
      <c r="T413" t="n">
        <v>27</v>
      </c>
      <c r="U413" t="inlineStr">
        <is>
          <t>2007-02-19</t>
        </is>
      </c>
      <c r="V413" t="inlineStr">
        <is>
          <t>2007-02-19</t>
        </is>
      </c>
      <c r="W413" t="inlineStr">
        <is>
          <t>1992-03-11</t>
        </is>
      </c>
      <c r="X413" t="inlineStr">
        <is>
          <t>1992-03-11</t>
        </is>
      </c>
      <c r="Y413" t="n">
        <v>309</v>
      </c>
      <c r="Z413" t="n">
        <v>265</v>
      </c>
      <c r="AA413" t="n">
        <v>265</v>
      </c>
      <c r="AB413" t="n">
        <v>3</v>
      </c>
      <c r="AC413" t="n">
        <v>3</v>
      </c>
      <c r="AD413" t="n">
        <v>8</v>
      </c>
      <c r="AE413" t="n">
        <v>8</v>
      </c>
      <c r="AF413" t="n">
        <v>2</v>
      </c>
      <c r="AG413" t="n">
        <v>2</v>
      </c>
      <c r="AH413" t="n">
        <v>1</v>
      </c>
      <c r="AI413" t="n">
        <v>1</v>
      </c>
      <c r="AJ413" t="n">
        <v>6</v>
      </c>
      <c r="AK413" t="n">
        <v>6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HYPERLINK("https://creighton-primo.hosted.exlibrisgroup.com/primo-explore/search?tab=default_tab&amp;search_scope=EVERYTHING&amp;vid=01CRU&amp;lang=en_US&amp;offset=0&amp;query=any,contains,991000850439702656","Catalog Record")</f>
        <v/>
      </c>
      <c r="AT413">
        <f>HYPERLINK("http://www.worldcat.org/oclc/13582000","WorldCat Record")</f>
        <v/>
      </c>
      <c r="AU413" t="inlineStr">
        <is>
          <t>54820305:eng</t>
        </is>
      </c>
      <c r="AV413" t="inlineStr">
        <is>
          <t>13582000</t>
        </is>
      </c>
      <c r="AW413" t="inlineStr">
        <is>
          <t>991000850439702656</t>
        </is>
      </c>
      <c r="AX413" t="inlineStr">
        <is>
          <t>991000850439702656</t>
        </is>
      </c>
      <c r="AY413" t="inlineStr">
        <is>
          <t>2257420420002656</t>
        </is>
      </c>
      <c r="AZ413" t="inlineStr">
        <is>
          <t>BOOK</t>
        </is>
      </c>
      <c r="BB413" t="inlineStr">
        <is>
          <t>9780880480963</t>
        </is>
      </c>
      <c r="BC413" t="inlineStr">
        <is>
          <t>32285000996966</t>
        </is>
      </c>
      <c r="BD413" t="inlineStr">
        <is>
          <t>893608334</t>
        </is>
      </c>
    </row>
    <row r="414">
      <c r="A414" t="inlineStr">
        <is>
          <t>No</t>
        </is>
      </c>
      <c r="B414" t="inlineStr">
        <is>
          <t>RJ506.O25 F73 1996</t>
        </is>
      </c>
      <c r="C414" t="inlineStr">
        <is>
          <t>0                      RJ 0506000O  25                 F  73          1996</t>
        </is>
      </c>
      <c r="D414" t="inlineStr">
        <is>
          <t>Childhood obsessive compulsive disorder / Greta Francis, Rod A. Gragg.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Francis, Greta.</t>
        </is>
      </c>
      <c r="L414" t="inlineStr">
        <is>
          <t>Thousand Oaks, Calif. : Sage Publications, c1996.</t>
        </is>
      </c>
      <c r="M414" t="inlineStr">
        <is>
          <t>1996</t>
        </is>
      </c>
      <c r="O414" t="inlineStr">
        <is>
          <t>eng</t>
        </is>
      </c>
      <c r="P414" t="inlineStr">
        <is>
          <t>cau</t>
        </is>
      </c>
      <c r="Q414" t="inlineStr">
        <is>
          <t>Developmental clinical psychology and psychiatry series ; v. 35</t>
        </is>
      </c>
      <c r="R414" t="inlineStr">
        <is>
          <t xml:space="preserve">RJ </t>
        </is>
      </c>
      <c r="S414" t="n">
        <v>23</v>
      </c>
      <c r="T414" t="n">
        <v>23</v>
      </c>
      <c r="U414" t="inlineStr">
        <is>
          <t>2008-02-07</t>
        </is>
      </c>
      <c r="V414" t="inlineStr">
        <is>
          <t>2008-02-07</t>
        </is>
      </c>
      <c r="W414" t="inlineStr">
        <is>
          <t>1996-12-06</t>
        </is>
      </c>
      <c r="X414" t="inlineStr">
        <is>
          <t>1996-12-06</t>
        </is>
      </c>
      <c r="Y414" t="n">
        <v>347</v>
      </c>
      <c r="Z414" t="n">
        <v>260</v>
      </c>
      <c r="AA414" t="n">
        <v>261</v>
      </c>
      <c r="AB414" t="n">
        <v>4</v>
      </c>
      <c r="AC414" t="n">
        <v>4</v>
      </c>
      <c r="AD414" t="n">
        <v>16</v>
      </c>
      <c r="AE414" t="n">
        <v>16</v>
      </c>
      <c r="AF414" t="n">
        <v>7</v>
      </c>
      <c r="AG414" t="n">
        <v>7</v>
      </c>
      <c r="AH414" t="n">
        <v>3</v>
      </c>
      <c r="AI414" t="n">
        <v>3</v>
      </c>
      <c r="AJ414" t="n">
        <v>7</v>
      </c>
      <c r="AK414" t="n">
        <v>7</v>
      </c>
      <c r="AL414" t="n">
        <v>3</v>
      </c>
      <c r="AM414" t="n">
        <v>3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HYPERLINK("http://catalog.hathitrust.org/Record/003133535","HathiTrust Record")</f>
        <v/>
      </c>
      <c r="AS414">
        <f>HYPERLINK("https://creighton-primo.hosted.exlibrisgroup.com/primo-explore/search?tab=default_tab&amp;search_scope=EVERYTHING&amp;vid=01CRU&amp;lang=en_US&amp;offset=0&amp;query=any,contains,991002643089702656","Catalog Record")</f>
        <v/>
      </c>
      <c r="AT414">
        <f>HYPERLINK("http://www.worldcat.org/oclc/32166730","WorldCat Record")</f>
        <v/>
      </c>
      <c r="AU414" t="inlineStr">
        <is>
          <t>2453173586:eng</t>
        </is>
      </c>
      <c r="AV414" t="inlineStr">
        <is>
          <t>32166730</t>
        </is>
      </c>
      <c r="AW414" t="inlineStr">
        <is>
          <t>991002643089702656</t>
        </is>
      </c>
      <c r="AX414" t="inlineStr">
        <is>
          <t>991002643089702656</t>
        </is>
      </c>
      <c r="AY414" t="inlineStr">
        <is>
          <t>2268464160002656</t>
        </is>
      </c>
      <c r="AZ414" t="inlineStr">
        <is>
          <t>BOOK</t>
        </is>
      </c>
      <c r="BB414" t="inlineStr">
        <is>
          <t>9780803959217</t>
        </is>
      </c>
      <c r="BC414" t="inlineStr">
        <is>
          <t>32285002388675</t>
        </is>
      </c>
      <c r="BD414" t="inlineStr">
        <is>
          <t>893880199</t>
        </is>
      </c>
    </row>
    <row r="415">
      <c r="A415" t="inlineStr">
        <is>
          <t>No</t>
        </is>
      </c>
      <c r="B415" t="inlineStr">
        <is>
          <t>RJ506.O25 O27 1989</t>
        </is>
      </c>
      <c r="C415" t="inlineStr">
        <is>
          <t>0                      RJ 0506000O  25                 O  27          1989</t>
        </is>
      </c>
      <c r="D415" t="inlineStr">
        <is>
          <t>Obsessive-compulsive disorder in children and adolescents / edited by Judith L. Rapoport.</t>
        </is>
      </c>
      <c r="F415" t="inlineStr">
        <is>
          <t>No</t>
        </is>
      </c>
      <c r="G415" t="inlineStr">
        <is>
          <t>1</t>
        </is>
      </c>
      <c r="H415" t="inlineStr">
        <is>
          <t>Yes</t>
        </is>
      </c>
      <c r="I415" t="inlineStr">
        <is>
          <t>No</t>
        </is>
      </c>
      <c r="J415" t="inlineStr">
        <is>
          <t>0</t>
        </is>
      </c>
      <c r="L415" t="inlineStr">
        <is>
          <t>Washington, DC : American Psychiatric Press, c1989.</t>
        </is>
      </c>
      <c r="M415" t="inlineStr">
        <is>
          <t>1989</t>
        </is>
      </c>
      <c r="N415" t="inlineStr">
        <is>
          <t>1st ed.</t>
        </is>
      </c>
      <c r="O415" t="inlineStr">
        <is>
          <t>eng</t>
        </is>
      </c>
      <c r="P415" t="inlineStr">
        <is>
          <t>dcu</t>
        </is>
      </c>
      <c r="R415" t="inlineStr">
        <is>
          <t xml:space="preserve">RJ </t>
        </is>
      </c>
      <c r="S415" t="n">
        <v>35</v>
      </c>
      <c r="T415" t="n">
        <v>35</v>
      </c>
      <c r="U415" t="inlineStr">
        <is>
          <t>2008-01-23</t>
        </is>
      </c>
      <c r="V415" t="inlineStr">
        <is>
          <t>2008-01-23</t>
        </is>
      </c>
      <c r="W415" t="inlineStr">
        <is>
          <t>1992-04-03</t>
        </is>
      </c>
      <c r="X415" t="inlineStr">
        <is>
          <t>1992-04-03</t>
        </is>
      </c>
      <c r="Y415" t="n">
        <v>327</v>
      </c>
      <c r="Z415" t="n">
        <v>258</v>
      </c>
      <c r="AA415" t="n">
        <v>266</v>
      </c>
      <c r="AB415" t="n">
        <v>3</v>
      </c>
      <c r="AC415" t="n">
        <v>3</v>
      </c>
      <c r="AD415" t="n">
        <v>6</v>
      </c>
      <c r="AE415" t="n">
        <v>6</v>
      </c>
      <c r="AF415" t="n">
        <v>1</v>
      </c>
      <c r="AG415" t="n">
        <v>1</v>
      </c>
      <c r="AH415" t="n">
        <v>1</v>
      </c>
      <c r="AI415" t="n">
        <v>1</v>
      </c>
      <c r="AJ415" t="n">
        <v>3</v>
      </c>
      <c r="AK415" t="n">
        <v>3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HYPERLINK("http://catalog.hathitrust.org/Record/001093167","HathiTrust Record")</f>
        <v/>
      </c>
      <c r="AS415">
        <f>HYPERLINK("https://creighton-primo.hosted.exlibrisgroup.com/primo-explore/search?tab=default_tab&amp;search_scope=EVERYTHING&amp;vid=01CRU&amp;lang=en_US&amp;offset=0&amp;query=any,contains,991001339009702656","Catalog Record")</f>
        <v/>
      </c>
      <c r="AT415">
        <f>HYPERLINK("http://www.worldcat.org/oclc/18379521","WorldCat Record")</f>
        <v/>
      </c>
      <c r="AU415" t="inlineStr">
        <is>
          <t>17744909:eng</t>
        </is>
      </c>
      <c r="AV415" t="inlineStr">
        <is>
          <t>18379521</t>
        </is>
      </c>
      <c r="AW415" t="inlineStr">
        <is>
          <t>991001339009702656</t>
        </is>
      </c>
      <c r="AX415" t="inlineStr">
        <is>
          <t>991001339009702656</t>
        </is>
      </c>
      <c r="AY415" t="inlineStr">
        <is>
          <t>2269705520002656</t>
        </is>
      </c>
      <c r="AZ415" t="inlineStr">
        <is>
          <t>BOOK</t>
        </is>
      </c>
      <c r="BB415" t="inlineStr">
        <is>
          <t>9780880482820</t>
        </is>
      </c>
      <c r="BC415" t="inlineStr">
        <is>
          <t>32285001033165</t>
        </is>
      </c>
      <c r="BD415" t="inlineStr">
        <is>
          <t>893797499</t>
        </is>
      </c>
    </row>
    <row r="416">
      <c r="A416" t="inlineStr">
        <is>
          <t>No</t>
        </is>
      </c>
      <c r="B416" t="inlineStr">
        <is>
          <t>RJ506.P38 K56 1988</t>
        </is>
      </c>
      <c r="C416" t="inlineStr">
        <is>
          <t>0                      RJ 0506000P  38                 K  56          1988</t>
        </is>
      </c>
      <c r="D416" t="inlineStr">
        <is>
          <t>Children's phobias : a behavioural perspective / Neville J. King, David I. Hamilton and Thomas H. Ollendick.</t>
        </is>
      </c>
      <c r="F416" t="inlineStr">
        <is>
          <t>No</t>
        </is>
      </c>
      <c r="G416" t="inlineStr">
        <is>
          <t>1</t>
        </is>
      </c>
      <c r="H416" t="inlineStr">
        <is>
          <t>Yes</t>
        </is>
      </c>
      <c r="I416" t="inlineStr">
        <is>
          <t>No</t>
        </is>
      </c>
      <c r="J416" t="inlineStr">
        <is>
          <t>0</t>
        </is>
      </c>
      <c r="K416" t="inlineStr">
        <is>
          <t>King, Neville J.</t>
        </is>
      </c>
      <c r="L416" t="inlineStr">
        <is>
          <t>Chichester ; New York : Wiley, c1988.</t>
        </is>
      </c>
      <c r="M416" t="inlineStr">
        <is>
          <t>1988</t>
        </is>
      </c>
      <c r="O416" t="inlineStr">
        <is>
          <t>eng</t>
        </is>
      </c>
      <c r="P416" t="inlineStr">
        <is>
          <t>enk</t>
        </is>
      </c>
      <c r="R416" t="inlineStr">
        <is>
          <t xml:space="preserve">RJ </t>
        </is>
      </c>
      <c r="S416" t="n">
        <v>8</v>
      </c>
      <c r="T416" t="n">
        <v>8</v>
      </c>
      <c r="U416" t="inlineStr">
        <is>
          <t>2004-10-10</t>
        </is>
      </c>
      <c r="V416" t="inlineStr">
        <is>
          <t>2004-10-10</t>
        </is>
      </c>
      <c r="W416" t="inlineStr">
        <is>
          <t>1990-07-05</t>
        </is>
      </c>
      <c r="X416" t="inlineStr">
        <is>
          <t>1990-07-05</t>
        </is>
      </c>
      <c r="Y416" t="n">
        <v>414</v>
      </c>
      <c r="Z416" t="n">
        <v>303</v>
      </c>
      <c r="AA416" t="n">
        <v>336</v>
      </c>
      <c r="AB416" t="n">
        <v>5</v>
      </c>
      <c r="AC416" t="n">
        <v>5</v>
      </c>
      <c r="AD416" t="n">
        <v>12</v>
      </c>
      <c r="AE416" t="n">
        <v>14</v>
      </c>
      <c r="AF416" t="n">
        <v>3</v>
      </c>
      <c r="AG416" t="n">
        <v>5</v>
      </c>
      <c r="AH416" t="n">
        <v>3</v>
      </c>
      <c r="AI416" t="n">
        <v>3</v>
      </c>
      <c r="AJ416" t="n">
        <v>4</v>
      </c>
      <c r="AK416" t="n">
        <v>5</v>
      </c>
      <c r="AL416" t="n">
        <v>3</v>
      </c>
      <c r="AM416" t="n">
        <v>3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HYPERLINK("http://catalog.hathitrust.org/Record/000916574","HathiTrust Record")</f>
        <v/>
      </c>
      <c r="AS416">
        <f>HYPERLINK("https://creighton-primo.hosted.exlibrisgroup.com/primo-explore/search?tab=default_tab&amp;search_scope=EVERYTHING&amp;vid=01CRU&amp;lang=en_US&amp;offset=0&amp;query=any,contains,991001092249702656","Catalog Record")</f>
        <v/>
      </c>
      <c r="AT416">
        <f>HYPERLINK("http://www.worldcat.org/oclc/16225611","WorldCat Record")</f>
        <v/>
      </c>
      <c r="AU416" t="inlineStr">
        <is>
          <t>12230546:eng</t>
        </is>
      </c>
      <c r="AV416" t="inlineStr">
        <is>
          <t>16225611</t>
        </is>
      </c>
      <c r="AW416" t="inlineStr">
        <is>
          <t>991001092249702656</t>
        </is>
      </c>
      <c r="AX416" t="inlineStr">
        <is>
          <t>991001092249702656</t>
        </is>
      </c>
      <c r="AY416" t="inlineStr">
        <is>
          <t>2264406310002656</t>
        </is>
      </c>
      <c r="AZ416" t="inlineStr">
        <is>
          <t>BOOK</t>
        </is>
      </c>
      <c r="BB416" t="inlineStr">
        <is>
          <t>9780471102762</t>
        </is>
      </c>
      <c r="BC416" t="inlineStr">
        <is>
          <t>32285000207463</t>
        </is>
      </c>
      <c r="BD416" t="inlineStr">
        <is>
          <t>893334037</t>
        </is>
      </c>
    </row>
    <row r="417">
      <c r="A417" t="inlineStr">
        <is>
          <t>No</t>
        </is>
      </c>
      <c r="B417" t="inlineStr">
        <is>
          <t>RJ506.P38 M67 1983</t>
        </is>
      </c>
      <c r="C417" t="inlineStr">
        <is>
          <t>0                      RJ 0506000P  38                 M  67          1983</t>
        </is>
      </c>
      <c r="D417" t="inlineStr">
        <is>
          <t>Treating children's fears and phobias : a behavioral approach / Richard J. Morris, Thomas R. Kratochwill.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Morris, Richard J.</t>
        </is>
      </c>
      <c r="L417" t="inlineStr">
        <is>
          <t>New York : Pergamon Press, c1983.</t>
        </is>
      </c>
      <c r="M417" t="inlineStr">
        <is>
          <t>1983</t>
        </is>
      </c>
      <c r="O417" t="inlineStr">
        <is>
          <t>eng</t>
        </is>
      </c>
      <c r="P417" t="inlineStr">
        <is>
          <t>nyu</t>
        </is>
      </c>
      <c r="Q417" t="inlineStr">
        <is>
          <t>Pergamon general psychology series ; 114</t>
        </is>
      </c>
      <c r="R417" t="inlineStr">
        <is>
          <t xml:space="preserve">RJ </t>
        </is>
      </c>
      <c r="S417" t="n">
        <v>12</v>
      </c>
      <c r="T417" t="n">
        <v>12</v>
      </c>
      <c r="U417" t="inlineStr">
        <is>
          <t>2004-10-10</t>
        </is>
      </c>
      <c r="V417" t="inlineStr">
        <is>
          <t>2004-10-10</t>
        </is>
      </c>
      <c r="W417" t="inlineStr">
        <is>
          <t>1993-03-03</t>
        </is>
      </c>
      <c r="X417" t="inlineStr">
        <is>
          <t>1993-03-03</t>
        </is>
      </c>
      <c r="Y417" t="n">
        <v>413</v>
      </c>
      <c r="Z417" t="n">
        <v>313</v>
      </c>
      <c r="AA417" t="n">
        <v>315</v>
      </c>
      <c r="AB417" t="n">
        <v>2</v>
      </c>
      <c r="AC417" t="n">
        <v>2</v>
      </c>
      <c r="AD417" t="n">
        <v>17</v>
      </c>
      <c r="AE417" t="n">
        <v>17</v>
      </c>
      <c r="AF417" t="n">
        <v>8</v>
      </c>
      <c r="AG417" t="n">
        <v>8</v>
      </c>
      <c r="AH417" t="n">
        <v>4</v>
      </c>
      <c r="AI417" t="n">
        <v>4</v>
      </c>
      <c r="AJ417" t="n">
        <v>9</v>
      </c>
      <c r="AK417" t="n">
        <v>9</v>
      </c>
      <c r="AL417" t="n">
        <v>1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HYPERLINK("http://catalog.hathitrust.org/Record/000476706","HathiTrust Record")</f>
        <v/>
      </c>
      <c r="AS417">
        <f>HYPERLINK("https://creighton-primo.hosted.exlibrisgroup.com/primo-explore/search?tab=default_tab&amp;search_scope=EVERYTHING&amp;vid=01CRU&amp;lang=en_US&amp;offset=0&amp;query=any,contains,991005251949702656","Catalog Record")</f>
        <v/>
      </c>
      <c r="AT417">
        <f>HYPERLINK("http://www.worldcat.org/oclc/8494736","WorldCat Record")</f>
        <v/>
      </c>
      <c r="AU417" t="inlineStr">
        <is>
          <t>197199277:eng</t>
        </is>
      </c>
      <c r="AV417" t="inlineStr">
        <is>
          <t>8494736</t>
        </is>
      </c>
      <c r="AW417" t="inlineStr">
        <is>
          <t>991005251949702656</t>
        </is>
      </c>
      <c r="AX417" t="inlineStr">
        <is>
          <t>991005251949702656</t>
        </is>
      </c>
      <c r="AY417" t="inlineStr">
        <is>
          <t>2260106940002656</t>
        </is>
      </c>
      <c r="AZ417" t="inlineStr">
        <is>
          <t>BOOK</t>
        </is>
      </c>
      <c r="BB417" t="inlineStr">
        <is>
          <t>9780080259987</t>
        </is>
      </c>
      <c r="BC417" t="inlineStr">
        <is>
          <t>32285001529766</t>
        </is>
      </c>
      <c r="BD417" t="inlineStr">
        <is>
          <t>893802003</t>
        </is>
      </c>
    </row>
    <row r="418">
      <c r="A418" t="inlineStr">
        <is>
          <t>No</t>
        </is>
      </c>
      <c r="B418" t="inlineStr">
        <is>
          <t>RJ506.P55 B75 1996</t>
        </is>
      </c>
      <c r="C418" t="inlineStr">
        <is>
          <t>0                      RJ 0506000P  55                 B  75          1996</t>
        </is>
      </c>
      <c r="D418" t="inlineStr">
        <is>
          <t>Working with traumatized children : a handbook for healing / Kathryn Brohl.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Brohl, Kathryn.</t>
        </is>
      </c>
      <c r="L418" t="inlineStr">
        <is>
          <t>Washington, DC : CWLA Press, c1996.</t>
        </is>
      </c>
      <c r="M418" t="inlineStr">
        <is>
          <t>1996</t>
        </is>
      </c>
      <c r="O418" t="inlineStr">
        <is>
          <t>eng</t>
        </is>
      </c>
      <c r="P418" t="inlineStr">
        <is>
          <t>dcu</t>
        </is>
      </c>
      <c r="R418" t="inlineStr">
        <is>
          <t xml:space="preserve">RJ </t>
        </is>
      </c>
      <c r="S418" t="n">
        <v>9</v>
      </c>
      <c r="T418" t="n">
        <v>9</v>
      </c>
      <c r="U418" t="inlineStr">
        <is>
          <t>2007-08-21</t>
        </is>
      </c>
      <c r="V418" t="inlineStr">
        <is>
          <t>2007-08-21</t>
        </is>
      </c>
      <c r="W418" t="inlineStr">
        <is>
          <t>1996-11-08</t>
        </is>
      </c>
      <c r="X418" t="inlineStr">
        <is>
          <t>1996-11-08</t>
        </is>
      </c>
      <c r="Y418" t="n">
        <v>270</v>
      </c>
      <c r="Z418" t="n">
        <v>244</v>
      </c>
      <c r="AA418" t="n">
        <v>297</v>
      </c>
      <c r="AB418" t="n">
        <v>3</v>
      </c>
      <c r="AC418" t="n">
        <v>3</v>
      </c>
      <c r="AD418" t="n">
        <v>12</v>
      </c>
      <c r="AE418" t="n">
        <v>12</v>
      </c>
      <c r="AF418" t="n">
        <v>4</v>
      </c>
      <c r="AG418" t="n">
        <v>4</v>
      </c>
      <c r="AH418" t="n">
        <v>3</v>
      </c>
      <c r="AI418" t="n">
        <v>3</v>
      </c>
      <c r="AJ418" t="n">
        <v>7</v>
      </c>
      <c r="AK418" t="n">
        <v>7</v>
      </c>
      <c r="AL418" t="n">
        <v>2</v>
      </c>
      <c r="AM418" t="n">
        <v>2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HYPERLINK("http://catalog.hathitrust.org/Record/003096627","HathiTrust Record")</f>
        <v/>
      </c>
      <c r="AS418">
        <f>HYPERLINK("https://creighton-primo.hosted.exlibrisgroup.com/primo-explore/search?tab=default_tab&amp;search_scope=EVERYTHING&amp;vid=01CRU&amp;lang=en_US&amp;offset=0&amp;query=any,contains,991002672729702656","Catalog Record")</f>
        <v/>
      </c>
      <c r="AT418">
        <f>HYPERLINK("http://www.worldcat.org/oclc/34951547","WorldCat Record")</f>
        <v/>
      </c>
      <c r="AU418" t="inlineStr">
        <is>
          <t>474799929:eng</t>
        </is>
      </c>
      <c r="AV418" t="inlineStr">
        <is>
          <t>34951547</t>
        </is>
      </c>
      <c r="AW418" t="inlineStr">
        <is>
          <t>991002672729702656</t>
        </is>
      </c>
      <c r="AX418" t="inlineStr">
        <is>
          <t>991002672729702656</t>
        </is>
      </c>
      <c r="AY418" t="inlineStr">
        <is>
          <t>2262197100002656</t>
        </is>
      </c>
      <c r="AZ418" t="inlineStr">
        <is>
          <t>BOOK</t>
        </is>
      </c>
      <c r="BB418" t="inlineStr">
        <is>
          <t>9780878686339</t>
        </is>
      </c>
      <c r="BC418" t="inlineStr">
        <is>
          <t>32285001419380</t>
        </is>
      </c>
      <c r="BD418" t="inlineStr">
        <is>
          <t>893873837</t>
        </is>
      </c>
    </row>
    <row r="419">
      <c r="A419" t="inlineStr">
        <is>
          <t>No</t>
        </is>
      </c>
      <c r="B419" t="inlineStr">
        <is>
          <t>RJ506.P63 A57 1998</t>
        </is>
      </c>
      <c r="C419" t="inlineStr">
        <is>
          <t>0                      RJ 0506000P  63                 A  57          1998</t>
        </is>
      </c>
      <c r="D419" t="inlineStr">
        <is>
          <t>Antisocial behavior and mental health problems : explanatory factors in childhood and adolescence / Rolf Loeber ... [et al.].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Mahwah, N.J. : L. Erlbaum Associates, 1998.</t>
        </is>
      </c>
      <c r="M419" t="inlineStr">
        <is>
          <t>1998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RJ </t>
        </is>
      </c>
      <c r="S419" t="n">
        <v>2</v>
      </c>
      <c r="T419" t="n">
        <v>2</v>
      </c>
      <c r="U419" t="inlineStr">
        <is>
          <t>1998-11-24</t>
        </is>
      </c>
      <c r="V419" t="inlineStr">
        <is>
          <t>1998-11-24</t>
        </is>
      </c>
      <c r="W419" t="inlineStr">
        <is>
          <t>1998-09-15</t>
        </is>
      </c>
      <c r="X419" t="inlineStr">
        <is>
          <t>1998-09-15</t>
        </is>
      </c>
      <c r="Y419" t="n">
        <v>267</v>
      </c>
      <c r="Z419" t="n">
        <v>221</v>
      </c>
      <c r="AA419" t="n">
        <v>836</v>
      </c>
      <c r="AB419" t="n">
        <v>2</v>
      </c>
      <c r="AC419" t="n">
        <v>3</v>
      </c>
      <c r="AD419" t="n">
        <v>9</v>
      </c>
      <c r="AE419" t="n">
        <v>18</v>
      </c>
      <c r="AF419" t="n">
        <v>3</v>
      </c>
      <c r="AG419" t="n">
        <v>11</v>
      </c>
      <c r="AH419" t="n">
        <v>4</v>
      </c>
      <c r="AI419" t="n">
        <v>5</v>
      </c>
      <c r="AJ419" t="n">
        <v>5</v>
      </c>
      <c r="AK419" t="n">
        <v>7</v>
      </c>
      <c r="AL419" t="n">
        <v>1</v>
      </c>
      <c r="AM419" t="n">
        <v>2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HYPERLINK("https://creighton-primo.hosted.exlibrisgroup.com/primo-explore/search?tab=default_tab&amp;search_scope=EVERYTHING&amp;vid=01CRU&amp;lang=en_US&amp;offset=0&amp;query=any,contains,991002854349702656","Catalog Record")</f>
        <v/>
      </c>
      <c r="AT419">
        <f>HYPERLINK("http://www.worldcat.org/oclc/37608250","WorldCat Record")</f>
        <v/>
      </c>
      <c r="AU419" t="inlineStr">
        <is>
          <t>799758748:eng</t>
        </is>
      </c>
      <c r="AV419" t="inlineStr">
        <is>
          <t>37608250</t>
        </is>
      </c>
      <c r="AW419" t="inlineStr">
        <is>
          <t>991002854349702656</t>
        </is>
      </c>
      <c r="AX419" t="inlineStr">
        <is>
          <t>991002854349702656</t>
        </is>
      </c>
      <c r="AY419" t="inlineStr">
        <is>
          <t>2264306490002656</t>
        </is>
      </c>
      <c r="AZ419" t="inlineStr">
        <is>
          <t>BOOK</t>
        </is>
      </c>
      <c r="BB419" t="inlineStr">
        <is>
          <t>9780805829563</t>
        </is>
      </c>
      <c r="BC419" t="inlineStr">
        <is>
          <t>32285003468104</t>
        </is>
      </c>
      <c r="BD419" t="inlineStr">
        <is>
          <t>893409631</t>
        </is>
      </c>
    </row>
    <row r="420">
      <c r="A420" t="inlineStr">
        <is>
          <t>No</t>
        </is>
      </c>
      <c r="B420" t="inlineStr">
        <is>
          <t>RJ506.P63 H47</t>
        </is>
      </c>
      <c r="C420" t="inlineStr">
        <is>
          <t>0                      RJ 0506000P  63                 H  47</t>
        </is>
      </c>
      <c r="D420" t="inlineStr">
        <is>
          <t>Conduct disorders of childhood and adolescence : a behavioural approach to assessment and treatment / Martin Herbert.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Herbert, Martin.</t>
        </is>
      </c>
      <c r="L420" t="inlineStr">
        <is>
          <t>Chichester ; New York : Wiley, c1978.</t>
        </is>
      </c>
      <c r="M420" t="inlineStr">
        <is>
          <t>1978</t>
        </is>
      </c>
      <c r="O420" t="inlineStr">
        <is>
          <t>eng</t>
        </is>
      </c>
      <c r="P420" t="inlineStr">
        <is>
          <t>enk</t>
        </is>
      </c>
      <c r="R420" t="inlineStr">
        <is>
          <t xml:space="preserve">RJ </t>
        </is>
      </c>
      <c r="S420" t="n">
        <v>18</v>
      </c>
      <c r="T420" t="n">
        <v>18</v>
      </c>
      <c r="U420" t="inlineStr">
        <is>
          <t>2000-07-18</t>
        </is>
      </c>
      <c r="V420" t="inlineStr">
        <is>
          <t>2000-07-18</t>
        </is>
      </c>
      <c r="W420" t="inlineStr">
        <is>
          <t>1992-02-06</t>
        </is>
      </c>
      <c r="X420" t="inlineStr">
        <is>
          <t>1992-02-06</t>
        </is>
      </c>
      <c r="Y420" t="n">
        <v>330</v>
      </c>
      <c r="Z420" t="n">
        <v>183</v>
      </c>
      <c r="AA420" t="n">
        <v>185</v>
      </c>
      <c r="AB420" t="n">
        <v>3</v>
      </c>
      <c r="AC420" t="n">
        <v>3</v>
      </c>
      <c r="AD420" t="n">
        <v>3</v>
      </c>
      <c r="AE420" t="n">
        <v>3</v>
      </c>
      <c r="AF420" t="n">
        <v>0</v>
      </c>
      <c r="AG420" t="n">
        <v>0</v>
      </c>
      <c r="AH420" t="n">
        <v>0</v>
      </c>
      <c r="AI420" t="n">
        <v>0</v>
      </c>
      <c r="AJ420" t="n">
        <v>2</v>
      </c>
      <c r="AK420" t="n">
        <v>2</v>
      </c>
      <c r="AL420" t="n">
        <v>1</v>
      </c>
      <c r="AM420" t="n">
        <v>1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HYPERLINK("http://catalog.hathitrust.org/Record/000252398","HathiTrust Record")</f>
        <v/>
      </c>
      <c r="AS420">
        <f>HYPERLINK("https://creighton-primo.hosted.exlibrisgroup.com/primo-explore/search?tab=default_tab&amp;search_scope=EVERYTHING&amp;vid=01CRU&amp;lang=en_US&amp;offset=0&amp;query=any,contains,991004325089702656","Catalog Record")</f>
        <v/>
      </c>
      <c r="AT420">
        <f>HYPERLINK("http://www.worldcat.org/oclc/3034244","WorldCat Record")</f>
        <v/>
      </c>
      <c r="AU420" t="inlineStr">
        <is>
          <t>7700126:eng</t>
        </is>
      </c>
      <c r="AV420" t="inlineStr">
        <is>
          <t>3034244</t>
        </is>
      </c>
      <c r="AW420" t="inlineStr">
        <is>
          <t>991004325089702656</t>
        </is>
      </c>
      <c r="AX420" t="inlineStr">
        <is>
          <t>991004325089702656</t>
        </is>
      </c>
      <c r="AY420" t="inlineStr">
        <is>
          <t>2261333470002656</t>
        </is>
      </c>
      <c r="AZ420" t="inlineStr">
        <is>
          <t>BOOK</t>
        </is>
      </c>
      <c r="BB420" t="inlineStr">
        <is>
          <t>9780471995098</t>
        </is>
      </c>
      <c r="BC420" t="inlineStr">
        <is>
          <t>32285000934652</t>
        </is>
      </c>
      <c r="BD420" t="inlineStr">
        <is>
          <t>893259598</t>
        </is>
      </c>
    </row>
    <row r="421">
      <c r="A421" t="inlineStr">
        <is>
          <t>No</t>
        </is>
      </c>
      <c r="B421" t="inlineStr">
        <is>
          <t>RJ506.P63 H47 1987</t>
        </is>
      </c>
      <c r="C421" t="inlineStr">
        <is>
          <t>0                      RJ 0506000P  63                 H  47          1987</t>
        </is>
      </c>
      <c r="D421" t="inlineStr">
        <is>
          <t>Conduct disorders of childhood and adolescence : a social learning perspective / Martin Herbert.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Herbert, Martin.</t>
        </is>
      </c>
      <c r="L421" t="inlineStr">
        <is>
          <t>Chichester ; New York : Wiley, c1987.</t>
        </is>
      </c>
      <c r="M421" t="inlineStr">
        <is>
          <t>1987</t>
        </is>
      </c>
      <c r="N421" t="inlineStr">
        <is>
          <t>2nd ed.</t>
        </is>
      </c>
      <c r="O421" t="inlineStr">
        <is>
          <t>eng</t>
        </is>
      </c>
      <c r="P421" t="inlineStr">
        <is>
          <t>enk</t>
        </is>
      </c>
      <c r="R421" t="inlineStr">
        <is>
          <t xml:space="preserve">RJ </t>
        </is>
      </c>
      <c r="S421" t="n">
        <v>18</v>
      </c>
      <c r="T421" t="n">
        <v>18</v>
      </c>
      <c r="U421" t="inlineStr">
        <is>
          <t>1999-02-16</t>
        </is>
      </c>
      <c r="V421" t="inlineStr">
        <is>
          <t>1999-02-16</t>
        </is>
      </c>
      <c r="W421" t="inlineStr">
        <is>
          <t>1992-02-06</t>
        </is>
      </c>
      <c r="X421" t="inlineStr">
        <is>
          <t>1992-02-06</t>
        </is>
      </c>
      <c r="Y421" t="n">
        <v>282</v>
      </c>
      <c r="Z421" t="n">
        <v>181</v>
      </c>
      <c r="AA421" t="n">
        <v>188</v>
      </c>
      <c r="AB421" t="n">
        <v>2</v>
      </c>
      <c r="AC421" t="n">
        <v>2</v>
      </c>
      <c r="AD421" t="n">
        <v>4</v>
      </c>
      <c r="AE421" t="n">
        <v>4</v>
      </c>
      <c r="AF421" t="n">
        <v>0</v>
      </c>
      <c r="AG421" t="n">
        <v>0</v>
      </c>
      <c r="AH421" t="n">
        <v>1</v>
      </c>
      <c r="AI421" t="n">
        <v>1</v>
      </c>
      <c r="AJ421" t="n">
        <v>3</v>
      </c>
      <c r="AK421" t="n">
        <v>3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HYPERLINK("http://catalog.hathitrust.org/Record/000829322","HathiTrust Record")</f>
        <v/>
      </c>
      <c r="AS421">
        <f>HYPERLINK("https://creighton-primo.hosted.exlibrisgroup.com/primo-explore/search?tab=default_tab&amp;search_scope=EVERYTHING&amp;vid=01CRU&amp;lang=en_US&amp;offset=0&amp;query=any,contains,991000897899702656","Catalog Record")</f>
        <v/>
      </c>
      <c r="AT421">
        <f>HYPERLINK("http://www.worldcat.org/oclc/14002268","WorldCat Record")</f>
        <v/>
      </c>
      <c r="AU421" t="inlineStr">
        <is>
          <t>4494877350:eng</t>
        </is>
      </c>
      <c r="AV421" t="inlineStr">
        <is>
          <t>14002268</t>
        </is>
      </c>
      <c r="AW421" t="inlineStr">
        <is>
          <t>991000897899702656</t>
        </is>
      </c>
      <c r="AX421" t="inlineStr">
        <is>
          <t>991000897899702656</t>
        </is>
      </c>
      <c r="AY421" t="inlineStr">
        <is>
          <t>2257089770002656</t>
        </is>
      </c>
      <c r="AZ421" t="inlineStr">
        <is>
          <t>BOOK</t>
        </is>
      </c>
      <c r="BB421" t="inlineStr">
        <is>
          <t>9780471912316</t>
        </is>
      </c>
      <c r="BC421" t="inlineStr">
        <is>
          <t>32285000934645</t>
        </is>
      </c>
      <c r="BD421" t="inlineStr">
        <is>
          <t>893255838</t>
        </is>
      </c>
    </row>
    <row r="422">
      <c r="A422" t="inlineStr">
        <is>
          <t>No</t>
        </is>
      </c>
      <c r="B422" t="inlineStr">
        <is>
          <t>RJ506.P63 R67 1998</t>
        </is>
      </c>
      <c r="C422" t="inlineStr">
        <is>
          <t>0                      RJ 0506000P  63                 R  67          1998</t>
        </is>
      </c>
      <c r="D422" t="inlineStr">
        <is>
          <t>Group therapy with troubled youth : a cognitive-behavioral interactive approach / by Sheldon D. Rose.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Rose, Sheldon D.</t>
        </is>
      </c>
      <c r="L422" t="inlineStr">
        <is>
          <t>Thousand Oaks : Sage Publications, c1998.</t>
        </is>
      </c>
      <c r="M422" t="inlineStr">
        <is>
          <t>1998</t>
        </is>
      </c>
      <c r="O422" t="inlineStr">
        <is>
          <t>eng</t>
        </is>
      </c>
      <c r="P422" t="inlineStr">
        <is>
          <t>cau</t>
        </is>
      </c>
      <c r="R422" t="inlineStr">
        <is>
          <t xml:space="preserve">RJ </t>
        </is>
      </c>
      <c r="S422" t="n">
        <v>2</v>
      </c>
      <c r="T422" t="n">
        <v>2</v>
      </c>
      <c r="U422" t="inlineStr">
        <is>
          <t>2003-03-22</t>
        </is>
      </c>
      <c r="V422" t="inlineStr">
        <is>
          <t>2003-03-22</t>
        </is>
      </c>
      <c r="W422" t="inlineStr">
        <is>
          <t>2000-12-20</t>
        </is>
      </c>
      <c r="X422" t="inlineStr">
        <is>
          <t>2000-12-20</t>
        </is>
      </c>
      <c r="Y422" t="n">
        <v>355</v>
      </c>
      <c r="Z422" t="n">
        <v>250</v>
      </c>
      <c r="AA422" t="n">
        <v>252</v>
      </c>
      <c r="AB422" t="n">
        <v>3</v>
      </c>
      <c r="AC422" t="n">
        <v>3</v>
      </c>
      <c r="AD422" t="n">
        <v>7</v>
      </c>
      <c r="AE422" t="n">
        <v>7</v>
      </c>
      <c r="AF422" t="n">
        <v>4</v>
      </c>
      <c r="AG422" t="n">
        <v>4</v>
      </c>
      <c r="AH422" t="n">
        <v>0</v>
      </c>
      <c r="AI422" t="n">
        <v>0</v>
      </c>
      <c r="AJ422" t="n">
        <v>2</v>
      </c>
      <c r="AK422" t="n">
        <v>2</v>
      </c>
      <c r="AL422" t="n">
        <v>2</v>
      </c>
      <c r="AM422" t="n">
        <v>2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HYPERLINK("http://catalog.hathitrust.org/Record/003259551","HathiTrust Record")</f>
        <v/>
      </c>
      <c r="AS422">
        <f>HYPERLINK("https://creighton-primo.hosted.exlibrisgroup.com/primo-explore/search?tab=default_tab&amp;search_scope=EVERYTHING&amp;vid=01CRU&amp;lang=en_US&amp;offset=0&amp;query=any,contains,991003329899702656","Catalog Record")</f>
        <v/>
      </c>
      <c r="AT422">
        <f>HYPERLINK("http://www.worldcat.org/oclc/37527587","WorldCat Record")</f>
        <v/>
      </c>
      <c r="AU422" t="inlineStr">
        <is>
          <t>590617:eng</t>
        </is>
      </c>
      <c r="AV422" t="inlineStr">
        <is>
          <t>37527587</t>
        </is>
      </c>
      <c r="AW422" t="inlineStr">
        <is>
          <t>991003329899702656</t>
        </is>
      </c>
      <c r="AX422" t="inlineStr">
        <is>
          <t>991003329899702656</t>
        </is>
      </c>
      <c r="AY422" t="inlineStr">
        <is>
          <t>2265126940002656</t>
        </is>
      </c>
      <c r="AZ422" t="inlineStr">
        <is>
          <t>BOOK</t>
        </is>
      </c>
      <c r="BB422" t="inlineStr">
        <is>
          <t>9780761909279</t>
        </is>
      </c>
      <c r="BC422" t="inlineStr">
        <is>
          <t>32285004278080</t>
        </is>
      </c>
      <c r="BD422" t="inlineStr">
        <is>
          <t>893441180</t>
        </is>
      </c>
    </row>
    <row r="423">
      <c r="A423" t="inlineStr">
        <is>
          <t>No</t>
        </is>
      </c>
      <c r="B423" t="inlineStr">
        <is>
          <t>RJ506.P63 S45 1998</t>
        </is>
      </c>
      <c r="C423" t="inlineStr">
        <is>
          <t>0                      RJ 0506000P  63                 S  45          1998</t>
        </is>
      </c>
      <c r="D423" t="inlineStr">
        <is>
          <t>Treating the tough adolescent : a family-based, step-by-step guide / Scott P. Sells ; forewords by Jay Haley and Neil Schiff.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Sells, Scott P.</t>
        </is>
      </c>
      <c r="L423" t="inlineStr">
        <is>
          <t>New York : Guilford Press, c1998.</t>
        </is>
      </c>
      <c r="M423" t="inlineStr">
        <is>
          <t>1998</t>
        </is>
      </c>
      <c r="O423" t="inlineStr">
        <is>
          <t>eng</t>
        </is>
      </c>
      <c r="P423" t="inlineStr">
        <is>
          <t>nyu</t>
        </is>
      </c>
      <c r="Q423" t="inlineStr">
        <is>
          <t>The Guilford family therapy series</t>
        </is>
      </c>
      <c r="R423" t="inlineStr">
        <is>
          <t xml:space="preserve">RJ </t>
        </is>
      </c>
      <c r="S423" t="n">
        <v>2</v>
      </c>
      <c r="T423" t="n">
        <v>2</v>
      </c>
      <c r="U423" t="inlineStr">
        <is>
          <t>2008-07-22</t>
        </is>
      </c>
      <c r="V423" t="inlineStr">
        <is>
          <t>2008-07-22</t>
        </is>
      </c>
      <c r="W423" t="inlineStr">
        <is>
          <t>1999-11-09</t>
        </is>
      </c>
      <c r="X423" t="inlineStr">
        <is>
          <t>1999-11-09</t>
        </is>
      </c>
      <c r="Y423" t="n">
        <v>484</v>
      </c>
      <c r="Z423" t="n">
        <v>419</v>
      </c>
      <c r="AA423" t="n">
        <v>455</v>
      </c>
      <c r="AB423" t="n">
        <v>2</v>
      </c>
      <c r="AC423" t="n">
        <v>2</v>
      </c>
      <c r="AD423" t="n">
        <v>13</v>
      </c>
      <c r="AE423" t="n">
        <v>16</v>
      </c>
      <c r="AF423" t="n">
        <v>2</v>
      </c>
      <c r="AG423" t="n">
        <v>4</v>
      </c>
      <c r="AH423" t="n">
        <v>4</v>
      </c>
      <c r="AI423" t="n">
        <v>4</v>
      </c>
      <c r="AJ423" t="n">
        <v>9</v>
      </c>
      <c r="AK423" t="n">
        <v>10</v>
      </c>
      <c r="AL423" t="n">
        <v>1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HYPERLINK("https://creighton-primo.hosted.exlibrisgroup.com/primo-explore/search?tab=default_tab&amp;search_scope=EVERYTHING&amp;vid=01CRU&amp;lang=en_US&amp;offset=0&amp;query=any,contains,991002966449702656","Catalog Record")</f>
        <v/>
      </c>
      <c r="AT423">
        <f>HYPERLINK("http://www.worldcat.org/oclc/39695720","WorldCat Record")</f>
        <v/>
      </c>
      <c r="AU423" t="inlineStr">
        <is>
          <t>905865083:eng</t>
        </is>
      </c>
      <c r="AV423" t="inlineStr">
        <is>
          <t>39695720</t>
        </is>
      </c>
      <c r="AW423" t="inlineStr">
        <is>
          <t>991002966449702656</t>
        </is>
      </c>
      <c r="AX423" t="inlineStr">
        <is>
          <t>991002966449702656</t>
        </is>
      </c>
      <c r="AY423" t="inlineStr">
        <is>
          <t>2264729810002656</t>
        </is>
      </c>
      <c r="AZ423" t="inlineStr">
        <is>
          <t>BOOK</t>
        </is>
      </c>
      <c r="BB423" t="inlineStr">
        <is>
          <t>9781572304222</t>
        </is>
      </c>
      <c r="BC423" t="inlineStr">
        <is>
          <t>32285003619763</t>
        </is>
      </c>
      <c r="BD423" t="inlineStr">
        <is>
          <t>893428284</t>
        </is>
      </c>
    </row>
    <row r="424">
      <c r="A424" t="inlineStr">
        <is>
          <t>No</t>
        </is>
      </c>
      <c r="B424" t="inlineStr">
        <is>
          <t>RJ506.P63 S66 1997</t>
        </is>
      </c>
      <c r="C424" t="inlineStr">
        <is>
          <t>0                      RJ 0506000P  63                 S  66          1997</t>
        </is>
      </c>
      <c r="D424" t="inlineStr">
        <is>
          <t>Tough kids, cool counseling : user-friendly approaches with challenging youths / John Sommers-Flanagan, Rita Sommers-Flanagan.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Sommers-Flanagan, John, 1957-</t>
        </is>
      </c>
      <c r="L424" t="inlineStr">
        <is>
          <t>Alexandria, Va. : American Counseling Assoc., 1997.</t>
        </is>
      </c>
      <c r="M424" t="inlineStr">
        <is>
          <t>1997</t>
        </is>
      </c>
      <c r="O424" t="inlineStr">
        <is>
          <t>eng</t>
        </is>
      </c>
      <c r="P424" t="inlineStr">
        <is>
          <t>vau</t>
        </is>
      </c>
      <c r="R424" t="inlineStr">
        <is>
          <t xml:space="preserve">RJ </t>
        </is>
      </c>
      <c r="S424" t="n">
        <v>6</v>
      </c>
      <c r="T424" t="n">
        <v>6</v>
      </c>
      <c r="U424" t="inlineStr">
        <is>
          <t>2000-07-03</t>
        </is>
      </c>
      <c r="V424" t="inlineStr">
        <is>
          <t>2000-07-03</t>
        </is>
      </c>
      <c r="W424" t="inlineStr">
        <is>
          <t>1997-05-06</t>
        </is>
      </c>
      <c r="X424" t="inlineStr">
        <is>
          <t>1997-05-06</t>
        </is>
      </c>
      <c r="Y424" t="n">
        <v>152</v>
      </c>
      <c r="Z424" t="n">
        <v>130</v>
      </c>
      <c r="AA424" t="n">
        <v>621</v>
      </c>
      <c r="AB424" t="n">
        <v>2</v>
      </c>
      <c r="AC424" t="n">
        <v>8</v>
      </c>
      <c r="AD424" t="n">
        <v>6</v>
      </c>
      <c r="AE424" t="n">
        <v>34</v>
      </c>
      <c r="AF424" t="n">
        <v>3</v>
      </c>
      <c r="AG424" t="n">
        <v>13</v>
      </c>
      <c r="AH424" t="n">
        <v>1</v>
      </c>
      <c r="AI424" t="n">
        <v>6</v>
      </c>
      <c r="AJ424" t="n">
        <v>3</v>
      </c>
      <c r="AK424" t="n">
        <v>12</v>
      </c>
      <c r="AL424" t="n">
        <v>1</v>
      </c>
      <c r="AM424" t="n">
        <v>7</v>
      </c>
      <c r="AN424" t="n">
        <v>0</v>
      </c>
      <c r="AO424" t="n">
        <v>1</v>
      </c>
      <c r="AP424" t="inlineStr">
        <is>
          <t>No</t>
        </is>
      </c>
      <c r="AQ424" t="inlineStr">
        <is>
          <t>No</t>
        </is>
      </c>
      <c r="AS424">
        <f>HYPERLINK("https://creighton-primo.hosted.exlibrisgroup.com/primo-explore/search?tab=default_tab&amp;search_scope=EVERYTHING&amp;vid=01CRU&amp;lang=en_US&amp;offset=0&amp;query=any,contains,991002764949702656","Catalog Record")</f>
        <v/>
      </c>
      <c r="AT424">
        <f>HYPERLINK("http://www.worldcat.org/oclc/36283966","WorldCat Record")</f>
        <v/>
      </c>
      <c r="AU424" t="inlineStr">
        <is>
          <t>436106519:eng</t>
        </is>
      </c>
      <c r="AV424" t="inlineStr">
        <is>
          <t>36283966</t>
        </is>
      </c>
      <c r="AW424" t="inlineStr">
        <is>
          <t>991002764949702656</t>
        </is>
      </c>
      <c r="AX424" t="inlineStr">
        <is>
          <t>991002764949702656</t>
        </is>
      </c>
      <c r="AY424" t="inlineStr">
        <is>
          <t>2272539160002656</t>
        </is>
      </c>
      <c r="AZ424" t="inlineStr">
        <is>
          <t>BOOK</t>
        </is>
      </c>
      <c r="BB424" t="inlineStr">
        <is>
          <t>9781556201721</t>
        </is>
      </c>
      <c r="BC424" t="inlineStr">
        <is>
          <t>32285002544699</t>
        </is>
      </c>
      <c r="BD424" t="inlineStr">
        <is>
          <t>893421775</t>
        </is>
      </c>
    </row>
    <row r="425">
      <c r="A425" t="inlineStr">
        <is>
          <t>No</t>
        </is>
      </c>
      <c r="B425" t="inlineStr">
        <is>
          <t>RJ506.P66 C47 1998</t>
        </is>
      </c>
      <c r="C425" t="inlineStr">
        <is>
          <t>0                      RJ 0506000P  66                 C  47          1998</t>
        </is>
      </c>
      <c r="D425" t="inlineStr">
        <is>
          <t>Children of trauma : stressful life events and their effects on children and adolescents / edited by Thomas W. Miller.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Madison, Conn. : International Universities Press, c1998.</t>
        </is>
      </c>
      <c r="M425" t="inlineStr">
        <is>
          <t>1998</t>
        </is>
      </c>
      <c r="O425" t="inlineStr">
        <is>
          <t>eng</t>
        </is>
      </c>
      <c r="P425" t="inlineStr">
        <is>
          <t>ctu</t>
        </is>
      </c>
      <c r="Q425" t="inlineStr">
        <is>
          <t>International Universities Press stress and health series ; monograph 8</t>
        </is>
      </c>
      <c r="R425" t="inlineStr">
        <is>
          <t xml:space="preserve">RJ </t>
        </is>
      </c>
      <c r="S425" t="n">
        <v>9</v>
      </c>
      <c r="T425" t="n">
        <v>9</v>
      </c>
      <c r="U425" t="inlineStr">
        <is>
          <t>2007-08-21</t>
        </is>
      </c>
      <c r="V425" t="inlineStr">
        <is>
          <t>2007-08-21</t>
        </is>
      </c>
      <c r="W425" t="inlineStr">
        <is>
          <t>1998-12-16</t>
        </is>
      </c>
      <c r="X425" t="inlineStr">
        <is>
          <t>1998-12-16</t>
        </is>
      </c>
      <c r="Y425" t="n">
        <v>343</v>
      </c>
      <c r="Z425" t="n">
        <v>294</v>
      </c>
      <c r="AA425" t="n">
        <v>296</v>
      </c>
      <c r="AB425" t="n">
        <v>3</v>
      </c>
      <c r="AC425" t="n">
        <v>3</v>
      </c>
      <c r="AD425" t="n">
        <v>15</v>
      </c>
      <c r="AE425" t="n">
        <v>15</v>
      </c>
      <c r="AF425" t="n">
        <v>4</v>
      </c>
      <c r="AG425" t="n">
        <v>4</v>
      </c>
      <c r="AH425" t="n">
        <v>4</v>
      </c>
      <c r="AI425" t="n">
        <v>4</v>
      </c>
      <c r="AJ425" t="n">
        <v>9</v>
      </c>
      <c r="AK425" t="n">
        <v>9</v>
      </c>
      <c r="AL425" t="n">
        <v>2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HYPERLINK("http://catalog.hathitrust.org/Record/003996360","HathiTrust Record")</f>
        <v/>
      </c>
      <c r="AS425">
        <f>HYPERLINK("https://creighton-primo.hosted.exlibrisgroup.com/primo-explore/search?tab=default_tab&amp;search_scope=EVERYTHING&amp;vid=01CRU&amp;lang=en_US&amp;offset=0&amp;query=any,contains,991002807759702656","Catalog Record")</f>
        <v/>
      </c>
      <c r="AT425">
        <f>HYPERLINK("http://www.worldcat.org/oclc/36884826","WorldCat Record")</f>
        <v/>
      </c>
      <c r="AU425" t="inlineStr">
        <is>
          <t>923688116:eng</t>
        </is>
      </c>
      <c r="AV425" t="inlineStr">
        <is>
          <t>36884826</t>
        </is>
      </c>
      <c r="AW425" t="inlineStr">
        <is>
          <t>991002807759702656</t>
        </is>
      </c>
      <c r="AX425" t="inlineStr">
        <is>
          <t>991002807759702656</t>
        </is>
      </c>
      <c r="AY425" t="inlineStr">
        <is>
          <t>2269111880002656</t>
        </is>
      </c>
      <c r="AZ425" t="inlineStr">
        <is>
          <t>BOOK</t>
        </is>
      </c>
      <c r="BB425" t="inlineStr">
        <is>
          <t>9780823608102</t>
        </is>
      </c>
      <c r="BC425" t="inlineStr">
        <is>
          <t>32285003506929</t>
        </is>
      </c>
      <c r="BD425" t="inlineStr">
        <is>
          <t>893233443</t>
        </is>
      </c>
    </row>
    <row r="426">
      <c r="A426" t="inlineStr">
        <is>
          <t>No</t>
        </is>
      </c>
      <c r="B426" t="inlineStr">
        <is>
          <t>RJ506.P68 M68</t>
        </is>
      </c>
      <c r="C426" t="inlineStr">
        <is>
          <t>0                      RJ 0506000P  68                 M  68</t>
        </is>
      </c>
      <c r="D426" t="inlineStr">
        <is>
          <t>Sensory-motor dysfunction and therapy in infancy and early childhood / by Delmont Morrison, Patricia Pothier, Katy Horr.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Morrison, Delmont C., 1932-</t>
        </is>
      </c>
      <c r="L426" t="inlineStr">
        <is>
          <t>Springfield, Ill. : Thomas, c1978.</t>
        </is>
      </c>
      <c r="M426" t="inlineStr">
        <is>
          <t>1978</t>
        </is>
      </c>
      <c r="O426" t="inlineStr">
        <is>
          <t>eng</t>
        </is>
      </c>
      <c r="P426" t="inlineStr">
        <is>
          <t>ilu</t>
        </is>
      </c>
      <c r="R426" t="inlineStr">
        <is>
          <t xml:space="preserve">RJ </t>
        </is>
      </c>
      <c r="S426" t="n">
        <v>2</v>
      </c>
      <c r="T426" t="n">
        <v>2</v>
      </c>
      <c r="U426" t="inlineStr">
        <is>
          <t>1999-01-24</t>
        </is>
      </c>
      <c r="V426" t="inlineStr">
        <is>
          <t>1999-01-24</t>
        </is>
      </c>
      <c r="W426" t="inlineStr">
        <is>
          <t>1993-03-03</t>
        </is>
      </c>
      <c r="X426" t="inlineStr">
        <is>
          <t>1993-03-03</t>
        </is>
      </c>
      <c r="Y426" t="n">
        <v>240</v>
      </c>
      <c r="Z426" t="n">
        <v>206</v>
      </c>
      <c r="AA426" t="n">
        <v>208</v>
      </c>
      <c r="AB426" t="n">
        <v>4</v>
      </c>
      <c r="AC426" t="n">
        <v>4</v>
      </c>
      <c r="AD426" t="n">
        <v>8</v>
      </c>
      <c r="AE426" t="n">
        <v>8</v>
      </c>
      <c r="AF426" t="n">
        <v>4</v>
      </c>
      <c r="AG426" t="n">
        <v>4</v>
      </c>
      <c r="AH426" t="n">
        <v>0</v>
      </c>
      <c r="AI426" t="n">
        <v>0</v>
      </c>
      <c r="AJ426" t="n">
        <v>4</v>
      </c>
      <c r="AK426" t="n">
        <v>4</v>
      </c>
      <c r="AL426" t="n">
        <v>2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HYPERLINK("http://catalog.hathitrust.org/Record/000088465","HathiTrust Record")</f>
        <v/>
      </c>
      <c r="AS426">
        <f>HYPERLINK("https://creighton-primo.hosted.exlibrisgroup.com/primo-explore/search?tab=default_tab&amp;search_scope=EVERYTHING&amp;vid=01CRU&amp;lang=en_US&amp;offset=0&amp;query=any,contains,991005265329702656","Catalog Record")</f>
        <v/>
      </c>
      <c r="AT426">
        <f>HYPERLINK("http://www.worldcat.org/oclc/3516357","WorldCat Record")</f>
        <v/>
      </c>
      <c r="AU426" t="inlineStr">
        <is>
          <t>471900:eng</t>
        </is>
      </c>
      <c r="AV426" t="inlineStr">
        <is>
          <t>3516357</t>
        </is>
      </c>
      <c r="AW426" t="inlineStr">
        <is>
          <t>991005265329702656</t>
        </is>
      </c>
      <c r="AX426" t="inlineStr">
        <is>
          <t>991005265329702656</t>
        </is>
      </c>
      <c r="AY426" t="inlineStr">
        <is>
          <t>2272415420002656</t>
        </is>
      </c>
      <c r="AZ426" t="inlineStr">
        <is>
          <t>BOOK</t>
        </is>
      </c>
      <c r="BB426" t="inlineStr">
        <is>
          <t>9780398037666</t>
        </is>
      </c>
      <c r="BC426" t="inlineStr">
        <is>
          <t>32285001529782</t>
        </is>
      </c>
      <c r="BD426" t="inlineStr">
        <is>
          <t>893260827</t>
        </is>
      </c>
    </row>
    <row r="427">
      <c r="A427" t="inlineStr">
        <is>
          <t>No</t>
        </is>
      </c>
      <c r="B427" t="inlineStr">
        <is>
          <t>RJ506.P72 H36 1995</t>
        </is>
      </c>
      <c r="C427" t="inlineStr">
        <is>
          <t>0                      RJ 0506000P  72                 H  36          1995</t>
        </is>
      </c>
      <c r="D427" t="inlineStr">
        <is>
          <t>Handbook of child and adolescent sexual problems / edited by George A. Rekers.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L427" t="inlineStr">
        <is>
          <t>New York : Lexington Books, c1995.</t>
        </is>
      </c>
      <c r="M427" t="inlineStr">
        <is>
          <t>1995</t>
        </is>
      </c>
      <c r="O427" t="inlineStr">
        <is>
          <t>eng</t>
        </is>
      </c>
      <c r="P427" t="inlineStr">
        <is>
          <t>nyu</t>
        </is>
      </c>
      <c r="Q427" t="inlineStr">
        <is>
          <t>Series in scientific foundations of clinical and counseling psychology</t>
        </is>
      </c>
      <c r="R427" t="inlineStr">
        <is>
          <t xml:space="preserve">RJ </t>
        </is>
      </c>
      <c r="S427" t="n">
        <v>1</v>
      </c>
      <c r="T427" t="n">
        <v>1</v>
      </c>
      <c r="U427" t="inlineStr">
        <is>
          <t>2010-07-20</t>
        </is>
      </c>
      <c r="V427" t="inlineStr">
        <is>
          <t>2010-07-20</t>
        </is>
      </c>
      <c r="W427" t="inlineStr">
        <is>
          <t>1995-11-02</t>
        </is>
      </c>
      <c r="X427" t="inlineStr">
        <is>
          <t>1995-11-02</t>
        </is>
      </c>
      <c r="Y427" t="n">
        <v>229</v>
      </c>
      <c r="Z427" t="n">
        <v>198</v>
      </c>
      <c r="AA427" t="n">
        <v>205</v>
      </c>
      <c r="AB427" t="n">
        <v>1</v>
      </c>
      <c r="AC427" t="n">
        <v>1</v>
      </c>
      <c r="AD427" t="n">
        <v>9</v>
      </c>
      <c r="AE427" t="n">
        <v>9</v>
      </c>
      <c r="AF427" t="n">
        <v>4</v>
      </c>
      <c r="AG427" t="n">
        <v>4</v>
      </c>
      <c r="AH427" t="n">
        <v>3</v>
      </c>
      <c r="AI427" t="n">
        <v>3</v>
      </c>
      <c r="AJ427" t="n">
        <v>6</v>
      </c>
      <c r="AK427" t="n">
        <v>6</v>
      </c>
      <c r="AL427" t="n">
        <v>0</v>
      </c>
      <c r="AM427" t="n">
        <v>0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HYPERLINK("http://catalog.hathitrust.org/Record/003005752","HathiTrust Record")</f>
        <v/>
      </c>
      <c r="AS427">
        <f>HYPERLINK("https://creighton-primo.hosted.exlibrisgroup.com/primo-explore/search?tab=default_tab&amp;search_scope=EVERYTHING&amp;vid=01CRU&amp;lang=en_US&amp;offset=0&amp;query=any,contains,991002413139702656","Catalog Record")</f>
        <v/>
      </c>
      <c r="AT427">
        <f>HYPERLINK("http://www.worldcat.org/oclc/31410767","WorldCat Record")</f>
        <v/>
      </c>
      <c r="AU427" t="inlineStr">
        <is>
          <t>33040477:eng</t>
        </is>
      </c>
      <c r="AV427" t="inlineStr">
        <is>
          <t>31410767</t>
        </is>
      </c>
      <c r="AW427" t="inlineStr">
        <is>
          <t>991002413139702656</t>
        </is>
      </c>
      <c r="AX427" t="inlineStr">
        <is>
          <t>991002413139702656</t>
        </is>
      </c>
      <c r="AY427" t="inlineStr">
        <is>
          <t>2263246170002656</t>
        </is>
      </c>
      <c r="AZ427" t="inlineStr">
        <is>
          <t>BOOK</t>
        </is>
      </c>
      <c r="BB427" t="inlineStr">
        <is>
          <t>9780029263174</t>
        </is>
      </c>
      <c r="BC427" t="inlineStr">
        <is>
          <t>32285005591119</t>
        </is>
      </c>
      <c r="BD427" t="inlineStr">
        <is>
          <t>893716426</t>
        </is>
      </c>
    </row>
    <row r="428">
      <c r="A428" t="inlineStr">
        <is>
          <t>No</t>
        </is>
      </c>
      <c r="B428" t="inlineStr">
        <is>
          <t>RJ506.P72 S49 1997</t>
        </is>
      </c>
      <c r="C428" t="inlineStr">
        <is>
          <t>0                      RJ 0506000P  72                 S  49          1997</t>
        </is>
      </c>
      <c r="D428" t="inlineStr">
        <is>
          <t>Sexually aggressive children : coming to understand them / [edited by] Sharon K. Araji ; foreword by William N. Friedrich.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L428" t="inlineStr">
        <is>
          <t>Thousand Oaks, Calif. : Sage Publications, c1997.</t>
        </is>
      </c>
      <c r="M428" t="inlineStr">
        <is>
          <t>1997</t>
        </is>
      </c>
      <c r="O428" t="inlineStr">
        <is>
          <t>eng</t>
        </is>
      </c>
      <c r="P428" t="inlineStr">
        <is>
          <t>cau</t>
        </is>
      </c>
      <c r="R428" t="inlineStr">
        <is>
          <t xml:space="preserve">RJ </t>
        </is>
      </c>
      <c r="S428" t="n">
        <v>2</v>
      </c>
      <c r="T428" t="n">
        <v>2</v>
      </c>
      <c r="U428" t="inlineStr">
        <is>
          <t>1998-02-09</t>
        </is>
      </c>
      <c r="V428" t="inlineStr">
        <is>
          <t>1998-02-09</t>
        </is>
      </c>
      <c r="W428" t="inlineStr">
        <is>
          <t>1997-08-22</t>
        </is>
      </c>
      <c r="X428" t="inlineStr">
        <is>
          <t>1997-08-22</t>
        </is>
      </c>
      <c r="Y428" t="n">
        <v>284</v>
      </c>
      <c r="Z428" t="n">
        <v>208</v>
      </c>
      <c r="AA428" t="n">
        <v>213</v>
      </c>
      <c r="AB428" t="n">
        <v>2</v>
      </c>
      <c r="AC428" t="n">
        <v>2</v>
      </c>
      <c r="AD428" t="n">
        <v>9</v>
      </c>
      <c r="AE428" t="n">
        <v>9</v>
      </c>
      <c r="AF428" t="n">
        <v>3</v>
      </c>
      <c r="AG428" t="n">
        <v>3</v>
      </c>
      <c r="AH428" t="n">
        <v>3</v>
      </c>
      <c r="AI428" t="n">
        <v>3</v>
      </c>
      <c r="AJ428" t="n">
        <v>6</v>
      </c>
      <c r="AK428" t="n">
        <v>6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HYPERLINK("https://creighton-primo.hosted.exlibrisgroup.com/primo-explore/search?tab=default_tab&amp;search_scope=EVERYTHING&amp;vid=01CRU&amp;lang=en_US&amp;offset=0&amp;query=any,contains,991002797929702656","Catalog Record")</f>
        <v/>
      </c>
      <c r="AT428">
        <f>HYPERLINK("http://www.worldcat.org/oclc/36755720","WorldCat Record")</f>
        <v/>
      </c>
      <c r="AU428" t="inlineStr">
        <is>
          <t>796444347:eng</t>
        </is>
      </c>
      <c r="AV428" t="inlineStr">
        <is>
          <t>36755720</t>
        </is>
      </c>
      <c r="AW428" t="inlineStr">
        <is>
          <t>991002797929702656</t>
        </is>
      </c>
      <c r="AX428" t="inlineStr">
        <is>
          <t>991002797929702656</t>
        </is>
      </c>
      <c r="AY428" t="inlineStr">
        <is>
          <t>2265816510002656</t>
        </is>
      </c>
      <c r="AZ428" t="inlineStr">
        <is>
          <t>BOOK</t>
        </is>
      </c>
      <c r="BB428" t="inlineStr">
        <is>
          <t>9780803951754</t>
        </is>
      </c>
      <c r="BC428" t="inlineStr">
        <is>
          <t>32285003001756</t>
        </is>
      </c>
      <c r="BD428" t="inlineStr">
        <is>
          <t>893498547</t>
        </is>
      </c>
    </row>
    <row r="429">
      <c r="A429" t="inlineStr">
        <is>
          <t>No</t>
        </is>
      </c>
      <c r="B429" t="inlineStr">
        <is>
          <t>RJ506.R57 B45 1993</t>
        </is>
      </c>
      <c r="C429" t="inlineStr">
        <is>
          <t>0                      RJ 0506000R  57                 B  45          1993</t>
        </is>
      </c>
      <c r="D429" t="inlineStr">
        <is>
          <t>Adolescent risk taking / edited by Nancy J. Bell, Robert W. Bell.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Newbury Park, Calif. : Sage Publications, c1993.</t>
        </is>
      </c>
      <c r="M429" t="inlineStr">
        <is>
          <t>1993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RJ </t>
        </is>
      </c>
      <c r="S429" t="n">
        <v>7</v>
      </c>
      <c r="T429" t="n">
        <v>7</v>
      </c>
      <c r="U429" t="inlineStr">
        <is>
          <t>2001-05-30</t>
        </is>
      </c>
      <c r="V429" t="inlineStr">
        <is>
          <t>2001-05-30</t>
        </is>
      </c>
      <c r="W429" t="inlineStr">
        <is>
          <t>1994-12-06</t>
        </is>
      </c>
      <c r="X429" t="inlineStr">
        <is>
          <t>1994-12-06</t>
        </is>
      </c>
      <c r="Y429" t="n">
        <v>366</v>
      </c>
      <c r="Z429" t="n">
        <v>261</v>
      </c>
      <c r="AA429" t="n">
        <v>266</v>
      </c>
      <c r="AB429" t="n">
        <v>3</v>
      </c>
      <c r="AC429" t="n">
        <v>3</v>
      </c>
      <c r="AD429" t="n">
        <v>18</v>
      </c>
      <c r="AE429" t="n">
        <v>18</v>
      </c>
      <c r="AF429" t="n">
        <v>6</v>
      </c>
      <c r="AG429" t="n">
        <v>6</v>
      </c>
      <c r="AH429" t="n">
        <v>4</v>
      </c>
      <c r="AI429" t="n">
        <v>4</v>
      </c>
      <c r="AJ429" t="n">
        <v>11</v>
      </c>
      <c r="AK429" t="n">
        <v>11</v>
      </c>
      <c r="AL429" t="n">
        <v>2</v>
      </c>
      <c r="AM429" t="n">
        <v>2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HYPERLINK("https://creighton-primo.hosted.exlibrisgroup.com/primo-explore/search?tab=default_tab&amp;search_scope=EVERYTHING&amp;vid=01CRU&amp;lang=en_US&amp;offset=0&amp;query=any,contains,991002093209702656","Catalog Record")</f>
        <v/>
      </c>
      <c r="AT429">
        <f>HYPERLINK("http://www.worldcat.org/oclc/26853262","WorldCat Record")</f>
        <v/>
      </c>
      <c r="AU429" t="inlineStr">
        <is>
          <t>55644228:eng</t>
        </is>
      </c>
      <c r="AV429" t="inlineStr">
        <is>
          <t>26853262</t>
        </is>
      </c>
      <c r="AW429" t="inlineStr">
        <is>
          <t>991002093209702656</t>
        </is>
      </c>
      <c r="AX429" t="inlineStr">
        <is>
          <t>991002093209702656</t>
        </is>
      </c>
      <c r="AY429" t="inlineStr">
        <is>
          <t>2264456450002656</t>
        </is>
      </c>
      <c r="AZ429" t="inlineStr">
        <is>
          <t>BOOK</t>
        </is>
      </c>
      <c r="BB429" t="inlineStr">
        <is>
          <t>9780803950641</t>
        </is>
      </c>
      <c r="BC429" t="inlineStr">
        <is>
          <t>32285001975936</t>
        </is>
      </c>
      <c r="BD429" t="inlineStr">
        <is>
          <t>893716038</t>
        </is>
      </c>
    </row>
    <row r="430">
      <c r="A430" t="inlineStr">
        <is>
          <t>No</t>
        </is>
      </c>
      <c r="B430" t="inlineStr">
        <is>
          <t>RJ506.S3 G58</t>
        </is>
      </c>
      <c r="C430" t="inlineStr">
        <is>
          <t>0                      RJ 0506000S  3                  G  58</t>
        </is>
      </c>
      <c r="D430" t="inlineStr">
        <is>
          <t>Growth and change of schizophrenic children : a longitudinal study.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Goldfarb, William, 1915-</t>
        </is>
      </c>
      <c r="L430" t="inlineStr">
        <is>
          <t>Washington : Winston ; [distributed by Halsted Press, New York], 1974.</t>
        </is>
      </c>
      <c r="M430" t="inlineStr">
        <is>
          <t>1974</t>
        </is>
      </c>
      <c r="O430" t="inlineStr">
        <is>
          <t>eng</t>
        </is>
      </c>
      <c r="P430" t="inlineStr">
        <is>
          <t>dcu</t>
        </is>
      </c>
      <c r="R430" t="inlineStr">
        <is>
          <t xml:space="preserve">RJ </t>
        </is>
      </c>
      <c r="S430" t="n">
        <v>3</v>
      </c>
      <c r="T430" t="n">
        <v>3</v>
      </c>
      <c r="U430" t="inlineStr">
        <is>
          <t>2002-09-23</t>
        </is>
      </c>
      <c r="V430" t="inlineStr">
        <is>
          <t>2002-09-23</t>
        </is>
      </c>
      <c r="W430" t="inlineStr">
        <is>
          <t>1991-12-09</t>
        </is>
      </c>
      <c r="X430" t="inlineStr">
        <is>
          <t>1991-12-09</t>
        </is>
      </c>
      <c r="Y430" t="n">
        <v>282</v>
      </c>
      <c r="Z430" t="n">
        <v>213</v>
      </c>
      <c r="AA430" t="n">
        <v>216</v>
      </c>
      <c r="AB430" t="n">
        <v>3</v>
      </c>
      <c r="AC430" t="n">
        <v>3</v>
      </c>
      <c r="AD430" t="n">
        <v>6</v>
      </c>
      <c r="AE430" t="n">
        <v>6</v>
      </c>
      <c r="AF430" t="n">
        <v>0</v>
      </c>
      <c r="AG430" t="n">
        <v>0</v>
      </c>
      <c r="AH430" t="n">
        <v>0</v>
      </c>
      <c r="AI430" t="n">
        <v>0</v>
      </c>
      <c r="AJ430" t="n">
        <v>5</v>
      </c>
      <c r="AK430" t="n">
        <v>5</v>
      </c>
      <c r="AL430" t="n">
        <v>1</v>
      </c>
      <c r="AM430" t="n">
        <v>1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HYPERLINK("http://catalog.hathitrust.org/Record/000016231","HathiTrust Record")</f>
        <v/>
      </c>
      <c r="AS430">
        <f>HYPERLINK("https://creighton-primo.hosted.exlibrisgroup.com/primo-explore/search?tab=default_tab&amp;search_scope=EVERYTHING&amp;vid=01CRU&amp;lang=en_US&amp;offset=0&amp;query=any,contains,991003455589702656","Catalog Record")</f>
        <v/>
      </c>
      <c r="AT430">
        <f>HYPERLINK("http://www.worldcat.org/oclc/995055","WorldCat Record")</f>
        <v/>
      </c>
      <c r="AU430" t="inlineStr">
        <is>
          <t>836685122:eng</t>
        </is>
      </c>
      <c r="AV430" t="inlineStr">
        <is>
          <t>995055</t>
        </is>
      </c>
      <c r="AW430" t="inlineStr">
        <is>
          <t>991003455589702656</t>
        </is>
      </c>
      <c r="AX430" t="inlineStr">
        <is>
          <t>991003455589702656</t>
        </is>
      </c>
      <c r="AY430" t="inlineStr">
        <is>
          <t>2257108580002656</t>
        </is>
      </c>
      <c r="AZ430" t="inlineStr">
        <is>
          <t>BOOK</t>
        </is>
      </c>
      <c r="BB430" t="inlineStr">
        <is>
          <t>9780470311028</t>
        </is>
      </c>
      <c r="BC430" t="inlineStr">
        <is>
          <t>32285000847086</t>
        </is>
      </c>
      <c r="BD430" t="inlineStr">
        <is>
          <t>893692727</t>
        </is>
      </c>
    </row>
    <row r="431">
      <c r="A431" t="inlineStr">
        <is>
          <t>No</t>
        </is>
      </c>
      <c r="B431" t="inlineStr">
        <is>
          <t>RJ506.S31 M5</t>
        </is>
      </c>
      <c r="C431" t="inlineStr">
        <is>
          <t>0                      RJ 0506000S  31                 M  5</t>
        </is>
      </c>
      <c r="D431" t="inlineStr">
        <is>
          <t>Interaction in families : an experimental study of family processes and schizophrenia / [by] Elliot G. Mishler and Nancy E. Waxler.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Mishler, Elliot George, 1924-</t>
        </is>
      </c>
      <c r="L431" t="inlineStr">
        <is>
          <t>New York : Wiley, [1968]</t>
        </is>
      </c>
      <c r="M431" t="inlineStr">
        <is>
          <t>1968</t>
        </is>
      </c>
      <c r="O431" t="inlineStr">
        <is>
          <t>eng</t>
        </is>
      </c>
      <c r="P431" t="inlineStr">
        <is>
          <t>nyu</t>
        </is>
      </c>
      <c r="Q431" t="inlineStr">
        <is>
          <t>Wiley series in psychology for practicing clinicians</t>
        </is>
      </c>
      <c r="R431" t="inlineStr">
        <is>
          <t xml:space="preserve">RJ </t>
        </is>
      </c>
      <c r="S431" t="n">
        <v>1</v>
      </c>
      <c r="T431" t="n">
        <v>1</v>
      </c>
      <c r="U431" t="inlineStr">
        <is>
          <t>1997-09-08</t>
        </is>
      </c>
      <c r="V431" t="inlineStr">
        <is>
          <t>1997-09-08</t>
        </is>
      </c>
      <c r="W431" t="inlineStr">
        <is>
          <t>1991-12-09</t>
        </is>
      </c>
      <c r="X431" t="inlineStr">
        <is>
          <t>1991-12-09</t>
        </is>
      </c>
      <c r="Y431" t="n">
        <v>579</v>
      </c>
      <c r="Z431" t="n">
        <v>441</v>
      </c>
      <c r="AA431" t="n">
        <v>449</v>
      </c>
      <c r="AB431" t="n">
        <v>5</v>
      </c>
      <c r="AC431" t="n">
        <v>5</v>
      </c>
      <c r="AD431" t="n">
        <v>22</v>
      </c>
      <c r="AE431" t="n">
        <v>22</v>
      </c>
      <c r="AF431" t="n">
        <v>4</v>
      </c>
      <c r="AG431" t="n">
        <v>4</v>
      </c>
      <c r="AH431" t="n">
        <v>5</v>
      </c>
      <c r="AI431" t="n">
        <v>5</v>
      </c>
      <c r="AJ431" t="n">
        <v>12</v>
      </c>
      <c r="AK431" t="n">
        <v>12</v>
      </c>
      <c r="AL431" t="n">
        <v>4</v>
      </c>
      <c r="AM431" t="n">
        <v>4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HYPERLINK("http://catalog.hathitrust.org/Record/001571070","HathiTrust Record")</f>
        <v/>
      </c>
      <c r="AS431">
        <f>HYPERLINK("https://creighton-primo.hosted.exlibrisgroup.com/primo-explore/search?tab=default_tab&amp;search_scope=EVERYTHING&amp;vid=01CRU&amp;lang=en_US&amp;offset=0&amp;query=any,contains,991002167719702656","Catalog Record")</f>
        <v/>
      </c>
      <c r="AT431">
        <f>HYPERLINK("http://www.worldcat.org/oclc/275878","WorldCat Record")</f>
        <v/>
      </c>
      <c r="AU431" t="inlineStr">
        <is>
          <t>1411584:eng</t>
        </is>
      </c>
      <c r="AV431" t="inlineStr">
        <is>
          <t>275878</t>
        </is>
      </c>
      <c r="AW431" t="inlineStr">
        <is>
          <t>991002167719702656</t>
        </is>
      </c>
      <c r="AX431" t="inlineStr">
        <is>
          <t>991002167719702656</t>
        </is>
      </c>
      <c r="AY431" t="inlineStr">
        <is>
          <t>2263434070002656</t>
        </is>
      </c>
      <c r="AZ431" t="inlineStr">
        <is>
          <t>BOOK</t>
        </is>
      </c>
      <c r="BB431" t="inlineStr">
        <is>
          <t>9780471609407</t>
        </is>
      </c>
      <c r="BC431" t="inlineStr">
        <is>
          <t>32285000847094</t>
        </is>
      </c>
      <c r="BD431" t="inlineStr">
        <is>
          <t>893691283</t>
        </is>
      </c>
    </row>
    <row r="432">
      <c r="A432" t="inlineStr">
        <is>
          <t>No</t>
        </is>
      </c>
      <c r="B432" t="inlineStr">
        <is>
          <t>RJ506.S39 S44 1981</t>
        </is>
      </c>
      <c r="C432" t="inlineStr">
        <is>
          <t>0                      RJ 0506000S  39                 S  44          1981</t>
        </is>
      </c>
      <c r="D432" t="inlineStr">
        <is>
          <t>Self-destructive behavior in children and adolescents / edited by Carl F. Wells, Irving R. Stuart.</t>
        </is>
      </c>
      <c r="F432" t="inlineStr">
        <is>
          <t>No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L432" t="inlineStr">
        <is>
          <t>New York : Van Nostrand Reinhold, c1981.</t>
        </is>
      </c>
      <c r="M432" t="inlineStr">
        <is>
          <t>1981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RJ </t>
        </is>
      </c>
      <c r="S432" t="n">
        <v>10</v>
      </c>
      <c r="T432" t="n">
        <v>10</v>
      </c>
      <c r="U432" t="inlineStr">
        <is>
          <t>1999-10-24</t>
        </is>
      </c>
      <c r="V432" t="inlineStr">
        <is>
          <t>1999-10-24</t>
        </is>
      </c>
      <c r="W432" t="inlineStr">
        <is>
          <t>1991-11-25</t>
        </is>
      </c>
      <c r="X432" t="inlineStr">
        <is>
          <t>1991-11-25</t>
        </is>
      </c>
      <c r="Y432" t="n">
        <v>455</v>
      </c>
      <c r="Z432" t="n">
        <v>393</v>
      </c>
      <c r="AA432" t="n">
        <v>395</v>
      </c>
      <c r="AB432" t="n">
        <v>9</v>
      </c>
      <c r="AC432" t="n">
        <v>9</v>
      </c>
      <c r="AD432" t="n">
        <v>13</v>
      </c>
      <c r="AE432" t="n">
        <v>13</v>
      </c>
      <c r="AF432" t="n">
        <v>5</v>
      </c>
      <c r="AG432" t="n">
        <v>5</v>
      </c>
      <c r="AH432" t="n">
        <v>4</v>
      </c>
      <c r="AI432" t="n">
        <v>4</v>
      </c>
      <c r="AJ432" t="n">
        <v>4</v>
      </c>
      <c r="AK432" t="n">
        <v>4</v>
      </c>
      <c r="AL432" t="n">
        <v>4</v>
      </c>
      <c r="AM432" t="n">
        <v>4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HYPERLINK("http://catalog.hathitrust.org/Record/000264526","HathiTrust Record")</f>
        <v/>
      </c>
      <c r="AS432">
        <f>HYPERLINK("https://creighton-primo.hosted.exlibrisgroup.com/primo-explore/search?tab=default_tab&amp;search_scope=EVERYTHING&amp;vid=01CRU&amp;lang=en_US&amp;offset=0&amp;query=any,contains,991005050199702656","Catalog Record")</f>
        <v/>
      </c>
      <c r="AT432">
        <f>HYPERLINK("http://www.worldcat.org/oclc/6864156","WorldCat Record")</f>
        <v/>
      </c>
      <c r="AU432" t="inlineStr">
        <is>
          <t>354416679:eng</t>
        </is>
      </c>
      <c r="AV432" t="inlineStr">
        <is>
          <t>6864156</t>
        </is>
      </c>
      <c r="AW432" t="inlineStr">
        <is>
          <t>991005050199702656</t>
        </is>
      </c>
      <c r="AX432" t="inlineStr">
        <is>
          <t>991005050199702656</t>
        </is>
      </c>
      <c r="AY432" t="inlineStr">
        <is>
          <t>2269596860002656</t>
        </is>
      </c>
      <c r="AZ432" t="inlineStr">
        <is>
          <t>BOOK</t>
        </is>
      </c>
      <c r="BB432" t="inlineStr">
        <is>
          <t>9780442247416</t>
        </is>
      </c>
      <c r="BC432" t="inlineStr">
        <is>
          <t>32285000843374</t>
        </is>
      </c>
      <c r="BD432" t="inlineStr">
        <is>
          <t>893332325</t>
        </is>
      </c>
    </row>
    <row r="433">
      <c r="A433" t="inlineStr">
        <is>
          <t>No</t>
        </is>
      </c>
      <c r="B433" t="inlineStr">
        <is>
          <t>RJ506.S44 P43 2007</t>
        </is>
      </c>
      <c r="C433" t="inlineStr">
        <is>
          <t>0                      RJ 0506000S  44                 P  43          2007</t>
        </is>
      </c>
      <c r="D433" t="inlineStr">
        <is>
          <t>Bleeding to ease the pain : cutting, self-injury, and the adolescent search for self / Lori G. Plante ; foreword by Chris Hayward.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Plante, Lori G.</t>
        </is>
      </c>
      <c r="L433" t="inlineStr">
        <is>
          <t>Westport, Conn. : Praeger, 2007.</t>
        </is>
      </c>
      <c r="M433" t="inlineStr">
        <is>
          <t>2007</t>
        </is>
      </c>
      <c r="O433" t="inlineStr">
        <is>
          <t>eng</t>
        </is>
      </c>
      <c r="P433" t="inlineStr">
        <is>
          <t>ctu</t>
        </is>
      </c>
      <c r="Q433" t="inlineStr">
        <is>
          <t>Abnormal psychology, 1554-2238</t>
        </is>
      </c>
      <c r="R433" t="inlineStr">
        <is>
          <t xml:space="preserve">RJ </t>
        </is>
      </c>
      <c r="S433" t="n">
        <v>1</v>
      </c>
      <c r="T433" t="n">
        <v>1</v>
      </c>
      <c r="U433" t="inlineStr">
        <is>
          <t>2008-12-01</t>
        </is>
      </c>
      <c r="V433" t="inlineStr">
        <is>
          <t>2008-12-01</t>
        </is>
      </c>
      <c r="W433" t="inlineStr">
        <is>
          <t>2008-12-01</t>
        </is>
      </c>
      <c r="X433" t="inlineStr">
        <is>
          <t>2008-12-01</t>
        </is>
      </c>
      <c r="Y433" t="n">
        <v>897</v>
      </c>
      <c r="Z433" t="n">
        <v>826</v>
      </c>
      <c r="AA433" t="n">
        <v>1511</v>
      </c>
      <c r="AB433" t="n">
        <v>4</v>
      </c>
      <c r="AC433" t="n">
        <v>17</v>
      </c>
      <c r="AD433" t="n">
        <v>26</v>
      </c>
      <c r="AE433" t="n">
        <v>41</v>
      </c>
      <c r="AF433" t="n">
        <v>14</v>
      </c>
      <c r="AG433" t="n">
        <v>20</v>
      </c>
      <c r="AH433" t="n">
        <v>4</v>
      </c>
      <c r="AI433" t="n">
        <v>5</v>
      </c>
      <c r="AJ433" t="n">
        <v>11</v>
      </c>
      <c r="AK433" t="n">
        <v>13</v>
      </c>
      <c r="AL433" t="n">
        <v>2</v>
      </c>
      <c r="AM433" t="n">
        <v>11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HYPERLINK("https://creighton-primo.hosted.exlibrisgroup.com/primo-explore/search?tab=default_tab&amp;search_scope=EVERYTHING&amp;vid=01CRU&amp;lang=en_US&amp;offset=0&amp;query=any,contains,991005273609702656","Catalog Record")</f>
        <v/>
      </c>
      <c r="AT433">
        <f>HYPERLINK("http://www.worldcat.org/oclc/76901776","WorldCat Record")</f>
        <v/>
      </c>
      <c r="AU433" t="inlineStr">
        <is>
          <t>313416602:eng</t>
        </is>
      </c>
      <c r="AV433" t="inlineStr">
        <is>
          <t>76901776</t>
        </is>
      </c>
      <c r="AW433" t="inlineStr">
        <is>
          <t>991005273609702656</t>
        </is>
      </c>
      <c r="AX433" t="inlineStr">
        <is>
          <t>991005273609702656</t>
        </is>
      </c>
      <c r="AY433" t="inlineStr">
        <is>
          <t>2264861430002656</t>
        </is>
      </c>
      <c r="AZ433" t="inlineStr">
        <is>
          <t>BOOK</t>
        </is>
      </c>
      <c r="BB433" t="inlineStr">
        <is>
          <t>9780275990626</t>
        </is>
      </c>
      <c r="BC433" t="inlineStr">
        <is>
          <t>32285005469589</t>
        </is>
      </c>
      <c r="BD433" t="inlineStr">
        <is>
          <t>893783331</t>
        </is>
      </c>
    </row>
    <row r="434">
      <c r="A434" t="inlineStr">
        <is>
          <t>No</t>
        </is>
      </c>
      <c r="B434" t="inlineStr">
        <is>
          <t>RJ506.S48 J88 2006</t>
        </is>
      </c>
      <c r="C434" t="inlineStr">
        <is>
          <t>0                      RJ 0506000S  48                 J  88          2006</t>
        </is>
      </c>
      <c r="D434" t="inlineStr">
        <is>
          <t>The juvenile sex offender / edited by Howard E. Barbaree, William L. Marshall.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Yes</t>
        </is>
      </c>
      <c r="J434" t="inlineStr">
        <is>
          <t>0</t>
        </is>
      </c>
      <c r="L434" t="inlineStr">
        <is>
          <t>New York : Guilford Press, c2006.</t>
        </is>
      </c>
      <c r="M434" t="inlineStr">
        <is>
          <t>2006</t>
        </is>
      </c>
      <c r="N434" t="inlineStr">
        <is>
          <t>2nd ed.</t>
        </is>
      </c>
      <c r="O434" t="inlineStr">
        <is>
          <t>eng</t>
        </is>
      </c>
      <c r="P434" t="inlineStr">
        <is>
          <t>nyu</t>
        </is>
      </c>
      <c r="R434" t="inlineStr">
        <is>
          <t xml:space="preserve">RJ </t>
        </is>
      </c>
      <c r="S434" t="n">
        <v>1</v>
      </c>
      <c r="T434" t="n">
        <v>1</v>
      </c>
      <c r="U434" t="inlineStr">
        <is>
          <t>2006-03-15</t>
        </is>
      </c>
      <c r="V434" t="inlineStr">
        <is>
          <t>2006-03-15</t>
        </is>
      </c>
      <c r="W434" t="inlineStr">
        <is>
          <t>2006-03-06</t>
        </is>
      </c>
      <c r="X434" t="inlineStr">
        <is>
          <t>2006-03-06</t>
        </is>
      </c>
      <c r="Y434" t="n">
        <v>414</v>
      </c>
      <c r="Z434" t="n">
        <v>330</v>
      </c>
      <c r="AA434" t="n">
        <v>945</v>
      </c>
      <c r="AB434" t="n">
        <v>2</v>
      </c>
      <c r="AC434" t="n">
        <v>10</v>
      </c>
      <c r="AD434" t="n">
        <v>13</v>
      </c>
      <c r="AE434" t="n">
        <v>43</v>
      </c>
      <c r="AF434" t="n">
        <v>7</v>
      </c>
      <c r="AG434" t="n">
        <v>15</v>
      </c>
      <c r="AH434" t="n">
        <v>3</v>
      </c>
      <c r="AI434" t="n">
        <v>9</v>
      </c>
      <c r="AJ434" t="n">
        <v>7</v>
      </c>
      <c r="AK434" t="n">
        <v>17</v>
      </c>
      <c r="AL434" t="n">
        <v>1</v>
      </c>
      <c r="AM434" t="n">
        <v>8</v>
      </c>
      <c r="AN434" t="n">
        <v>0</v>
      </c>
      <c r="AO434" t="n">
        <v>4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HYPERLINK("https://creighton-primo.hosted.exlibrisgroup.com/primo-explore/search?tab=default_tab&amp;search_scope=EVERYTHING&amp;vid=01CRU&amp;lang=en_US&amp;offset=0&amp;query=any,contains,991004759669702656","Catalog Record")</f>
        <v/>
      </c>
      <c r="AT434">
        <f>HYPERLINK("http://www.worldcat.org/oclc/60651096","WorldCat Record")</f>
        <v/>
      </c>
      <c r="AU434" t="inlineStr">
        <is>
          <t>766176256:eng</t>
        </is>
      </c>
      <c r="AV434" t="inlineStr">
        <is>
          <t>60651096</t>
        </is>
      </c>
      <c r="AW434" t="inlineStr">
        <is>
          <t>991004759669702656</t>
        </is>
      </c>
      <c r="AX434" t="inlineStr">
        <is>
          <t>991004759669702656</t>
        </is>
      </c>
      <c r="AY434" t="inlineStr">
        <is>
          <t>2261736780002656</t>
        </is>
      </c>
      <c r="AZ434" t="inlineStr">
        <is>
          <t>BOOK</t>
        </is>
      </c>
      <c r="BB434" t="inlineStr">
        <is>
          <t>9781593851989</t>
        </is>
      </c>
      <c r="BC434" t="inlineStr">
        <is>
          <t>32285005166078</t>
        </is>
      </c>
      <c r="BD434" t="inlineStr">
        <is>
          <t>893612746</t>
        </is>
      </c>
    </row>
    <row r="435">
      <c r="A435" t="inlineStr">
        <is>
          <t>No</t>
        </is>
      </c>
      <c r="B435" t="inlineStr">
        <is>
          <t>RJ506.S9 G65 2003</t>
        </is>
      </c>
      <c r="C435" t="inlineStr">
        <is>
          <t>0                      RJ 0506000S  9                  G  65          2003</t>
        </is>
      </c>
      <c r="D435" t="inlineStr">
        <is>
          <t>Measuring suicidal behavior and risk in children and adolescents / David B. Goldston.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Goldston, David B.</t>
        </is>
      </c>
      <c r="L435" t="inlineStr">
        <is>
          <t>Washington, DC : American Psychological Association, c2003.</t>
        </is>
      </c>
      <c r="M435" t="inlineStr">
        <is>
          <t>2003</t>
        </is>
      </c>
      <c r="N435" t="inlineStr">
        <is>
          <t>1st ed.</t>
        </is>
      </c>
      <c r="O435" t="inlineStr">
        <is>
          <t>eng</t>
        </is>
      </c>
      <c r="P435" t="inlineStr">
        <is>
          <t>dcu</t>
        </is>
      </c>
      <c r="Q435" t="inlineStr">
        <is>
          <t>Measurement and instrumentation in psychology</t>
        </is>
      </c>
      <c r="R435" t="inlineStr">
        <is>
          <t xml:space="preserve">RJ </t>
        </is>
      </c>
      <c r="S435" t="n">
        <v>3</v>
      </c>
      <c r="T435" t="n">
        <v>3</v>
      </c>
      <c r="U435" t="inlineStr">
        <is>
          <t>2008-06-22</t>
        </is>
      </c>
      <c r="V435" t="inlineStr">
        <is>
          <t>2008-06-22</t>
        </is>
      </c>
      <c r="W435" t="inlineStr">
        <is>
          <t>2004-02-11</t>
        </is>
      </c>
      <c r="X435" t="inlineStr">
        <is>
          <t>2004-02-11</t>
        </is>
      </c>
      <c r="Y435" t="n">
        <v>415</v>
      </c>
      <c r="Z435" t="n">
        <v>340</v>
      </c>
      <c r="AA435" t="n">
        <v>418</v>
      </c>
      <c r="AB435" t="n">
        <v>2</v>
      </c>
      <c r="AC435" t="n">
        <v>3</v>
      </c>
      <c r="AD435" t="n">
        <v>13</v>
      </c>
      <c r="AE435" t="n">
        <v>20</v>
      </c>
      <c r="AF435" t="n">
        <v>8</v>
      </c>
      <c r="AG435" t="n">
        <v>10</v>
      </c>
      <c r="AH435" t="n">
        <v>3</v>
      </c>
      <c r="AI435" t="n">
        <v>3</v>
      </c>
      <c r="AJ435" t="n">
        <v>6</v>
      </c>
      <c r="AK435" t="n">
        <v>10</v>
      </c>
      <c r="AL435" t="n">
        <v>1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HYPERLINK("https://creighton-primo.hosted.exlibrisgroup.com/primo-explore/search?tab=default_tab&amp;search_scope=EVERYTHING&amp;vid=01CRU&amp;lang=en_US&amp;offset=0&amp;query=any,contains,991003979979702656","Catalog Record")</f>
        <v/>
      </c>
      <c r="AT435">
        <f>HYPERLINK("http://www.worldcat.org/oclc/51818817","WorldCat Record")</f>
        <v/>
      </c>
      <c r="AU435" t="inlineStr">
        <is>
          <t>808573:eng</t>
        </is>
      </c>
      <c r="AV435" t="inlineStr">
        <is>
          <t>51818817</t>
        </is>
      </c>
      <c r="AW435" t="inlineStr">
        <is>
          <t>991003979979702656</t>
        </is>
      </c>
      <c r="AX435" t="inlineStr">
        <is>
          <t>991003979979702656</t>
        </is>
      </c>
      <c r="AY435" t="inlineStr">
        <is>
          <t>2257599480002656</t>
        </is>
      </c>
      <c r="AZ435" t="inlineStr">
        <is>
          <t>BOOK</t>
        </is>
      </c>
      <c r="BB435" t="inlineStr">
        <is>
          <t>9781591470083</t>
        </is>
      </c>
      <c r="BC435" t="inlineStr">
        <is>
          <t>32285004638085</t>
        </is>
      </c>
      <c r="BD435" t="inlineStr">
        <is>
          <t>893794343</t>
        </is>
      </c>
    </row>
    <row r="436">
      <c r="A436" t="inlineStr">
        <is>
          <t>No</t>
        </is>
      </c>
      <c r="B436" t="inlineStr">
        <is>
          <t>RJ506.S9 H34 1986a</t>
        </is>
      </c>
      <c r="C436" t="inlineStr">
        <is>
          <t>0                      RJ 0506000S  9                  H  34          1986a</t>
        </is>
      </c>
      <c r="D436" t="inlineStr">
        <is>
          <t>Youth suicide : depression and loneliness / Brent Q. Hafen and Kathryn J. Frandsen.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Hafen, Brent Q.</t>
        </is>
      </c>
      <c r="L436" t="inlineStr">
        <is>
          <t>Evergreen, CO : Cordillera Press, c1986.</t>
        </is>
      </c>
      <c r="M436" t="inlineStr">
        <is>
          <t>1986</t>
        </is>
      </c>
      <c r="N436" t="inlineStr">
        <is>
          <t>2nd ed.</t>
        </is>
      </c>
      <c r="O436" t="inlineStr">
        <is>
          <t>eng</t>
        </is>
      </c>
      <c r="P436" t="inlineStr">
        <is>
          <t>cou</t>
        </is>
      </c>
      <c r="R436" t="inlineStr">
        <is>
          <t xml:space="preserve">RJ </t>
        </is>
      </c>
      <c r="S436" t="n">
        <v>13</v>
      </c>
      <c r="T436" t="n">
        <v>13</v>
      </c>
      <c r="U436" t="inlineStr">
        <is>
          <t>2006-11-15</t>
        </is>
      </c>
      <c r="V436" t="inlineStr">
        <is>
          <t>2006-11-15</t>
        </is>
      </c>
      <c r="W436" t="inlineStr">
        <is>
          <t>1990-03-05</t>
        </is>
      </c>
      <c r="X436" t="inlineStr">
        <is>
          <t>1990-03-05</t>
        </is>
      </c>
      <c r="Y436" t="n">
        <v>792</v>
      </c>
      <c r="Z436" t="n">
        <v>755</v>
      </c>
      <c r="AA436" t="n">
        <v>788</v>
      </c>
      <c r="AB436" t="n">
        <v>6</v>
      </c>
      <c r="AC436" t="n">
        <v>6</v>
      </c>
      <c r="AD436" t="n">
        <v>13</v>
      </c>
      <c r="AE436" t="n">
        <v>15</v>
      </c>
      <c r="AF436" t="n">
        <v>6</v>
      </c>
      <c r="AG436" t="n">
        <v>6</v>
      </c>
      <c r="AH436" t="n">
        <v>2</v>
      </c>
      <c r="AI436" t="n">
        <v>4</v>
      </c>
      <c r="AJ436" t="n">
        <v>5</v>
      </c>
      <c r="AK436" t="n">
        <v>5</v>
      </c>
      <c r="AL436" t="n">
        <v>4</v>
      </c>
      <c r="AM436" t="n">
        <v>4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HYPERLINK("http://catalog.hathitrust.org/Record/000444175","HathiTrust Record")</f>
        <v/>
      </c>
      <c r="AS436">
        <f>HYPERLINK("https://creighton-primo.hosted.exlibrisgroup.com/primo-explore/search?tab=default_tab&amp;search_scope=EVERYTHING&amp;vid=01CRU&amp;lang=en_US&amp;offset=0&amp;query=any,contains,991000903809702656","Catalog Record")</f>
        <v/>
      </c>
      <c r="AT436">
        <f>HYPERLINK("http://www.worldcat.org/oclc/14069762","WorldCat Record")</f>
        <v/>
      </c>
      <c r="AU436" t="inlineStr">
        <is>
          <t>6948588:eng</t>
        </is>
      </c>
      <c r="AV436" t="inlineStr">
        <is>
          <t>14069762</t>
        </is>
      </c>
      <c r="AW436" t="inlineStr">
        <is>
          <t>991000903809702656</t>
        </is>
      </c>
      <c r="AX436" t="inlineStr">
        <is>
          <t>991000903809702656</t>
        </is>
      </c>
      <c r="AY436" t="inlineStr">
        <is>
          <t>2259167980002656</t>
        </is>
      </c>
      <c r="AZ436" t="inlineStr">
        <is>
          <t>BOOK</t>
        </is>
      </c>
      <c r="BB436" t="inlineStr">
        <is>
          <t>9780917895111</t>
        </is>
      </c>
      <c r="BC436" t="inlineStr">
        <is>
          <t>32285000042688</t>
        </is>
      </c>
      <c r="BD436" t="inlineStr">
        <is>
          <t>893596013</t>
        </is>
      </c>
    </row>
    <row r="437">
      <c r="A437" t="inlineStr">
        <is>
          <t>No</t>
        </is>
      </c>
      <c r="B437" t="inlineStr">
        <is>
          <t>RJ506.S9 J63 1986</t>
        </is>
      </c>
      <c r="C437" t="inlineStr">
        <is>
          <t>0                      RJ 0506000S  9                  J  63          1986</t>
        </is>
      </c>
      <c r="D437" t="inlineStr">
        <is>
          <t>Preventing teenage suicide : the living alternative handbook / Polly Joan.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Joan, Polly.</t>
        </is>
      </c>
      <c r="L437" t="inlineStr">
        <is>
          <t>New York, N.Y. : Human Sciences Press, 1986.</t>
        </is>
      </c>
      <c r="M437" t="inlineStr">
        <is>
          <t>1985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RJ </t>
        </is>
      </c>
      <c r="S437" t="n">
        <v>16</v>
      </c>
      <c r="T437" t="n">
        <v>16</v>
      </c>
      <c r="U437" t="inlineStr">
        <is>
          <t>2000-07-03</t>
        </is>
      </c>
      <c r="V437" t="inlineStr">
        <is>
          <t>2000-07-03</t>
        </is>
      </c>
      <c r="W437" t="inlineStr">
        <is>
          <t>1990-03-13</t>
        </is>
      </c>
      <c r="X437" t="inlineStr">
        <is>
          <t>1990-03-13</t>
        </is>
      </c>
      <c r="Y437" t="n">
        <v>919</v>
      </c>
      <c r="Z437" t="n">
        <v>842</v>
      </c>
      <c r="AA437" t="n">
        <v>853</v>
      </c>
      <c r="AB437" t="n">
        <v>6</v>
      </c>
      <c r="AC437" t="n">
        <v>6</v>
      </c>
      <c r="AD437" t="n">
        <v>19</v>
      </c>
      <c r="AE437" t="n">
        <v>19</v>
      </c>
      <c r="AF437" t="n">
        <v>7</v>
      </c>
      <c r="AG437" t="n">
        <v>7</v>
      </c>
      <c r="AH437" t="n">
        <v>5</v>
      </c>
      <c r="AI437" t="n">
        <v>5</v>
      </c>
      <c r="AJ437" t="n">
        <v>8</v>
      </c>
      <c r="AK437" t="n">
        <v>8</v>
      </c>
      <c r="AL437" t="n">
        <v>3</v>
      </c>
      <c r="AM437" t="n">
        <v>3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HYPERLINK("http://catalog.hathitrust.org/Record/000464596","HathiTrust Record")</f>
        <v/>
      </c>
      <c r="AS437">
        <f>HYPERLINK("https://creighton-primo.hosted.exlibrisgroup.com/primo-explore/search?tab=default_tab&amp;search_scope=EVERYTHING&amp;vid=01CRU&amp;lang=en_US&amp;offset=0&amp;query=any,contains,991000551419702656","Catalog Record")</f>
        <v/>
      </c>
      <c r="AT437">
        <f>HYPERLINK("http://www.worldcat.org/oclc/11533420","WorldCat Record")</f>
        <v/>
      </c>
      <c r="AU437" t="inlineStr">
        <is>
          <t>4166539:eng</t>
        </is>
      </c>
      <c r="AV437" t="inlineStr">
        <is>
          <t>11533420</t>
        </is>
      </c>
      <c r="AW437" t="inlineStr">
        <is>
          <t>991000551419702656</t>
        </is>
      </c>
      <c r="AX437" t="inlineStr">
        <is>
          <t>991000551419702656</t>
        </is>
      </c>
      <c r="AY437" t="inlineStr">
        <is>
          <t>2258341730002656</t>
        </is>
      </c>
      <c r="AZ437" t="inlineStr">
        <is>
          <t>BOOK</t>
        </is>
      </c>
      <c r="BB437" t="inlineStr">
        <is>
          <t>9780898852479</t>
        </is>
      </c>
      <c r="BC437" t="inlineStr">
        <is>
          <t>32285000081793</t>
        </is>
      </c>
      <c r="BD437" t="inlineStr">
        <is>
          <t>893496339</t>
        </is>
      </c>
    </row>
    <row r="438">
      <c r="A438" t="inlineStr">
        <is>
          <t>No</t>
        </is>
      </c>
      <c r="B438" t="inlineStr">
        <is>
          <t>RJ506.S9 P74 1988</t>
        </is>
      </c>
      <c r="C438" t="inlineStr">
        <is>
          <t>0                      RJ 0506000S  9                  P  74          1988</t>
        </is>
      </c>
      <c r="D438" t="inlineStr">
        <is>
          <t>Preventing adolescent suicide / [edited by] Dave Capuzzi, Larry Golden.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Muncie, Ind. : Accelerated Development Inc., c1988.</t>
        </is>
      </c>
      <c r="M438" t="inlineStr">
        <is>
          <t>1988</t>
        </is>
      </c>
      <c r="O438" t="inlineStr">
        <is>
          <t>eng</t>
        </is>
      </c>
      <c r="P438" t="inlineStr">
        <is>
          <t>inu</t>
        </is>
      </c>
      <c r="R438" t="inlineStr">
        <is>
          <t xml:space="preserve">RJ </t>
        </is>
      </c>
      <c r="S438" t="n">
        <v>26</v>
      </c>
      <c r="T438" t="n">
        <v>26</v>
      </c>
      <c r="U438" t="inlineStr">
        <is>
          <t>1998-11-14</t>
        </is>
      </c>
      <c r="V438" t="inlineStr">
        <is>
          <t>1998-11-14</t>
        </is>
      </c>
      <c r="W438" t="inlineStr">
        <is>
          <t>1991-11-25</t>
        </is>
      </c>
      <c r="X438" t="inlineStr">
        <is>
          <t>1991-11-25</t>
        </is>
      </c>
      <c r="Y438" t="n">
        <v>486</v>
      </c>
      <c r="Z438" t="n">
        <v>459</v>
      </c>
      <c r="AA438" t="n">
        <v>482</v>
      </c>
      <c r="AB438" t="n">
        <v>5</v>
      </c>
      <c r="AC438" t="n">
        <v>5</v>
      </c>
      <c r="AD438" t="n">
        <v>12</v>
      </c>
      <c r="AE438" t="n">
        <v>12</v>
      </c>
      <c r="AF438" t="n">
        <v>5</v>
      </c>
      <c r="AG438" t="n">
        <v>5</v>
      </c>
      <c r="AH438" t="n">
        <v>1</v>
      </c>
      <c r="AI438" t="n">
        <v>1</v>
      </c>
      <c r="AJ438" t="n">
        <v>5</v>
      </c>
      <c r="AK438" t="n">
        <v>5</v>
      </c>
      <c r="AL438" t="n">
        <v>3</v>
      </c>
      <c r="AM438" t="n">
        <v>3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HYPERLINK("https://creighton-primo.hosted.exlibrisgroup.com/primo-explore/search?tab=default_tab&amp;search_scope=EVERYTHING&amp;vid=01CRU&amp;lang=en_US&amp;offset=0&amp;query=any,contains,991001229659702656","Catalog Record")</f>
        <v/>
      </c>
      <c r="AT438">
        <f>HYPERLINK("http://www.worldcat.org/oclc/17533163","WorldCat Record")</f>
        <v/>
      </c>
      <c r="AU438" t="inlineStr">
        <is>
          <t>2940516:eng</t>
        </is>
      </c>
      <c r="AV438" t="inlineStr">
        <is>
          <t>17533163</t>
        </is>
      </c>
      <c r="AW438" t="inlineStr">
        <is>
          <t>991001229659702656</t>
        </is>
      </c>
      <c r="AX438" t="inlineStr">
        <is>
          <t>991001229659702656</t>
        </is>
      </c>
      <c r="AY438" t="inlineStr">
        <is>
          <t>2264453810002656</t>
        </is>
      </c>
      <c r="AZ438" t="inlineStr">
        <is>
          <t>BOOK</t>
        </is>
      </c>
      <c r="BB438" t="inlineStr">
        <is>
          <t>9780915202744</t>
        </is>
      </c>
      <c r="BC438" t="inlineStr">
        <is>
          <t>32285000843366</t>
        </is>
      </c>
      <c r="BD438" t="inlineStr">
        <is>
          <t>893321759</t>
        </is>
      </c>
    </row>
    <row r="439">
      <c r="A439" t="inlineStr">
        <is>
          <t>No</t>
        </is>
      </c>
      <c r="B439" t="inlineStr">
        <is>
          <t>RJ506.S9 S85 1990</t>
        </is>
      </c>
      <c r="C439" t="inlineStr">
        <is>
          <t>0                      RJ 0506000S  9                  S  85          1990</t>
        </is>
      </c>
      <c r="D439" t="inlineStr">
        <is>
          <t>Suicide in children and adolescents / edited by George MacLean.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Toronto ; Lewiston, N.Y. : Hogrefe &amp; Huber, c1990.</t>
        </is>
      </c>
      <c r="M439" t="inlineStr">
        <is>
          <t>1990</t>
        </is>
      </c>
      <c r="O439" t="inlineStr">
        <is>
          <t>eng</t>
        </is>
      </c>
      <c r="P439" t="inlineStr">
        <is>
          <t>onc</t>
        </is>
      </c>
      <c r="R439" t="inlineStr">
        <is>
          <t xml:space="preserve">RJ </t>
        </is>
      </c>
      <c r="S439" t="n">
        <v>30</v>
      </c>
      <c r="T439" t="n">
        <v>30</v>
      </c>
      <c r="U439" t="inlineStr">
        <is>
          <t>2008-06-22</t>
        </is>
      </c>
      <c r="V439" t="inlineStr">
        <is>
          <t>2008-06-22</t>
        </is>
      </c>
      <c r="W439" t="inlineStr">
        <is>
          <t>1992-04-09</t>
        </is>
      </c>
      <c r="X439" t="inlineStr">
        <is>
          <t>1992-04-09</t>
        </is>
      </c>
      <c r="Y439" t="n">
        <v>41</v>
      </c>
      <c r="Z439" t="n">
        <v>36</v>
      </c>
      <c r="AA439" t="n">
        <v>181</v>
      </c>
      <c r="AB439" t="n">
        <v>2</v>
      </c>
      <c r="AC439" t="n">
        <v>3</v>
      </c>
      <c r="AD439" t="n">
        <v>1</v>
      </c>
      <c r="AE439" t="n">
        <v>11</v>
      </c>
      <c r="AF439" t="n">
        <v>0</v>
      </c>
      <c r="AG439" t="n">
        <v>3</v>
      </c>
      <c r="AH439" t="n">
        <v>0</v>
      </c>
      <c r="AI439" t="n">
        <v>2</v>
      </c>
      <c r="AJ439" t="n">
        <v>0</v>
      </c>
      <c r="AK439" t="n">
        <v>8</v>
      </c>
      <c r="AL439" t="n">
        <v>1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No</t>
        </is>
      </c>
      <c r="AS439">
        <f>HYPERLINK("https://creighton-primo.hosted.exlibrisgroup.com/primo-explore/search?tab=default_tab&amp;search_scope=EVERYTHING&amp;vid=01CRU&amp;lang=en_US&amp;offset=0&amp;query=any,contains,991001749169702656","Catalog Record")</f>
        <v/>
      </c>
      <c r="AT439">
        <f>HYPERLINK("http://www.worldcat.org/oclc/22162780","WorldCat Record")</f>
        <v/>
      </c>
      <c r="AU439" t="inlineStr">
        <is>
          <t>55248996:eng</t>
        </is>
      </c>
      <c r="AV439" t="inlineStr">
        <is>
          <t>22162780</t>
        </is>
      </c>
      <c r="AW439" t="inlineStr">
        <is>
          <t>991001749169702656</t>
        </is>
      </c>
      <c r="AX439" t="inlineStr">
        <is>
          <t>991001749169702656</t>
        </is>
      </c>
      <c r="AY439" t="inlineStr">
        <is>
          <t>2260593930002656</t>
        </is>
      </c>
      <c r="AZ439" t="inlineStr">
        <is>
          <t>BOOK</t>
        </is>
      </c>
      <c r="BB439" t="inlineStr">
        <is>
          <t>9780920887523</t>
        </is>
      </c>
      <c r="BC439" t="inlineStr">
        <is>
          <t>32285001009314</t>
        </is>
      </c>
      <c r="BD439" t="inlineStr">
        <is>
          <t>893334545</t>
        </is>
      </c>
    </row>
    <row r="440">
      <c r="A440" t="inlineStr">
        <is>
          <t>No</t>
        </is>
      </c>
      <c r="B440" t="inlineStr">
        <is>
          <t>RJ506.S9 S87 1984</t>
        </is>
      </c>
      <c r="C440" t="inlineStr">
        <is>
          <t>0                      RJ 0506000S  9                  S  87          1984</t>
        </is>
      </c>
      <c r="D440" t="inlineStr">
        <is>
          <t>Suicide in the young / edited by Howard S. Sudak, Amasa B. Ford, Norman B. Rushforth.</t>
        </is>
      </c>
      <c r="F440" t="inlineStr">
        <is>
          <t>No</t>
        </is>
      </c>
      <c r="G440" t="inlineStr">
        <is>
          <t>1</t>
        </is>
      </c>
      <c r="H440" t="inlineStr">
        <is>
          <t>Yes</t>
        </is>
      </c>
      <c r="I440" t="inlineStr">
        <is>
          <t>No</t>
        </is>
      </c>
      <c r="J440" t="inlineStr">
        <is>
          <t>0</t>
        </is>
      </c>
      <c r="L440" t="inlineStr">
        <is>
          <t>Boston : J. Wright : PSG, 1984.</t>
        </is>
      </c>
      <c r="M440" t="inlineStr">
        <is>
          <t>1984</t>
        </is>
      </c>
      <c r="O440" t="inlineStr">
        <is>
          <t>eng</t>
        </is>
      </c>
      <c r="P440" t="inlineStr">
        <is>
          <t>mau</t>
        </is>
      </c>
      <c r="R440" t="inlineStr">
        <is>
          <t xml:space="preserve">RJ </t>
        </is>
      </c>
      <c r="S440" t="n">
        <v>16</v>
      </c>
      <c r="T440" t="n">
        <v>21</v>
      </c>
      <c r="U440" t="inlineStr">
        <is>
          <t>2004-01-15</t>
        </is>
      </c>
      <c r="V440" t="inlineStr">
        <is>
          <t>2004-01-15</t>
        </is>
      </c>
      <c r="W440" t="inlineStr">
        <is>
          <t>1992-04-16</t>
        </is>
      </c>
      <c r="X440" t="inlineStr">
        <is>
          <t>1992-04-16</t>
        </is>
      </c>
      <c r="Y440" t="n">
        <v>314</v>
      </c>
      <c r="Z440" t="n">
        <v>248</v>
      </c>
      <c r="AA440" t="n">
        <v>255</v>
      </c>
      <c r="AB440" t="n">
        <v>3</v>
      </c>
      <c r="AC440" t="n">
        <v>3</v>
      </c>
      <c r="AD440" t="n">
        <v>10</v>
      </c>
      <c r="AE440" t="n">
        <v>10</v>
      </c>
      <c r="AF440" t="n">
        <v>3</v>
      </c>
      <c r="AG440" t="n">
        <v>3</v>
      </c>
      <c r="AH440" t="n">
        <v>3</v>
      </c>
      <c r="AI440" t="n">
        <v>3</v>
      </c>
      <c r="AJ440" t="n">
        <v>8</v>
      </c>
      <c r="AK440" t="n">
        <v>8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HYPERLINK("http://catalog.hathitrust.org/Record/000780452","HathiTrust Record")</f>
        <v/>
      </c>
      <c r="AS440">
        <f>HYPERLINK("https://creighton-primo.hosted.exlibrisgroup.com/primo-explore/search?tab=default_tab&amp;search_scope=EVERYTHING&amp;vid=01CRU&amp;lang=en_US&amp;offset=0&amp;query=any,contains,991001767299702656","Catalog Record")</f>
        <v/>
      </c>
      <c r="AT440">
        <f>HYPERLINK("http://www.worldcat.org/oclc/10162928","WorldCat Record")</f>
        <v/>
      </c>
      <c r="AU440" t="inlineStr">
        <is>
          <t>353013108:eng</t>
        </is>
      </c>
      <c r="AV440" t="inlineStr">
        <is>
          <t>10162928</t>
        </is>
      </c>
      <c r="AW440" t="inlineStr">
        <is>
          <t>991001767299702656</t>
        </is>
      </c>
      <c r="AX440" t="inlineStr">
        <is>
          <t>991001767299702656</t>
        </is>
      </c>
      <c r="AY440" t="inlineStr">
        <is>
          <t>2268024170002656</t>
        </is>
      </c>
      <c r="AZ440" t="inlineStr">
        <is>
          <t>BOOK</t>
        </is>
      </c>
      <c r="BB440" t="inlineStr">
        <is>
          <t>9780723670599</t>
        </is>
      </c>
      <c r="BC440" t="inlineStr">
        <is>
          <t>32285001070084</t>
        </is>
      </c>
      <c r="BD440" t="inlineStr">
        <is>
          <t>893238326</t>
        </is>
      </c>
    </row>
    <row r="441">
      <c r="A441" t="inlineStr">
        <is>
          <t>No</t>
        </is>
      </c>
      <c r="B441" t="inlineStr">
        <is>
          <t>RJ506.V56 B67 2006</t>
        </is>
      </c>
      <c r="C441" t="inlineStr">
        <is>
          <t>0                      RJ 0506000V  56                 B  67          2006</t>
        </is>
      </c>
      <c r="D441" t="inlineStr">
        <is>
          <t>Assessing and managing violence risk in juveniles / Randy Borum, David Verhaagen.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Borum, Randy.</t>
        </is>
      </c>
      <c r="L441" t="inlineStr">
        <is>
          <t>New York : Guilford Press, c2006.</t>
        </is>
      </c>
      <c r="M441" t="inlineStr">
        <is>
          <t>2006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RJ </t>
        </is>
      </c>
      <c r="S441" t="n">
        <v>2</v>
      </c>
      <c r="T441" t="n">
        <v>2</v>
      </c>
      <c r="U441" t="inlineStr">
        <is>
          <t>2008-11-17</t>
        </is>
      </c>
      <c r="V441" t="inlineStr">
        <is>
          <t>2008-11-17</t>
        </is>
      </c>
      <c r="W441" t="inlineStr">
        <is>
          <t>2008-04-01</t>
        </is>
      </c>
      <c r="X441" t="inlineStr">
        <is>
          <t>2008-04-01</t>
        </is>
      </c>
      <c r="Y441" t="n">
        <v>307</v>
      </c>
      <c r="Z441" t="n">
        <v>246</v>
      </c>
      <c r="AA441" t="n">
        <v>273</v>
      </c>
      <c r="AB441" t="n">
        <v>3</v>
      </c>
      <c r="AC441" t="n">
        <v>3</v>
      </c>
      <c r="AD441" t="n">
        <v>12</v>
      </c>
      <c r="AE441" t="n">
        <v>12</v>
      </c>
      <c r="AF441" t="n">
        <v>5</v>
      </c>
      <c r="AG441" t="n">
        <v>5</v>
      </c>
      <c r="AH441" t="n">
        <v>1</v>
      </c>
      <c r="AI441" t="n">
        <v>1</v>
      </c>
      <c r="AJ441" t="n">
        <v>5</v>
      </c>
      <c r="AK441" t="n">
        <v>5</v>
      </c>
      <c r="AL441" t="n">
        <v>2</v>
      </c>
      <c r="AM441" t="n">
        <v>2</v>
      </c>
      <c r="AN441" t="n">
        <v>1</v>
      </c>
      <c r="AO441" t="n">
        <v>1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HYPERLINK("http://catalog.hathitrust.org/Record/005266534","HathiTrust Record")</f>
        <v/>
      </c>
      <c r="AS441">
        <f>HYPERLINK("https://creighton-primo.hosted.exlibrisgroup.com/primo-explore/search?tab=default_tab&amp;search_scope=EVERYTHING&amp;vid=01CRU&amp;lang=en_US&amp;offset=0&amp;query=any,contains,991005199839702656","Catalog Record")</f>
        <v/>
      </c>
      <c r="AT441">
        <f>HYPERLINK("http://www.worldcat.org/oclc/68705619","WorldCat Record")</f>
        <v/>
      </c>
      <c r="AU441" t="inlineStr">
        <is>
          <t>52008907:eng</t>
        </is>
      </c>
      <c r="AV441" t="inlineStr">
        <is>
          <t>68705619</t>
        </is>
      </c>
      <c r="AW441" t="inlineStr">
        <is>
          <t>991005199839702656</t>
        </is>
      </c>
      <c r="AX441" t="inlineStr">
        <is>
          <t>991005199839702656</t>
        </is>
      </c>
      <c r="AY441" t="inlineStr">
        <is>
          <t>2267496470002656</t>
        </is>
      </c>
      <c r="AZ441" t="inlineStr">
        <is>
          <t>BOOK</t>
        </is>
      </c>
      <c r="BB441" t="inlineStr">
        <is>
          <t>9781593853228</t>
        </is>
      </c>
      <c r="BC441" t="inlineStr">
        <is>
          <t>32285005399976</t>
        </is>
      </c>
      <c r="BD441" t="inlineStr">
        <is>
          <t>893424718</t>
        </is>
      </c>
    </row>
    <row r="442">
      <c r="A442" t="inlineStr">
        <is>
          <t>No</t>
        </is>
      </c>
      <c r="B442" t="inlineStr">
        <is>
          <t>RJ507.A29 H45 1998</t>
        </is>
      </c>
      <c r="C442" t="inlineStr">
        <is>
          <t>0                      RJ 0507000A  29                 H  45          1998</t>
        </is>
      </c>
      <c r="D442" t="inlineStr">
        <is>
          <t>The abused child : psychodynamic understanding and treatment / Toni Vaughn Heineman ; foreword by Alicia F. Lieberman.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Heineman, Toni Vaughn.</t>
        </is>
      </c>
      <c r="L442" t="inlineStr">
        <is>
          <t>New York : Guilford Press, c1998.</t>
        </is>
      </c>
      <c r="M442" t="inlineStr">
        <is>
          <t>1998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RJ </t>
        </is>
      </c>
      <c r="S442" t="n">
        <v>1</v>
      </c>
      <c r="T442" t="n">
        <v>1</v>
      </c>
      <c r="U442" t="inlineStr">
        <is>
          <t>2008-11-17</t>
        </is>
      </c>
      <c r="V442" t="inlineStr">
        <is>
          <t>2008-11-17</t>
        </is>
      </c>
      <c r="W442" t="inlineStr">
        <is>
          <t>1999-02-10</t>
        </is>
      </c>
      <c r="X442" t="inlineStr">
        <is>
          <t>1999-02-10</t>
        </is>
      </c>
      <c r="Y442" t="n">
        <v>645</v>
      </c>
      <c r="Z442" t="n">
        <v>560</v>
      </c>
      <c r="AA442" t="n">
        <v>561</v>
      </c>
      <c r="AB442" t="n">
        <v>4</v>
      </c>
      <c r="AC442" t="n">
        <v>4</v>
      </c>
      <c r="AD442" t="n">
        <v>25</v>
      </c>
      <c r="AE442" t="n">
        <v>25</v>
      </c>
      <c r="AF442" t="n">
        <v>8</v>
      </c>
      <c r="AG442" t="n">
        <v>8</v>
      </c>
      <c r="AH442" t="n">
        <v>6</v>
      </c>
      <c r="AI442" t="n">
        <v>6</v>
      </c>
      <c r="AJ442" t="n">
        <v>14</v>
      </c>
      <c r="AK442" t="n">
        <v>14</v>
      </c>
      <c r="AL442" t="n">
        <v>3</v>
      </c>
      <c r="AM442" t="n">
        <v>3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HYPERLINK("https://creighton-primo.hosted.exlibrisgroup.com/primo-explore/search?tab=default_tab&amp;search_scope=EVERYTHING&amp;vid=01CRU&amp;lang=en_US&amp;offset=0&amp;query=any,contains,991002921089702656","Catalog Record")</f>
        <v/>
      </c>
      <c r="AT442">
        <f>HYPERLINK("http://www.worldcat.org/oclc/38752982","WorldCat Record")</f>
        <v/>
      </c>
      <c r="AU442" t="inlineStr">
        <is>
          <t>299120:eng</t>
        </is>
      </c>
      <c r="AV442" t="inlineStr">
        <is>
          <t>38752982</t>
        </is>
      </c>
      <c r="AW442" t="inlineStr">
        <is>
          <t>991002921089702656</t>
        </is>
      </c>
      <c r="AX442" t="inlineStr">
        <is>
          <t>991002921089702656</t>
        </is>
      </c>
      <c r="AY442" t="inlineStr">
        <is>
          <t>2269308530002656</t>
        </is>
      </c>
      <c r="AZ442" t="inlineStr">
        <is>
          <t>BOOK</t>
        </is>
      </c>
      <c r="BB442" t="inlineStr">
        <is>
          <t>9781572303751</t>
        </is>
      </c>
      <c r="BC442" t="inlineStr">
        <is>
          <t>32285003518791</t>
        </is>
      </c>
      <c r="BD442" t="inlineStr">
        <is>
          <t>893780394</t>
        </is>
      </c>
    </row>
    <row r="443">
      <c r="A443" t="inlineStr">
        <is>
          <t>No</t>
        </is>
      </c>
      <c r="B443" t="inlineStr">
        <is>
          <t>RJ507.A29 P55 1991</t>
        </is>
      </c>
      <c r="C443" t="inlineStr">
        <is>
          <t>0                      RJ 0507000A  29                 P  55          1991</t>
        </is>
      </c>
      <c r="D443" t="inlineStr">
        <is>
          <t>Scapegoating in families : intergenerational patterns of physical and emotional abuse / Vimala Pillari.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Pillari, Vimala.</t>
        </is>
      </c>
      <c r="L443" t="inlineStr">
        <is>
          <t>New York : Brunner/Mazel, c1991.</t>
        </is>
      </c>
      <c r="M443" t="inlineStr">
        <is>
          <t>1991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RJ </t>
        </is>
      </c>
      <c r="S443" t="n">
        <v>2</v>
      </c>
      <c r="T443" t="n">
        <v>2</v>
      </c>
      <c r="U443" t="inlineStr">
        <is>
          <t>1995-10-01</t>
        </is>
      </c>
      <c r="V443" t="inlineStr">
        <is>
          <t>1995-10-01</t>
        </is>
      </c>
      <c r="W443" t="inlineStr">
        <is>
          <t>1995-08-21</t>
        </is>
      </c>
      <c r="X443" t="inlineStr">
        <is>
          <t>1995-08-21</t>
        </is>
      </c>
      <c r="Y443" t="n">
        <v>513</v>
      </c>
      <c r="Z443" t="n">
        <v>443</v>
      </c>
      <c r="AA443" t="n">
        <v>445</v>
      </c>
      <c r="AB443" t="n">
        <v>2</v>
      </c>
      <c r="AC443" t="n">
        <v>2</v>
      </c>
      <c r="AD443" t="n">
        <v>23</v>
      </c>
      <c r="AE443" t="n">
        <v>23</v>
      </c>
      <c r="AF443" t="n">
        <v>9</v>
      </c>
      <c r="AG443" t="n">
        <v>9</v>
      </c>
      <c r="AH443" t="n">
        <v>6</v>
      </c>
      <c r="AI443" t="n">
        <v>6</v>
      </c>
      <c r="AJ443" t="n">
        <v>14</v>
      </c>
      <c r="AK443" t="n">
        <v>14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HYPERLINK("http://catalog.hathitrust.org/Record/002485823","HathiTrust Record")</f>
        <v/>
      </c>
      <c r="AS443">
        <f>HYPERLINK("https://creighton-primo.hosted.exlibrisgroup.com/primo-explore/search?tab=default_tab&amp;search_scope=EVERYTHING&amp;vid=01CRU&amp;lang=en_US&amp;offset=0&amp;query=any,contains,991001872069702656","Catalog Record")</f>
        <v/>
      </c>
      <c r="AT443">
        <f>HYPERLINK("http://www.worldcat.org/oclc/23649431","WorldCat Record")</f>
        <v/>
      </c>
      <c r="AU443" t="inlineStr">
        <is>
          <t>364403633:eng</t>
        </is>
      </c>
      <c r="AV443" t="inlineStr">
        <is>
          <t>23649431</t>
        </is>
      </c>
      <c r="AW443" t="inlineStr">
        <is>
          <t>991001872069702656</t>
        </is>
      </c>
      <c r="AX443" t="inlineStr">
        <is>
          <t>991001872069702656</t>
        </is>
      </c>
      <c r="AY443" t="inlineStr">
        <is>
          <t>2259874730002656</t>
        </is>
      </c>
      <c r="AZ443" t="inlineStr">
        <is>
          <t>BOOK</t>
        </is>
      </c>
      <c r="BB443" t="inlineStr">
        <is>
          <t>9780876306390</t>
        </is>
      </c>
      <c r="BC443" t="inlineStr">
        <is>
          <t>32285002078193</t>
        </is>
      </c>
      <c r="BD443" t="inlineStr">
        <is>
          <t>893346856</t>
        </is>
      </c>
    </row>
    <row r="444">
      <c r="A444" t="inlineStr">
        <is>
          <t>No</t>
        </is>
      </c>
      <c r="B444" t="inlineStr">
        <is>
          <t>RJ507.A77 C56 1995</t>
        </is>
      </c>
      <c r="C444" t="inlineStr">
        <is>
          <t>0                      RJ 0507000A  77                 C  56          1995</t>
        </is>
      </c>
      <c r="D444" t="inlineStr">
        <is>
          <t>Conscienceless acts, societal mayhem : uncontrollable, unreachable youth and today's desensitized world / Foster W. Cline.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Cline, Foster.</t>
        </is>
      </c>
      <c r="L444" t="inlineStr">
        <is>
          <t>Golden, Colo. : Love and Logic Press, c1995.</t>
        </is>
      </c>
      <c r="M444" t="inlineStr">
        <is>
          <t>1995</t>
        </is>
      </c>
      <c r="N444" t="inlineStr">
        <is>
          <t>1st ed.</t>
        </is>
      </c>
      <c r="O444" t="inlineStr">
        <is>
          <t>eng</t>
        </is>
      </c>
      <c r="P444" t="inlineStr">
        <is>
          <t>cou</t>
        </is>
      </c>
      <c r="R444" t="inlineStr">
        <is>
          <t xml:space="preserve">RJ </t>
        </is>
      </c>
      <c r="S444" t="n">
        <v>6</v>
      </c>
      <c r="T444" t="n">
        <v>6</v>
      </c>
      <c r="U444" t="inlineStr">
        <is>
          <t>2000-03-24</t>
        </is>
      </c>
      <c r="V444" t="inlineStr">
        <is>
          <t>2000-03-24</t>
        </is>
      </c>
      <c r="W444" t="inlineStr">
        <is>
          <t>1997-05-12</t>
        </is>
      </c>
      <c r="X444" t="inlineStr">
        <is>
          <t>1997-05-12</t>
        </is>
      </c>
      <c r="Y444" t="n">
        <v>82</v>
      </c>
      <c r="Z444" t="n">
        <v>77</v>
      </c>
      <c r="AA444" t="n">
        <v>82</v>
      </c>
      <c r="AB444" t="n">
        <v>2</v>
      </c>
      <c r="AC444" t="n">
        <v>2</v>
      </c>
      <c r="AD444" t="n">
        <v>2</v>
      </c>
      <c r="AE444" t="n">
        <v>2</v>
      </c>
      <c r="AF444" t="n">
        <v>1</v>
      </c>
      <c r="AG444" t="n">
        <v>1</v>
      </c>
      <c r="AH444" t="n">
        <v>0</v>
      </c>
      <c r="AI444" t="n">
        <v>0</v>
      </c>
      <c r="AJ444" t="n">
        <v>1</v>
      </c>
      <c r="AK444" t="n">
        <v>1</v>
      </c>
      <c r="AL444" t="n">
        <v>1</v>
      </c>
      <c r="AM444" t="n">
        <v>1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HYPERLINK("https://creighton-primo.hosted.exlibrisgroup.com/primo-explore/search?tab=default_tab&amp;search_scope=EVERYTHING&amp;vid=01CRU&amp;lang=en_US&amp;offset=0&amp;query=any,contains,991002430719702656","Catalog Record")</f>
        <v/>
      </c>
      <c r="AT444">
        <f>HYPERLINK("http://www.worldcat.org/oclc/31707558","WorldCat Record")</f>
        <v/>
      </c>
      <c r="AU444" t="inlineStr">
        <is>
          <t>33663400:eng</t>
        </is>
      </c>
      <c r="AV444" t="inlineStr">
        <is>
          <t>31707558</t>
        </is>
      </c>
      <c r="AW444" t="inlineStr">
        <is>
          <t>991002430719702656</t>
        </is>
      </c>
      <c r="AX444" t="inlineStr">
        <is>
          <t>991002430719702656</t>
        </is>
      </c>
      <c r="AY444" t="inlineStr">
        <is>
          <t>2272188910002656</t>
        </is>
      </c>
      <c r="AZ444" t="inlineStr">
        <is>
          <t>BOOK</t>
        </is>
      </c>
      <c r="BB444" t="inlineStr">
        <is>
          <t>9780944634196</t>
        </is>
      </c>
      <c r="BC444" t="inlineStr">
        <is>
          <t>32285002607058</t>
        </is>
      </c>
      <c r="BD444" t="inlineStr">
        <is>
          <t>893704071</t>
        </is>
      </c>
    </row>
    <row r="445">
      <c r="A445" t="inlineStr">
        <is>
          <t>No</t>
        </is>
      </c>
      <c r="B445" t="inlineStr">
        <is>
          <t>RJ507.A77 C57 1988</t>
        </is>
      </c>
      <c r="C445" t="inlineStr">
        <is>
          <t>0                      RJ 0507000A  77                 C  57          1988</t>
        </is>
      </c>
      <c r="D445" t="inlineStr">
        <is>
          <t>Clinical implications of attachment / editors, Jay Belsky, Teresa Nezworski.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Hillsdale, N.J. : L. Erlbaum Associates, 1988.</t>
        </is>
      </c>
      <c r="M445" t="inlineStr">
        <is>
          <t>1988</t>
        </is>
      </c>
      <c r="O445" t="inlineStr">
        <is>
          <t>eng</t>
        </is>
      </c>
      <c r="P445" t="inlineStr">
        <is>
          <t>nju</t>
        </is>
      </c>
      <c r="Q445" t="inlineStr">
        <is>
          <t>Child psychology</t>
        </is>
      </c>
      <c r="R445" t="inlineStr">
        <is>
          <t xml:space="preserve">RJ </t>
        </is>
      </c>
      <c r="S445" t="n">
        <v>18</v>
      </c>
      <c r="T445" t="n">
        <v>18</v>
      </c>
      <c r="U445" t="inlineStr">
        <is>
          <t>2001-11-13</t>
        </is>
      </c>
      <c r="V445" t="inlineStr">
        <is>
          <t>2001-11-13</t>
        </is>
      </c>
      <c r="W445" t="inlineStr">
        <is>
          <t>1990-07-19</t>
        </is>
      </c>
      <c r="X445" t="inlineStr">
        <is>
          <t>1990-07-19</t>
        </is>
      </c>
      <c r="Y445" t="n">
        <v>342</v>
      </c>
      <c r="Z445" t="n">
        <v>261</v>
      </c>
      <c r="AA445" t="n">
        <v>284</v>
      </c>
      <c r="AB445" t="n">
        <v>3</v>
      </c>
      <c r="AC445" t="n">
        <v>3</v>
      </c>
      <c r="AD445" t="n">
        <v>13</v>
      </c>
      <c r="AE445" t="n">
        <v>13</v>
      </c>
      <c r="AF445" t="n">
        <v>2</v>
      </c>
      <c r="AG445" t="n">
        <v>2</v>
      </c>
      <c r="AH445" t="n">
        <v>4</v>
      </c>
      <c r="AI445" t="n">
        <v>4</v>
      </c>
      <c r="AJ445" t="n">
        <v>9</v>
      </c>
      <c r="AK445" t="n">
        <v>9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HYPERLINK("https://creighton-primo.hosted.exlibrisgroup.com/primo-explore/search?tab=default_tab&amp;search_scope=EVERYTHING&amp;vid=01CRU&amp;lang=en_US&amp;offset=0&amp;query=any,contains,991000972389702656","Catalog Record")</f>
        <v/>
      </c>
      <c r="AT445">
        <f>HYPERLINK("http://www.worldcat.org/oclc/14965656","WorldCat Record")</f>
        <v/>
      </c>
      <c r="AU445" t="inlineStr">
        <is>
          <t>350300578:eng</t>
        </is>
      </c>
      <c r="AV445" t="inlineStr">
        <is>
          <t>14965656</t>
        </is>
      </c>
      <c r="AW445" t="inlineStr">
        <is>
          <t>991000972389702656</t>
        </is>
      </c>
      <c r="AX445" t="inlineStr">
        <is>
          <t>991000972389702656</t>
        </is>
      </c>
      <c r="AY445" t="inlineStr">
        <is>
          <t>2268492920002656</t>
        </is>
      </c>
      <c r="AZ445" t="inlineStr">
        <is>
          <t>BOOK</t>
        </is>
      </c>
      <c r="BB445" t="inlineStr">
        <is>
          <t>9780898597783</t>
        </is>
      </c>
      <c r="BC445" t="inlineStr">
        <is>
          <t>32285000209741</t>
        </is>
      </c>
      <c r="BD445" t="inlineStr">
        <is>
          <t>893708879</t>
        </is>
      </c>
    </row>
    <row r="446">
      <c r="A446" t="inlineStr">
        <is>
          <t>No</t>
        </is>
      </c>
      <c r="B446" t="inlineStr">
        <is>
          <t>RJ507.D57 C48 1993</t>
        </is>
      </c>
      <c r="C446" t="inlineStr">
        <is>
          <t>0                      RJ 0507000D  57                 C  48          1993</t>
        </is>
      </c>
      <c r="D446" t="inlineStr">
        <is>
          <t>Children and disasters / edited by Conway F. Saylor.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New York : Plenum Press, c1993.</t>
        </is>
      </c>
      <c r="M446" t="inlineStr">
        <is>
          <t>1993</t>
        </is>
      </c>
      <c r="O446" t="inlineStr">
        <is>
          <t>eng</t>
        </is>
      </c>
      <c r="P446" t="inlineStr">
        <is>
          <t>nyu</t>
        </is>
      </c>
      <c r="Q446" t="inlineStr">
        <is>
          <t>Issues in clinical child psychology</t>
        </is>
      </c>
      <c r="R446" t="inlineStr">
        <is>
          <t xml:space="preserve">RJ </t>
        </is>
      </c>
      <c r="S446" t="n">
        <v>20</v>
      </c>
      <c r="T446" t="n">
        <v>20</v>
      </c>
      <c r="U446" t="inlineStr">
        <is>
          <t>2007-08-21</t>
        </is>
      </c>
      <c r="V446" t="inlineStr">
        <is>
          <t>2007-08-21</t>
        </is>
      </c>
      <c r="W446" t="inlineStr">
        <is>
          <t>1996-02-05</t>
        </is>
      </c>
      <c r="X446" t="inlineStr">
        <is>
          <t>1996-02-05</t>
        </is>
      </c>
      <c r="Y446" t="n">
        <v>357</v>
      </c>
      <c r="Z446" t="n">
        <v>264</v>
      </c>
      <c r="AA446" t="n">
        <v>285</v>
      </c>
      <c r="AB446" t="n">
        <v>2</v>
      </c>
      <c r="AC446" t="n">
        <v>2</v>
      </c>
      <c r="AD446" t="n">
        <v>15</v>
      </c>
      <c r="AE446" t="n">
        <v>17</v>
      </c>
      <c r="AF446" t="n">
        <v>5</v>
      </c>
      <c r="AG446" t="n">
        <v>7</v>
      </c>
      <c r="AH446" t="n">
        <v>2</v>
      </c>
      <c r="AI446" t="n">
        <v>2</v>
      </c>
      <c r="AJ446" t="n">
        <v>9</v>
      </c>
      <c r="AK446" t="n">
        <v>10</v>
      </c>
      <c r="AL446" t="n">
        <v>1</v>
      </c>
      <c r="AM446" t="n">
        <v>1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HYPERLINK("http://catalog.hathitrust.org/Record/002714622","HathiTrust Record")</f>
        <v/>
      </c>
      <c r="AS446">
        <f>HYPERLINK("https://creighton-primo.hosted.exlibrisgroup.com/primo-explore/search?tab=default_tab&amp;search_scope=EVERYTHING&amp;vid=01CRU&amp;lang=en_US&amp;offset=0&amp;query=any,contains,991002174869702656","Catalog Record")</f>
        <v/>
      </c>
      <c r="AT446">
        <f>HYPERLINK("http://www.worldcat.org/oclc/27977878","WorldCat Record")</f>
        <v/>
      </c>
      <c r="AU446" t="inlineStr">
        <is>
          <t>330009:eng</t>
        </is>
      </c>
      <c r="AV446" t="inlineStr">
        <is>
          <t>27977878</t>
        </is>
      </c>
      <c r="AW446" t="inlineStr">
        <is>
          <t>991002174869702656</t>
        </is>
      </c>
      <c r="AX446" t="inlineStr">
        <is>
          <t>991002174869702656</t>
        </is>
      </c>
      <c r="AY446" t="inlineStr">
        <is>
          <t>2261684610002656</t>
        </is>
      </c>
      <c r="AZ446" t="inlineStr">
        <is>
          <t>BOOK</t>
        </is>
      </c>
      <c r="BB446" t="inlineStr">
        <is>
          <t>9780306444319</t>
        </is>
      </c>
      <c r="BC446" t="inlineStr">
        <is>
          <t>32285002127867</t>
        </is>
      </c>
      <c r="BD446" t="inlineStr">
        <is>
          <t>893510394</t>
        </is>
      </c>
    </row>
    <row r="447">
      <c r="A447" t="inlineStr">
        <is>
          <t>No</t>
        </is>
      </c>
      <c r="B447" t="inlineStr">
        <is>
          <t>RJ507.D59 C36 1983</t>
        </is>
      </c>
      <c r="C447" t="inlineStr">
        <is>
          <t>0                      RJ 0507000D  59                 C  36          1983</t>
        </is>
      </c>
      <c r="D447" t="inlineStr">
        <is>
          <t>Divorced parents and their children : a guide for mental health professionals / Dorothy W. Cantor, Ellen A. Drake ; foreword by Richard A. Gardner.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Cantor, Dorothy W.</t>
        </is>
      </c>
      <c r="L447" t="inlineStr">
        <is>
          <t>New York : Springer Pub. Co., c1983.</t>
        </is>
      </c>
      <c r="M447" t="inlineStr">
        <is>
          <t>1983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RJ </t>
        </is>
      </c>
      <c r="S447" t="n">
        <v>22</v>
      </c>
      <c r="T447" t="n">
        <v>22</v>
      </c>
      <c r="U447" t="inlineStr">
        <is>
          <t>2001-10-23</t>
        </is>
      </c>
      <c r="V447" t="inlineStr">
        <is>
          <t>2001-10-23</t>
        </is>
      </c>
      <c r="W447" t="inlineStr">
        <is>
          <t>1991-10-29</t>
        </is>
      </c>
      <c r="X447" t="inlineStr">
        <is>
          <t>1991-10-29</t>
        </is>
      </c>
      <c r="Y447" t="n">
        <v>362</v>
      </c>
      <c r="Z447" t="n">
        <v>322</v>
      </c>
      <c r="AA447" t="n">
        <v>324</v>
      </c>
      <c r="AB447" t="n">
        <v>2</v>
      </c>
      <c r="AC447" t="n">
        <v>2</v>
      </c>
      <c r="AD447" t="n">
        <v>8</v>
      </c>
      <c r="AE447" t="n">
        <v>8</v>
      </c>
      <c r="AF447" t="n">
        <v>4</v>
      </c>
      <c r="AG447" t="n">
        <v>4</v>
      </c>
      <c r="AH447" t="n">
        <v>0</v>
      </c>
      <c r="AI447" t="n">
        <v>0</v>
      </c>
      <c r="AJ447" t="n">
        <v>6</v>
      </c>
      <c r="AK447" t="n">
        <v>6</v>
      </c>
      <c r="AL447" t="n">
        <v>1</v>
      </c>
      <c r="AM447" t="n">
        <v>1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HYPERLINK("http://catalog.hathitrust.org/Record/000316525","HathiTrust Record")</f>
        <v/>
      </c>
      <c r="AS447">
        <f>HYPERLINK("https://creighton-primo.hosted.exlibrisgroup.com/primo-explore/search?tab=default_tab&amp;search_scope=EVERYTHING&amp;vid=01CRU&amp;lang=en_US&amp;offset=0&amp;query=any,contains,991000157789702656","Catalog Record")</f>
        <v/>
      </c>
      <c r="AT447">
        <f>HYPERLINK("http://www.worldcat.org/oclc/9254446","WorldCat Record")</f>
        <v/>
      </c>
      <c r="AU447" t="inlineStr">
        <is>
          <t>427636070:eng</t>
        </is>
      </c>
      <c r="AV447" t="inlineStr">
        <is>
          <t>9254446</t>
        </is>
      </c>
      <c r="AW447" t="inlineStr">
        <is>
          <t>991000157789702656</t>
        </is>
      </c>
      <c r="AX447" t="inlineStr">
        <is>
          <t>991000157789702656</t>
        </is>
      </c>
      <c r="AY447" t="inlineStr">
        <is>
          <t>2259104320002656</t>
        </is>
      </c>
      <c r="AZ447" t="inlineStr">
        <is>
          <t>BOOK</t>
        </is>
      </c>
      <c r="BB447" t="inlineStr">
        <is>
          <t>9780826135605</t>
        </is>
      </c>
      <c r="BC447" t="inlineStr">
        <is>
          <t>32285000803212</t>
        </is>
      </c>
      <c r="BD447" t="inlineStr">
        <is>
          <t>893871467</t>
        </is>
      </c>
    </row>
    <row r="448">
      <c r="A448" t="inlineStr">
        <is>
          <t>No</t>
        </is>
      </c>
      <c r="B448" t="inlineStr">
        <is>
          <t>RJ507.D59 H63 1986</t>
        </is>
      </c>
      <c r="C448" t="inlineStr">
        <is>
          <t>0                      RJ 0507000D  59                 H  63          1986</t>
        </is>
      </c>
      <c r="D448" t="inlineStr">
        <is>
          <t>Interventions for children of divorce : custody, access, and psychotherapy / William F. Hodges.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Hodges, William F.</t>
        </is>
      </c>
      <c r="L448" t="inlineStr">
        <is>
          <t>New York, N.Y. : Wiley, c1986.</t>
        </is>
      </c>
      <c r="M448" t="inlineStr">
        <is>
          <t>1986</t>
        </is>
      </c>
      <c r="O448" t="inlineStr">
        <is>
          <t>eng</t>
        </is>
      </c>
      <c r="P448" t="inlineStr">
        <is>
          <t>nyu</t>
        </is>
      </c>
      <c r="Q448" t="inlineStr">
        <is>
          <t>Wiley series on personality processes</t>
        </is>
      </c>
      <c r="R448" t="inlineStr">
        <is>
          <t xml:space="preserve">RJ </t>
        </is>
      </c>
      <c r="S448" t="n">
        <v>15</v>
      </c>
      <c r="T448" t="n">
        <v>15</v>
      </c>
      <c r="U448" t="inlineStr">
        <is>
          <t>2007-09-19</t>
        </is>
      </c>
      <c r="V448" t="inlineStr">
        <is>
          <t>2007-09-19</t>
        </is>
      </c>
      <c r="W448" t="inlineStr">
        <is>
          <t>1991-12-19</t>
        </is>
      </c>
      <c r="X448" t="inlineStr">
        <is>
          <t>1991-12-19</t>
        </is>
      </c>
      <c r="Y448" t="n">
        <v>617</v>
      </c>
      <c r="Z448" t="n">
        <v>525</v>
      </c>
      <c r="AA448" t="n">
        <v>721</v>
      </c>
      <c r="AB448" t="n">
        <v>3</v>
      </c>
      <c r="AC448" t="n">
        <v>6</v>
      </c>
      <c r="AD448" t="n">
        <v>21</v>
      </c>
      <c r="AE448" t="n">
        <v>37</v>
      </c>
      <c r="AF448" t="n">
        <v>11</v>
      </c>
      <c r="AG448" t="n">
        <v>15</v>
      </c>
      <c r="AH448" t="n">
        <v>2</v>
      </c>
      <c r="AI448" t="n">
        <v>6</v>
      </c>
      <c r="AJ448" t="n">
        <v>9</v>
      </c>
      <c r="AK448" t="n">
        <v>16</v>
      </c>
      <c r="AL448" t="n">
        <v>2</v>
      </c>
      <c r="AM448" t="n">
        <v>5</v>
      </c>
      <c r="AN448" t="n">
        <v>1</v>
      </c>
      <c r="AO448" t="n">
        <v>3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HYPERLINK("http://catalog.hathitrust.org/Record/000401642","HathiTrust Record")</f>
        <v/>
      </c>
      <c r="AS448">
        <f>HYPERLINK("https://creighton-primo.hosted.exlibrisgroup.com/primo-explore/search?tab=default_tab&amp;search_scope=EVERYTHING&amp;vid=01CRU&amp;lang=en_US&amp;offset=0&amp;query=any,contains,991000875009702656","Catalog Record")</f>
        <v/>
      </c>
      <c r="AT448">
        <f>HYPERLINK("http://www.worldcat.org/oclc/13796027","WorldCat Record")</f>
        <v/>
      </c>
      <c r="AU448" t="inlineStr">
        <is>
          <t>7965509:eng</t>
        </is>
      </c>
      <c r="AV448" t="inlineStr">
        <is>
          <t>13796027</t>
        </is>
      </c>
      <c r="AW448" t="inlineStr">
        <is>
          <t>991000875009702656</t>
        </is>
      </c>
      <c r="AX448" t="inlineStr">
        <is>
          <t>991000875009702656</t>
        </is>
      </c>
      <c r="AY448" t="inlineStr">
        <is>
          <t>2270733770002656</t>
        </is>
      </c>
      <c r="AZ448" t="inlineStr">
        <is>
          <t>BOOK</t>
        </is>
      </c>
      <c r="BB448" t="inlineStr">
        <is>
          <t>9780471813545</t>
        </is>
      </c>
      <c r="BC448" t="inlineStr">
        <is>
          <t>32285000861392</t>
        </is>
      </c>
      <c r="BD448" t="inlineStr">
        <is>
          <t>893589823</t>
        </is>
      </c>
    </row>
    <row r="449">
      <c r="A449" t="inlineStr">
        <is>
          <t>No</t>
        </is>
      </c>
      <c r="B449" t="inlineStr">
        <is>
          <t>RJ507.D59 J64 1997</t>
        </is>
      </c>
      <c r="C449" t="inlineStr">
        <is>
          <t>0                      RJ 0507000D  59                 J  64          1997</t>
        </is>
      </c>
      <c r="D449" t="inlineStr">
        <is>
          <t>In the name of the child : a developmental approach to understanding and helping children of conflicted and violent divorce / Janet R. Johnston, Vivienne Roseby.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Johnston, Janet R.</t>
        </is>
      </c>
      <c r="L449" t="inlineStr">
        <is>
          <t>New York : Free Press, c1997.</t>
        </is>
      </c>
      <c r="M449" t="inlineStr">
        <is>
          <t>1997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RJ </t>
        </is>
      </c>
      <c r="S449" t="n">
        <v>8</v>
      </c>
      <c r="T449" t="n">
        <v>8</v>
      </c>
      <c r="U449" t="inlineStr">
        <is>
          <t>2000-10-05</t>
        </is>
      </c>
      <c r="V449" t="inlineStr">
        <is>
          <t>2000-10-05</t>
        </is>
      </c>
      <c r="W449" t="inlineStr">
        <is>
          <t>1998-02-13</t>
        </is>
      </c>
      <c r="X449" t="inlineStr">
        <is>
          <t>1998-02-13</t>
        </is>
      </c>
      <c r="Y449" t="n">
        <v>254</v>
      </c>
      <c r="Z449" t="n">
        <v>217</v>
      </c>
      <c r="AA449" t="n">
        <v>729</v>
      </c>
      <c r="AB449" t="n">
        <v>2</v>
      </c>
      <c r="AC449" t="n">
        <v>7</v>
      </c>
      <c r="AD449" t="n">
        <v>9</v>
      </c>
      <c r="AE449" t="n">
        <v>31</v>
      </c>
      <c r="AF449" t="n">
        <v>5</v>
      </c>
      <c r="AG449" t="n">
        <v>13</v>
      </c>
      <c r="AH449" t="n">
        <v>1</v>
      </c>
      <c r="AI449" t="n">
        <v>5</v>
      </c>
      <c r="AJ449" t="n">
        <v>2</v>
      </c>
      <c r="AK449" t="n">
        <v>9</v>
      </c>
      <c r="AL449" t="n">
        <v>1</v>
      </c>
      <c r="AM449" t="n">
        <v>6</v>
      </c>
      <c r="AN449" t="n">
        <v>1</v>
      </c>
      <c r="AO449" t="n">
        <v>2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HYPERLINK("http://catalog.hathitrust.org/Record/003968917","HathiTrust Record")</f>
        <v/>
      </c>
      <c r="AS449">
        <f>HYPERLINK("https://creighton-primo.hosted.exlibrisgroup.com/primo-explore/search?tab=default_tab&amp;search_scope=EVERYTHING&amp;vid=01CRU&amp;lang=en_US&amp;offset=0&amp;query=any,contains,991002793999702656","Catalog Record")</f>
        <v/>
      </c>
      <c r="AT449">
        <f>HYPERLINK("http://www.worldcat.org/oclc/36694306","WorldCat Record")</f>
        <v/>
      </c>
      <c r="AU449" t="inlineStr">
        <is>
          <t>196035191:eng</t>
        </is>
      </c>
      <c r="AV449" t="inlineStr">
        <is>
          <t>36694306</t>
        </is>
      </c>
      <c r="AW449" t="inlineStr">
        <is>
          <t>991002793999702656</t>
        </is>
      </c>
      <c r="AX449" t="inlineStr">
        <is>
          <t>991002793999702656</t>
        </is>
      </c>
      <c r="AY449" t="inlineStr">
        <is>
          <t>2254967310002656</t>
        </is>
      </c>
      <c r="AZ449" t="inlineStr">
        <is>
          <t>BOOK</t>
        </is>
      </c>
      <c r="BB449" t="inlineStr">
        <is>
          <t>9780684827711</t>
        </is>
      </c>
      <c r="BC449" t="inlineStr">
        <is>
          <t>32285003313912</t>
        </is>
      </c>
      <c r="BD449" t="inlineStr">
        <is>
          <t>893262474</t>
        </is>
      </c>
    </row>
    <row r="450">
      <c r="A450" t="inlineStr">
        <is>
          <t>No</t>
        </is>
      </c>
      <c r="B450" t="inlineStr">
        <is>
          <t>RJ507.F33 R67 1997</t>
        </is>
      </c>
      <c r="C450" t="inlineStr">
        <is>
          <t>0                      RJ 0507000F  33                 R  67          1997</t>
        </is>
      </c>
      <c r="D450" t="inlineStr">
        <is>
          <t>High-conflict, violent, and separating families : a group treatment manual for school-age children / Vivienne Roseby and Janet R. Johnston.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Roseby, Vivienne, 1951-</t>
        </is>
      </c>
      <c r="L450" t="inlineStr">
        <is>
          <t>New York : Free Press, c1997.</t>
        </is>
      </c>
      <c r="M450" t="inlineStr">
        <is>
          <t>1997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RJ </t>
        </is>
      </c>
      <c r="S450" t="n">
        <v>2</v>
      </c>
      <c r="T450" t="n">
        <v>2</v>
      </c>
      <c r="U450" t="inlineStr">
        <is>
          <t>1999-06-30</t>
        </is>
      </c>
      <c r="V450" t="inlineStr">
        <is>
          <t>1999-06-30</t>
        </is>
      </c>
      <c r="W450" t="inlineStr">
        <is>
          <t>1998-02-13</t>
        </is>
      </c>
      <c r="X450" t="inlineStr">
        <is>
          <t>1998-02-13</t>
        </is>
      </c>
      <c r="Y450" t="n">
        <v>132</v>
      </c>
      <c r="Z450" t="n">
        <v>109</v>
      </c>
      <c r="AA450" t="n">
        <v>111</v>
      </c>
      <c r="AB450" t="n">
        <v>2</v>
      </c>
      <c r="AC450" t="n">
        <v>2</v>
      </c>
      <c r="AD450" t="n">
        <v>6</v>
      </c>
      <c r="AE450" t="n">
        <v>6</v>
      </c>
      <c r="AF450" t="n">
        <v>4</v>
      </c>
      <c r="AG450" t="n">
        <v>4</v>
      </c>
      <c r="AH450" t="n">
        <v>1</v>
      </c>
      <c r="AI450" t="n">
        <v>1</v>
      </c>
      <c r="AJ450" t="n">
        <v>2</v>
      </c>
      <c r="AK450" t="n">
        <v>2</v>
      </c>
      <c r="AL450" t="n">
        <v>1</v>
      </c>
      <c r="AM450" t="n">
        <v>1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HYPERLINK("http://catalog.hathitrust.org/Record/003180627","HathiTrust Record")</f>
        <v/>
      </c>
      <c r="AS450">
        <f>HYPERLINK("https://creighton-primo.hosted.exlibrisgroup.com/primo-explore/search?tab=default_tab&amp;search_scope=EVERYTHING&amp;vid=01CRU&amp;lang=en_US&amp;offset=0&amp;query=any,contains,991002786529702656","Catalog Record")</f>
        <v/>
      </c>
      <c r="AT450">
        <f>HYPERLINK("http://www.worldcat.org/oclc/36589152","WorldCat Record")</f>
        <v/>
      </c>
      <c r="AU450" t="inlineStr">
        <is>
          <t>325170560:eng</t>
        </is>
      </c>
      <c r="AV450" t="inlineStr">
        <is>
          <t>36589152</t>
        </is>
      </c>
      <c r="AW450" t="inlineStr">
        <is>
          <t>991002786529702656</t>
        </is>
      </c>
      <c r="AX450" t="inlineStr">
        <is>
          <t>991002786529702656</t>
        </is>
      </c>
      <c r="AY450" t="inlineStr">
        <is>
          <t>2264341550002656</t>
        </is>
      </c>
      <c r="AZ450" t="inlineStr">
        <is>
          <t>BOOK</t>
        </is>
      </c>
      <c r="BB450" t="inlineStr">
        <is>
          <t>9780684827698</t>
        </is>
      </c>
      <c r="BC450" t="inlineStr">
        <is>
          <t>32285003313870</t>
        </is>
      </c>
      <c r="BD450" t="inlineStr">
        <is>
          <t>893691998</t>
        </is>
      </c>
    </row>
    <row r="451">
      <c r="A451" t="inlineStr">
        <is>
          <t>No</t>
        </is>
      </c>
      <c r="B451" t="inlineStr">
        <is>
          <t>RJ507.F35 J34 1990</t>
        </is>
      </c>
      <c r="C451" t="inlineStr">
        <is>
          <t>0                      RJ 0507000F  35                 J  34          1990</t>
        </is>
      </c>
      <c r="D451" t="inlineStr">
        <is>
          <t>Children of battered women / Peter G. Jaffe, David A. Wolfe, Susan Kaye Wilson.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Jaffe, Peter G.</t>
        </is>
      </c>
      <c r="L451" t="inlineStr">
        <is>
          <t>Newbury Park : Sage Publications, c1990.</t>
        </is>
      </c>
      <c r="M451" t="inlineStr">
        <is>
          <t>1990</t>
        </is>
      </c>
      <c r="O451" t="inlineStr">
        <is>
          <t>eng</t>
        </is>
      </c>
      <c r="P451" t="inlineStr">
        <is>
          <t>enk</t>
        </is>
      </c>
      <c r="Q451" t="inlineStr">
        <is>
          <t>Developmental clinical psychology and psychiatry ; v. 21</t>
        </is>
      </c>
      <c r="R451" t="inlineStr">
        <is>
          <t xml:space="preserve">RJ </t>
        </is>
      </c>
      <c r="S451" t="n">
        <v>7</v>
      </c>
      <c r="T451" t="n">
        <v>7</v>
      </c>
      <c r="U451" t="inlineStr">
        <is>
          <t>1996-04-29</t>
        </is>
      </c>
      <c r="V451" t="inlineStr">
        <is>
          <t>1996-04-29</t>
        </is>
      </c>
      <c r="W451" t="inlineStr">
        <is>
          <t>1991-06-24</t>
        </is>
      </c>
      <c r="X451" t="inlineStr">
        <is>
          <t>1991-06-24</t>
        </is>
      </c>
      <c r="Y451" t="n">
        <v>637</v>
      </c>
      <c r="Z451" t="n">
        <v>459</v>
      </c>
      <c r="AA451" t="n">
        <v>494</v>
      </c>
      <c r="AB451" t="n">
        <v>2</v>
      </c>
      <c r="AC451" t="n">
        <v>3</v>
      </c>
      <c r="AD451" t="n">
        <v>26</v>
      </c>
      <c r="AE451" t="n">
        <v>28</v>
      </c>
      <c r="AF451" t="n">
        <v>10</v>
      </c>
      <c r="AG451" t="n">
        <v>11</v>
      </c>
      <c r="AH451" t="n">
        <v>9</v>
      </c>
      <c r="AI451" t="n">
        <v>9</v>
      </c>
      <c r="AJ451" t="n">
        <v>14</v>
      </c>
      <c r="AK451" t="n">
        <v>14</v>
      </c>
      <c r="AL451" t="n">
        <v>1</v>
      </c>
      <c r="AM451" t="n">
        <v>2</v>
      </c>
      <c r="AN451" t="n">
        <v>2</v>
      </c>
      <c r="AO451" t="n">
        <v>2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HYPERLINK("http://catalog.hathitrust.org/Record/002205580","HathiTrust Record")</f>
        <v/>
      </c>
      <c r="AS451">
        <f>HYPERLINK("https://creighton-primo.hosted.exlibrisgroup.com/primo-explore/search?tab=default_tab&amp;search_scope=EVERYTHING&amp;vid=01CRU&amp;lang=en_US&amp;offset=0&amp;query=any,contains,991001662879702656","Catalog Record")</f>
        <v/>
      </c>
      <c r="AT451">
        <f>HYPERLINK("http://www.worldcat.org/oclc/21195646","WorldCat Record")</f>
        <v/>
      </c>
      <c r="AU451" t="inlineStr">
        <is>
          <t>22811553:eng</t>
        </is>
      </c>
      <c r="AV451" t="inlineStr">
        <is>
          <t>21195646</t>
        </is>
      </c>
      <c r="AW451" t="inlineStr">
        <is>
          <t>991001662879702656</t>
        </is>
      </c>
      <c r="AX451" t="inlineStr">
        <is>
          <t>991001662879702656</t>
        </is>
      </c>
      <c r="AY451" t="inlineStr">
        <is>
          <t>2270911230002656</t>
        </is>
      </c>
      <c r="AZ451" t="inlineStr">
        <is>
          <t>BOOK</t>
        </is>
      </c>
      <c r="BB451" t="inlineStr">
        <is>
          <t>9780803933842</t>
        </is>
      </c>
      <c r="BC451" t="inlineStr">
        <is>
          <t>32285000658673</t>
        </is>
      </c>
      <c r="BD451" t="inlineStr">
        <is>
          <t>893432998</t>
        </is>
      </c>
    </row>
    <row r="452">
      <c r="A452" t="inlineStr">
        <is>
          <t>No</t>
        </is>
      </c>
      <c r="B452" t="inlineStr">
        <is>
          <t>RJ507.F53 P45 1995</t>
        </is>
      </c>
      <c r="C452" t="inlineStr">
        <is>
          <t>0                      RJ 0507000F  53                 P  45          1995</t>
        </is>
      </c>
      <c r="D452" t="inlineStr">
        <is>
          <t>Groupwork with children of battered women : a practitioner's guide / Einat Peled, Diane Davis.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Peled, Einat.</t>
        </is>
      </c>
      <c r="L452" t="inlineStr">
        <is>
          <t>Thousand Oaks, Calif. : Sage Publications, c1995.</t>
        </is>
      </c>
      <c r="M452" t="inlineStr">
        <is>
          <t>1995</t>
        </is>
      </c>
      <c r="O452" t="inlineStr">
        <is>
          <t>eng</t>
        </is>
      </c>
      <c r="P452" t="inlineStr">
        <is>
          <t>cau</t>
        </is>
      </c>
      <c r="Q452" t="inlineStr">
        <is>
          <t>Interpersonal violence : the practice series ; v. 10</t>
        </is>
      </c>
      <c r="R452" t="inlineStr">
        <is>
          <t xml:space="preserve">RJ </t>
        </is>
      </c>
      <c r="S452" t="n">
        <v>2</v>
      </c>
      <c r="T452" t="n">
        <v>2</v>
      </c>
      <c r="U452" t="inlineStr">
        <is>
          <t>1995-08-27</t>
        </is>
      </c>
      <c r="V452" t="inlineStr">
        <is>
          <t>1995-08-27</t>
        </is>
      </c>
      <c r="W452" t="inlineStr">
        <is>
          <t>1995-04-05</t>
        </is>
      </c>
      <c r="X452" t="inlineStr">
        <is>
          <t>1995-04-05</t>
        </is>
      </c>
      <c r="Y452" t="n">
        <v>284</v>
      </c>
      <c r="Z452" t="n">
        <v>208</v>
      </c>
      <c r="AA452" t="n">
        <v>210</v>
      </c>
      <c r="AB452" t="n">
        <v>2</v>
      </c>
      <c r="AC452" t="n">
        <v>2</v>
      </c>
      <c r="AD452" t="n">
        <v>9</v>
      </c>
      <c r="AE452" t="n">
        <v>9</v>
      </c>
      <c r="AF452" t="n">
        <v>2</v>
      </c>
      <c r="AG452" t="n">
        <v>2</v>
      </c>
      <c r="AH452" t="n">
        <v>3</v>
      </c>
      <c r="AI452" t="n">
        <v>3</v>
      </c>
      <c r="AJ452" t="n">
        <v>6</v>
      </c>
      <c r="AK452" t="n">
        <v>6</v>
      </c>
      <c r="AL452" t="n">
        <v>1</v>
      </c>
      <c r="AM452" t="n">
        <v>1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HYPERLINK("http://catalog.hathitrust.org/Record/004062159","HathiTrust Record")</f>
        <v/>
      </c>
      <c r="AS452">
        <f>HYPERLINK("https://creighton-primo.hosted.exlibrisgroup.com/primo-explore/search?tab=default_tab&amp;search_scope=EVERYTHING&amp;vid=01CRU&amp;lang=en_US&amp;offset=0&amp;query=any,contains,991002395309702656","Catalog Record")</f>
        <v/>
      </c>
      <c r="AT452">
        <f>HYPERLINK("http://www.worldcat.org/oclc/31131069","WorldCat Record")</f>
        <v/>
      </c>
      <c r="AU452" t="inlineStr">
        <is>
          <t>836952828:eng</t>
        </is>
      </c>
      <c r="AV452" t="inlineStr">
        <is>
          <t>31131069</t>
        </is>
      </c>
      <c r="AW452" t="inlineStr">
        <is>
          <t>991002395309702656</t>
        </is>
      </c>
      <c r="AX452" t="inlineStr">
        <is>
          <t>991002395309702656</t>
        </is>
      </c>
      <c r="AY452" t="inlineStr">
        <is>
          <t>2269740840002656</t>
        </is>
      </c>
      <c r="AZ452" t="inlineStr">
        <is>
          <t>BOOK</t>
        </is>
      </c>
      <c r="BB452" t="inlineStr">
        <is>
          <t>9780803955141</t>
        </is>
      </c>
      <c r="BC452" t="inlineStr">
        <is>
          <t>32285002016466</t>
        </is>
      </c>
      <c r="BD452" t="inlineStr">
        <is>
          <t>893322881</t>
        </is>
      </c>
    </row>
    <row r="453">
      <c r="A453" t="inlineStr">
        <is>
          <t>No</t>
        </is>
      </c>
      <c r="B453" t="inlineStr">
        <is>
          <t>RJ507.M54 C36 1994</t>
        </is>
      </c>
      <c r="C453" t="inlineStr">
        <is>
          <t>0                      RJ 0507000M  54                 C  36          1994</t>
        </is>
      </c>
      <c r="D453" t="inlineStr">
        <is>
          <t>Culturally diverse children and adolescents : assessment, diagnosis, and treatment / Ian A. Canino, Jeanne Spurlock.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Yes</t>
        </is>
      </c>
      <c r="J453" t="inlineStr">
        <is>
          <t>0</t>
        </is>
      </c>
      <c r="K453" t="inlineStr">
        <is>
          <t>Canino, Ian A.</t>
        </is>
      </c>
      <c r="L453" t="inlineStr">
        <is>
          <t>New York : Guilford Press, c1994.</t>
        </is>
      </c>
      <c r="M453" t="inlineStr">
        <is>
          <t>1994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RJ </t>
        </is>
      </c>
      <c r="S453" t="n">
        <v>1</v>
      </c>
      <c r="T453" t="n">
        <v>1</v>
      </c>
      <c r="U453" t="inlineStr">
        <is>
          <t>1997-07-01</t>
        </is>
      </c>
      <c r="V453" t="inlineStr">
        <is>
          <t>1997-07-01</t>
        </is>
      </c>
      <c r="W453" t="inlineStr">
        <is>
          <t>1995-01-20</t>
        </is>
      </c>
      <c r="X453" t="inlineStr">
        <is>
          <t>1995-01-20</t>
        </is>
      </c>
      <c r="Y453" t="n">
        <v>485</v>
      </c>
      <c r="Z453" t="n">
        <v>430</v>
      </c>
      <c r="AA453" t="n">
        <v>703</v>
      </c>
      <c r="AB453" t="n">
        <v>3</v>
      </c>
      <c r="AC453" t="n">
        <v>4</v>
      </c>
      <c r="AD453" t="n">
        <v>21</v>
      </c>
      <c r="AE453" t="n">
        <v>29</v>
      </c>
      <c r="AF453" t="n">
        <v>7</v>
      </c>
      <c r="AG453" t="n">
        <v>12</v>
      </c>
      <c r="AH453" t="n">
        <v>3</v>
      </c>
      <c r="AI453" t="n">
        <v>4</v>
      </c>
      <c r="AJ453" t="n">
        <v>12</v>
      </c>
      <c r="AK453" t="n">
        <v>15</v>
      </c>
      <c r="AL453" t="n">
        <v>2</v>
      </c>
      <c r="AM453" t="n">
        <v>3</v>
      </c>
      <c r="AN453" t="n">
        <v>0</v>
      </c>
      <c r="AO453" t="n">
        <v>0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HYPERLINK("https://creighton-primo.hosted.exlibrisgroup.com/primo-explore/search?tab=default_tab&amp;search_scope=EVERYTHING&amp;vid=01CRU&amp;lang=en_US&amp;offset=0&amp;query=any,contains,991002288359702656","Catalog Record")</f>
        <v/>
      </c>
      <c r="AT453">
        <f>HYPERLINK("http://www.worldcat.org/oclc/29668487","WorldCat Record")</f>
        <v/>
      </c>
      <c r="AU453" t="inlineStr">
        <is>
          <t>836983144:eng</t>
        </is>
      </c>
      <c r="AV453" t="inlineStr">
        <is>
          <t>29668487</t>
        </is>
      </c>
      <c r="AW453" t="inlineStr">
        <is>
          <t>991002288359702656</t>
        </is>
      </c>
      <c r="AX453" t="inlineStr">
        <is>
          <t>991002288359702656</t>
        </is>
      </c>
      <c r="AY453" t="inlineStr">
        <is>
          <t>2271070620002656</t>
        </is>
      </c>
      <c r="AZ453" t="inlineStr">
        <is>
          <t>BOOK</t>
        </is>
      </c>
      <c r="BB453" t="inlineStr">
        <is>
          <t>9780898624090</t>
        </is>
      </c>
      <c r="BC453" t="inlineStr">
        <is>
          <t>32285001993921</t>
        </is>
      </c>
      <c r="BD453" t="inlineStr">
        <is>
          <t>893517114</t>
        </is>
      </c>
    </row>
    <row r="454">
      <c r="A454" t="inlineStr">
        <is>
          <t>No</t>
        </is>
      </c>
      <c r="B454" t="inlineStr">
        <is>
          <t>RJ507.M54 G53 1998</t>
        </is>
      </c>
      <c r="C454" t="inlineStr">
        <is>
          <t>0                      RJ 0507000M  54                 G  53          1998</t>
        </is>
      </c>
      <c r="D454" t="inlineStr">
        <is>
          <t>Children of color : psychological interventions with culturally diverse youth / Jewelle Taylor Gibbs, Larke Nahme Huang and Associates ; forewords by George Miller, Stanley Sue.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Gibbs, Jewelle Taylor.</t>
        </is>
      </c>
      <c r="L454" t="inlineStr">
        <is>
          <t>San Francisco : Jossey-Bass, c1998.</t>
        </is>
      </c>
      <c r="M454" t="inlineStr">
        <is>
          <t>1998</t>
        </is>
      </c>
      <c r="N454" t="inlineStr">
        <is>
          <t>Updated ed.</t>
        </is>
      </c>
      <c r="O454" t="inlineStr">
        <is>
          <t>eng</t>
        </is>
      </c>
      <c r="P454" t="inlineStr">
        <is>
          <t>cau</t>
        </is>
      </c>
      <c r="R454" t="inlineStr">
        <is>
          <t xml:space="preserve">RJ </t>
        </is>
      </c>
      <c r="S454" t="n">
        <v>3</v>
      </c>
      <c r="T454" t="n">
        <v>3</v>
      </c>
      <c r="U454" t="inlineStr">
        <is>
          <t>2007-04-09</t>
        </is>
      </c>
      <c r="V454" t="inlineStr">
        <is>
          <t>2007-04-09</t>
        </is>
      </c>
      <c r="W454" t="inlineStr">
        <is>
          <t>2002-09-13</t>
        </is>
      </c>
      <c r="X454" t="inlineStr">
        <is>
          <t>2002-09-13</t>
        </is>
      </c>
      <c r="Y454" t="n">
        <v>421</v>
      </c>
      <c r="Z454" t="n">
        <v>394</v>
      </c>
      <c r="AA454" t="n">
        <v>661</v>
      </c>
      <c r="AB454" t="n">
        <v>1</v>
      </c>
      <c r="AC454" t="n">
        <v>4</v>
      </c>
      <c r="AD454" t="n">
        <v>16</v>
      </c>
      <c r="AE454" t="n">
        <v>25</v>
      </c>
      <c r="AF454" t="n">
        <v>8</v>
      </c>
      <c r="AG454" t="n">
        <v>9</v>
      </c>
      <c r="AH454" t="n">
        <v>5</v>
      </c>
      <c r="AI454" t="n">
        <v>7</v>
      </c>
      <c r="AJ454" t="n">
        <v>9</v>
      </c>
      <c r="AK454" t="n">
        <v>12</v>
      </c>
      <c r="AL454" t="n">
        <v>0</v>
      </c>
      <c r="AM454" t="n">
        <v>3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HYPERLINK("http://catalog.hathitrust.org/Record/003258375","HathiTrust Record")</f>
        <v/>
      </c>
      <c r="AS454">
        <f>HYPERLINK("https://creighton-primo.hosted.exlibrisgroup.com/primo-explore/search?tab=default_tab&amp;search_scope=EVERYTHING&amp;vid=01CRU&amp;lang=en_US&amp;offset=0&amp;query=any,contains,991003888709702656","Catalog Record")</f>
        <v/>
      </c>
      <c r="AT454">
        <f>HYPERLINK("http://www.worldcat.org/oclc/36884014","WorldCat Record")</f>
        <v/>
      </c>
      <c r="AU454" t="inlineStr">
        <is>
          <t>3857778891:eng</t>
        </is>
      </c>
      <c r="AV454" t="inlineStr">
        <is>
          <t>36884014</t>
        </is>
      </c>
      <c r="AW454" t="inlineStr">
        <is>
          <t>991003888709702656</t>
        </is>
      </c>
      <c r="AX454" t="inlineStr">
        <is>
          <t>991003888709702656</t>
        </is>
      </c>
      <c r="AY454" t="inlineStr">
        <is>
          <t>2269024510002656</t>
        </is>
      </c>
      <c r="AZ454" t="inlineStr">
        <is>
          <t>BOOK</t>
        </is>
      </c>
      <c r="BB454" t="inlineStr">
        <is>
          <t>9780787908713</t>
        </is>
      </c>
      <c r="BC454" t="inlineStr">
        <is>
          <t>32285004649454</t>
        </is>
      </c>
      <c r="BD454" t="inlineStr">
        <is>
          <t>893518981</t>
        </is>
      </c>
    </row>
    <row r="455">
      <c r="A455" t="inlineStr">
        <is>
          <t>No</t>
        </is>
      </c>
      <c r="B455" t="inlineStr">
        <is>
          <t>RJ507.M54 H6 1992</t>
        </is>
      </c>
      <c r="C455" t="inlineStr">
        <is>
          <t>0                      RJ 0507000M  54                 H  6           1992</t>
        </is>
      </c>
      <c r="D455" t="inlineStr">
        <is>
          <t>Minority children and adolescents in therapy / Man Keung Ho.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Ho, Man Keung.</t>
        </is>
      </c>
      <c r="L455" t="inlineStr">
        <is>
          <t>Newbury Park [Calif.] : Sage Publications, c1992.</t>
        </is>
      </c>
      <c r="M455" t="inlineStr">
        <is>
          <t>1992</t>
        </is>
      </c>
      <c r="O455" t="inlineStr">
        <is>
          <t>eng</t>
        </is>
      </c>
      <c r="P455" t="inlineStr">
        <is>
          <t>cau</t>
        </is>
      </c>
      <c r="R455" t="inlineStr">
        <is>
          <t xml:space="preserve">RJ </t>
        </is>
      </c>
      <c r="S455" t="n">
        <v>3</v>
      </c>
      <c r="T455" t="n">
        <v>3</v>
      </c>
      <c r="U455" t="inlineStr">
        <is>
          <t>2000-01-26</t>
        </is>
      </c>
      <c r="V455" t="inlineStr">
        <is>
          <t>2000-01-26</t>
        </is>
      </c>
      <c r="W455" t="inlineStr">
        <is>
          <t>1995-11-14</t>
        </is>
      </c>
      <c r="X455" t="inlineStr">
        <is>
          <t>1995-11-14</t>
        </is>
      </c>
      <c r="Y455" t="n">
        <v>469</v>
      </c>
      <c r="Z455" t="n">
        <v>413</v>
      </c>
      <c r="AA455" t="n">
        <v>428</v>
      </c>
      <c r="AB455" t="n">
        <v>6</v>
      </c>
      <c r="AC455" t="n">
        <v>6</v>
      </c>
      <c r="AD455" t="n">
        <v>23</v>
      </c>
      <c r="AE455" t="n">
        <v>24</v>
      </c>
      <c r="AF455" t="n">
        <v>6</v>
      </c>
      <c r="AG455" t="n">
        <v>7</v>
      </c>
      <c r="AH455" t="n">
        <v>5</v>
      </c>
      <c r="AI455" t="n">
        <v>5</v>
      </c>
      <c r="AJ455" t="n">
        <v>13</v>
      </c>
      <c r="AK455" t="n">
        <v>13</v>
      </c>
      <c r="AL455" t="n">
        <v>5</v>
      </c>
      <c r="AM455" t="n">
        <v>5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HYPERLINK("http://catalog.hathitrust.org/Record/002611786","HathiTrust Record")</f>
        <v/>
      </c>
      <c r="AS455">
        <f>HYPERLINK("https://creighton-primo.hosted.exlibrisgroup.com/primo-explore/search?tab=default_tab&amp;search_scope=EVERYTHING&amp;vid=01CRU&amp;lang=en_US&amp;offset=0&amp;query=any,contains,991001957109702656","Catalog Record")</f>
        <v/>
      </c>
      <c r="AT455">
        <f>HYPERLINK("http://www.worldcat.org/oclc/24792831","WorldCat Record")</f>
        <v/>
      </c>
      <c r="AU455" t="inlineStr">
        <is>
          <t>28628172:eng</t>
        </is>
      </c>
      <c r="AV455" t="inlineStr">
        <is>
          <t>24792831</t>
        </is>
      </c>
      <c r="AW455" t="inlineStr">
        <is>
          <t>991001957109702656</t>
        </is>
      </c>
      <c r="AX455" t="inlineStr">
        <is>
          <t>991001957109702656</t>
        </is>
      </c>
      <c r="AY455" t="inlineStr">
        <is>
          <t>2261600820002656</t>
        </is>
      </c>
      <c r="AZ455" t="inlineStr">
        <is>
          <t>BOOK</t>
        </is>
      </c>
      <c r="BB455" t="inlineStr">
        <is>
          <t>9780803939127</t>
        </is>
      </c>
      <c r="BC455" t="inlineStr">
        <is>
          <t>32285002098266</t>
        </is>
      </c>
      <c r="BD455" t="inlineStr">
        <is>
          <t>893433299</t>
        </is>
      </c>
    </row>
    <row r="456">
      <c r="A456" t="inlineStr">
        <is>
          <t>No</t>
        </is>
      </c>
      <c r="B456" t="inlineStr">
        <is>
          <t>RJ507.M54 P79 1983</t>
        </is>
      </c>
      <c r="C456" t="inlineStr">
        <is>
          <t>0                      RJ 0507000M  54                 P  79          1983</t>
        </is>
      </c>
      <c r="D456" t="inlineStr">
        <is>
          <t>The Psychosocial development of minority group children / editor Gloria Johnson Powell ; associate editors, Joe Yamamoto, Annelisa Romero, and Armando Morales.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Larchmont, N.Y. : Brunner/Mazel, c1983.</t>
        </is>
      </c>
      <c r="M456" t="inlineStr">
        <is>
          <t>1983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RJ </t>
        </is>
      </c>
      <c r="S456" t="n">
        <v>4</v>
      </c>
      <c r="T456" t="n">
        <v>4</v>
      </c>
      <c r="U456" t="inlineStr">
        <is>
          <t>2007-04-09</t>
        </is>
      </c>
      <c r="V456" t="inlineStr">
        <is>
          <t>2007-04-09</t>
        </is>
      </c>
      <c r="W456" t="inlineStr">
        <is>
          <t>1993-03-04</t>
        </is>
      </c>
      <c r="X456" t="inlineStr">
        <is>
          <t>1993-03-04</t>
        </is>
      </c>
      <c r="Y456" t="n">
        <v>659</v>
      </c>
      <c r="Z456" t="n">
        <v>590</v>
      </c>
      <c r="AA456" t="n">
        <v>596</v>
      </c>
      <c r="AB456" t="n">
        <v>5</v>
      </c>
      <c r="AC456" t="n">
        <v>5</v>
      </c>
      <c r="AD456" t="n">
        <v>29</v>
      </c>
      <c r="AE456" t="n">
        <v>29</v>
      </c>
      <c r="AF456" t="n">
        <v>12</v>
      </c>
      <c r="AG456" t="n">
        <v>12</v>
      </c>
      <c r="AH456" t="n">
        <v>6</v>
      </c>
      <c r="AI456" t="n">
        <v>6</v>
      </c>
      <c r="AJ456" t="n">
        <v>14</v>
      </c>
      <c r="AK456" t="n">
        <v>14</v>
      </c>
      <c r="AL456" t="n">
        <v>4</v>
      </c>
      <c r="AM456" t="n">
        <v>4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HYPERLINK("https://creighton-primo.hosted.exlibrisgroup.com/primo-explore/search?tab=default_tab&amp;search_scope=EVERYTHING&amp;vid=01CRU&amp;lang=en_US&amp;offset=0&amp;query=any,contains,991000117559702656","Catalog Record")</f>
        <v/>
      </c>
      <c r="AT456">
        <f>HYPERLINK("http://www.worldcat.org/oclc/9043763","WorldCat Record")</f>
        <v/>
      </c>
      <c r="AU456" t="inlineStr">
        <is>
          <t>54537922:eng</t>
        </is>
      </c>
      <c r="AV456" t="inlineStr">
        <is>
          <t>9043763</t>
        </is>
      </c>
      <c r="AW456" t="inlineStr">
        <is>
          <t>991000117559702656</t>
        </is>
      </c>
      <c r="AX456" t="inlineStr">
        <is>
          <t>991000117559702656</t>
        </is>
      </c>
      <c r="AY456" t="inlineStr">
        <is>
          <t>2266494540002656</t>
        </is>
      </c>
      <c r="AZ456" t="inlineStr">
        <is>
          <t>BOOK</t>
        </is>
      </c>
      <c r="BB456" t="inlineStr">
        <is>
          <t>9780876302774</t>
        </is>
      </c>
      <c r="BC456" t="inlineStr">
        <is>
          <t>32285001529816</t>
        </is>
      </c>
      <c r="BD456" t="inlineStr">
        <is>
          <t>893314695</t>
        </is>
      </c>
    </row>
    <row r="457">
      <c r="A457" t="inlineStr">
        <is>
          <t>No</t>
        </is>
      </c>
      <c r="B457" t="inlineStr">
        <is>
          <t>RJ507.S49 B87 1995</t>
        </is>
      </c>
      <c r="C457" t="inlineStr">
        <is>
          <t>0                      RJ 0507000S  49                 B  87          1995</t>
        </is>
      </c>
      <c r="D457" t="inlineStr">
        <is>
          <t>Treatment and prevention of childhood sexual abuse : a child-generated model / Sandra A. Burkhardt, Anthony F. Rotatori.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Burkhardt, Sandra A.</t>
        </is>
      </c>
      <c r="L457" t="inlineStr">
        <is>
          <t>Washington, D.C. : Taylor &amp; Francis, c1995.</t>
        </is>
      </c>
      <c r="M457" t="inlineStr">
        <is>
          <t>1995</t>
        </is>
      </c>
      <c r="O457" t="inlineStr">
        <is>
          <t>eng</t>
        </is>
      </c>
      <c r="P457" t="inlineStr">
        <is>
          <t>dcu</t>
        </is>
      </c>
      <c r="R457" t="inlineStr">
        <is>
          <t xml:space="preserve">RJ </t>
        </is>
      </c>
      <c r="S457" t="n">
        <v>12</v>
      </c>
      <c r="T457" t="n">
        <v>12</v>
      </c>
      <c r="U457" t="inlineStr">
        <is>
          <t>1999-10-27</t>
        </is>
      </c>
      <c r="V457" t="inlineStr">
        <is>
          <t>1999-10-27</t>
        </is>
      </c>
      <c r="W457" t="inlineStr">
        <is>
          <t>1996-06-18</t>
        </is>
      </c>
      <c r="X457" t="inlineStr">
        <is>
          <t>1996-06-18</t>
        </is>
      </c>
      <c r="Y457" t="n">
        <v>225</v>
      </c>
      <c r="Z457" t="n">
        <v>186</v>
      </c>
      <c r="AA457" t="n">
        <v>216</v>
      </c>
      <c r="AB457" t="n">
        <v>2</v>
      </c>
      <c r="AC457" t="n">
        <v>2</v>
      </c>
      <c r="AD457" t="n">
        <v>11</v>
      </c>
      <c r="AE457" t="n">
        <v>11</v>
      </c>
      <c r="AF457" t="n">
        <v>4</v>
      </c>
      <c r="AG457" t="n">
        <v>4</v>
      </c>
      <c r="AH457" t="n">
        <v>1</v>
      </c>
      <c r="AI457" t="n">
        <v>1</v>
      </c>
      <c r="AJ457" t="n">
        <v>9</v>
      </c>
      <c r="AK457" t="n">
        <v>9</v>
      </c>
      <c r="AL457" t="n">
        <v>1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HYPERLINK("https://creighton-primo.hosted.exlibrisgroup.com/primo-explore/search?tab=default_tab&amp;search_scope=EVERYTHING&amp;vid=01CRU&amp;lang=en_US&amp;offset=0&amp;query=any,contains,991002465189702656","Catalog Record")</f>
        <v/>
      </c>
      <c r="AT457">
        <f>HYPERLINK("http://www.worldcat.org/oclc/32130880","WorldCat Record")</f>
        <v/>
      </c>
      <c r="AU457" t="inlineStr">
        <is>
          <t>3010323:eng</t>
        </is>
      </c>
      <c r="AV457" t="inlineStr">
        <is>
          <t>32130880</t>
        </is>
      </c>
      <c r="AW457" t="inlineStr">
        <is>
          <t>991002465189702656</t>
        </is>
      </c>
      <c r="AX457" t="inlineStr">
        <is>
          <t>991002465189702656</t>
        </is>
      </c>
      <c r="AY457" t="inlineStr">
        <is>
          <t>2263496590002656</t>
        </is>
      </c>
      <c r="AZ457" t="inlineStr">
        <is>
          <t>BOOK</t>
        </is>
      </c>
      <c r="BB457" t="inlineStr">
        <is>
          <t>9781560323204</t>
        </is>
      </c>
      <c r="BC457" t="inlineStr">
        <is>
          <t>32285002194321</t>
        </is>
      </c>
      <c r="BD457" t="inlineStr">
        <is>
          <t>893786185</t>
        </is>
      </c>
    </row>
    <row r="458">
      <c r="A458" t="inlineStr">
        <is>
          <t>No</t>
        </is>
      </c>
      <c r="B458" t="inlineStr">
        <is>
          <t>RJ507.S49 K45 1984</t>
        </is>
      </c>
      <c r="C458" t="inlineStr">
        <is>
          <t>0                      RJ 0507000S  49                 K  45          1984</t>
        </is>
      </c>
      <c r="D458" t="inlineStr">
        <is>
          <t>The common secret : sexual abuse of children and adolescents / Ruth S. and C. Henry Kempe.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Kempe, Ruth S.</t>
        </is>
      </c>
      <c r="L458" t="inlineStr">
        <is>
          <t>New York : W.H. Freeman, c1984.</t>
        </is>
      </c>
      <c r="M458" t="inlineStr">
        <is>
          <t>1984</t>
        </is>
      </c>
      <c r="O458" t="inlineStr">
        <is>
          <t>eng</t>
        </is>
      </c>
      <c r="P458" t="inlineStr">
        <is>
          <t>nyu</t>
        </is>
      </c>
      <c r="Q458" t="inlineStr">
        <is>
          <t>A Series of books in psychology</t>
        </is>
      </c>
      <c r="R458" t="inlineStr">
        <is>
          <t xml:space="preserve">RJ </t>
        </is>
      </c>
      <c r="S458" t="n">
        <v>13</v>
      </c>
      <c r="T458" t="n">
        <v>13</v>
      </c>
      <c r="U458" t="inlineStr">
        <is>
          <t>2006-09-25</t>
        </is>
      </c>
      <c r="V458" t="inlineStr">
        <is>
          <t>2006-09-25</t>
        </is>
      </c>
      <c r="W458" t="inlineStr">
        <is>
          <t>1990-07-11</t>
        </is>
      </c>
      <c r="X458" t="inlineStr">
        <is>
          <t>1990-07-11</t>
        </is>
      </c>
      <c r="Y458" t="n">
        <v>1281</v>
      </c>
      <c r="Z458" t="n">
        <v>1135</v>
      </c>
      <c r="AA458" t="n">
        <v>1135</v>
      </c>
      <c r="AB458" t="n">
        <v>11</v>
      </c>
      <c r="AC458" t="n">
        <v>11</v>
      </c>
      <c r="AD458" t="n">
        <v>36</v>
      </c>
      <c r="AE458" t="n">
        <v>36</v>
      </c>
      <c r="AF458" t="n">
        <v>12</v>
      </c>
      <c r="AG458" t="n">
        <v>12</v>
      </c>
      <c r="AH458" t="n">
        <v>9</v>
      </c>
      <c r="AI458" t="n">
        <v>9</v>
      </c>
      <c r="AJ458" t="n">
        <v>17</v>
      </c>
      <c r="AK458" t="n">
        <v>17</v>
      </c>
      <c r="AL458" t="n">
        <v>7</v>
      </c>
      <c r="AM458" t="n">
        <v>7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HYPERLINK("https://creighton-primo.hosted.exlibrisgroup.com/primo-explore/search?tab=default_tab&amp;search_scope=EVERYTHING&amp;vid=01CRU&amp;lang=en_US&amp;offset=0&amp;query=any,contains,991000382409702656","Catalog Record")</f>
        <v/>
      </c>
      <c r="AT458">
        <f>HYPERLINK("http://www.worldcat.org/oclc/10505618","WorldCat Record")</f>
        <v/>
      </c>
      <c r="AU458" t="inlineStr">
        <is>
          <t>890247133:eng</t>
        </is>
      </c>
      <c r="AV458" t="inlineStr">
        <is>
          <t>10505618</t>
        </is>
      </c>
      <c r="AW458" t="inlineStr">
        <is>
          <t>991000382409702656</t>
        </is>
      </c>
      <c r="AX458" t="inlineStr">
        <is>
          <t>991000382409702656</t>
        </is>
      </c>
      <c r="AY458" t="inlineStr">
        <is>
          <t>2254903130002656</t>
        </is>
      </c>
      <c r="AZ458" t="inlineStr">
        <is>
          <t>BOOK</t>
        </is>
      </c>
      <c r="BB458" t="inlineStr">
        <is>
          <t>9780716716259</t>
        </is>
      </c>
      <c r="BC458" t="inlineStr">
        <is>
          <t>32285000235670</t>
        </is>
      </c>
      <c r="BD458" t="inlineStr">
        <is>
          <t>893413301</t>
        </is>
      </c>
    </row>
    <row r="459">
      <c r="A459" t="inlineStr">
        <is>
          <t>No</t>
        </is>
      </c>
      <c r="B459" t="inlineStr">
        <is>
          <t>RJ507.S49 M33 1986</t>
        </is>
      </c>
      <c r="C459" t="inlineStr">
        <is>
          <t>0                      RJ 0507000S  49                 M  33          1986</t>
        </is>
      </c>
      <c r="D459" t="inlineStr">
        <is>
          <t>Sexual abuse of young children : evaluation and treatment / Kee MacFarlane and Jill Waterman ; with Shawn Conerly, Linda Damon, Michael Durfee, Suzanne Long ; foreword by Roland Summit.</t>
        </is>
      </c>
      <c r="F459" t="inlineStr">
        <is>
          <t>No</t>
        </is>
      </c>
      <c r="G459" t="inlineStr">
        <is>
          <t>1</t>
        </is>
      </c>
      <c r="H459" t="inlineStr">
        <is>
          <t>Yes</t>
        </is>
      </c>
      <c r="I459" t="inlineStr">
        <is>
          <t>No</t>
        </is>
      </c>
      <c r="J459" t="inlineStr">
        <is>
          <t>0</t>
        </is>
      </c>
      <c r="K459" t="inlineStr">
        <is>
          <t>MacFarlane, Kee.</t>
        </is>
      </c>
      <c r="L459" t="inlineStr">
        <is>
          <t>New York : Guilford Press, c1986.</t>
        </is>
      </c>
      <c r="M459" t="inlineStr">
        <is>
          <t>1986</t>
        </is>
      </c>
      <c r="O459" t="inlineStr">
        <is>
          <t>eng</t>
        </is>
      </c>
      <c r="P459" t="inlineStr">
        <is>
          <t>nyu</t>
        </is>
      </c>
      <c r="R459" t="inlineStr">
        <is>
          <t xml:space="preserve">RJ </t>
        </is>
      </c>
      <c r="S459" t="n">
        <v>15</v>
      </c>
      <c r="T459" t="n">
        <v>15</v>
      </c>
      <c r="U459" t="inlineStr">
        <is>
          <t>1998-06-20</t>
        </is>
      </c>
      <c r="V459" t="inlineStr">
        <is>
          <t>1998-06-20</t>
        </is>
      </c>
      <c r="W459" t="inlineStr">
        <is>
          <t>1990-03-20</t>
        </is>
      </c>
      <c r="X459" t="inlineStr">
        <is>
          <t>1990-03-20</t>
        </is>
      </c>
      <c r="Y459" t="n">
        <v>990</v>
      </c>
      <c r="Z459" t="n">
        <v>862</v>
      </c>
      <c r="AA459" t="n">
        <v>867</v>
      </c>
      <c r="AB459" t="n">
        <v>7</v>
      </c>
      <c r="AC459" t="n">
        <v>7</v>
      </c>
      <c r="AD459" t="n">
        <v>31</v>
      </c>
      <c r="AE459" t="n">
        <v>31</v>
      </c>
      <c r="AF459" t="n">
        <v>13</v>
      </c>
      <c r="AG459" t="n">
        <v>13</v>
      </c>
      <c r="AH459" t="n">
        <v>5</v>
      </c>
      <c r="AI459" t="n">
        <v>5</v>
      </c>
      <c r="AJ459" t="n">
        <v>17</v>
      </c>
      <c r="AK459" t="n">
        <v>17</v>
      </c>
      <c r="AL459" t="n">
        <v>4</v>
      </c>
      <c r="AM459" t="n">
        <v>4</v>
      </c>
      <c r="AN459" t="n">
        <v>2</v>
      </c>
      <c r="AO459" t="n">
        <v>2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HYPERLINK("https://creighton-primo.hosted.exlibrisgroup.com/primo-explore/search?tab=default_tab&amp;search_scope=EVERYTHING&amp;vid=01CRU&amp;lang=en_US&amp;offset=0&amp;query=any,contains,991000760489702656","Catalog Record")</f>
        <v/>
      </c>
      <c r="AT459">
        <f>HYPERLINK("http://www.worldcat.org/oclc/12972899","WorldCat Record")</f>
        <v/>
      </c>
      <c r="AU459" t="inlineStr">
        <is>
          <t>5608350:eng</t>
        </is>
      </c>
      <c r="AV459" t="inlineStr">
        <is>
          <t>12972899</t>
        </is>
      </c>
      <c r="AW459" t="inlineStr">
        <is>
          <t>991000760489702656</t>
        </is>
      </c>
      <c r="AX459" t="inlineStr">
        <is>
          <t>991000760489702656</t>
        </is>
      </c>
      <c r="AY459" t="inlineStr">
        <is>
          <t>2263631600002656</t>
        </is>
      </c>
      <c r="AZ459" t="inlineStr">
        <is>
          <t>BOOK</t>
        </is>
      </c>
      <c r="BB459" t="inlineStr">
        <is>
          <t>9780898626759</t>
        </is>
      </c>
      <c r="BC459" t="inlineStr">
        <is>
          <t>32285000088632</t>
        </is>
      </c>
      <c r="BD459" t="inlineStr">
        <is>
          <t>893345954</t>
        </is>
      </c>
    </row>
    <row r="460">
      <c r="A460" t="inlineStr">
        <is>
          <t>No</t>
        </is>
      </c>
      <c r="B460" t="inlineStr">
        <is>
          <t>RJ507.S49 S49 1990</t>
        </is>
      </c>
      <c r="C460" t="inlineStr">
        <is>
          <t>0                      RJ 0507000S  49                 S  49          1990</t>
        </is>
      </c>
      <c r="D460" t="inlineStr">
        <is>
          <t>The Sexually abused male / edited by Mic Hunter.</t>
        </is>
      </c>
      <c r="E460" t="inlineStr">
        <is>
          <t>V.2</t>
        </is>
      </c>
      <c r="F460" t="inlineStr">
        <is>
          <t>Yes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Lexington, Mass. : Lexington Books, c1990.</t>
        </is>
      </c>
      <c r="M460" t="inlineStr">
        <is>
          <t>1990</t>
        </is>
      </c>
      <c r="O460" t="inlineStr">
        <is>
          <t>eng</t>
        </is>
      </c>
      <c r="P460" t="inlineStr">
        <is>
          <t>mau</t>
        </is>
      </c>
      <c r="R460" t="inlineStr">
        <is>
          <t xml:space="preserve">RJ </t>
        </is>
      </c>
      <c r="S460" t="n">
        <v>10</v>
      </c>
      <c r="T460" t="n">
        <v>24</v>
      </c>
      <c r="U460" t="inlineStr">
        <is>
          <t>2007-11-06</t>
        </is>
      </c>
      <c r="V460" t="inlineStr">
        <is>
          <t>2007-11-06</t>
        </is>
      </c>
      <c r="W460" t="inlineStr">
        <is>
          <t>1992-05-22</t>
        </is>
      </c>
      <c r="X460" t="inlineStr">
        <is>
          <t>1992-06-25</t>
        </is>
      </c>
      <c r="Y460" t="n">
        <v>461</v>
      </c>
      <c r="Z460" t="n">
        <v>400</v>
      </c>
      <c r="AA460" t="n">
        <v>407</v>
      </c>
      <c r="AB460" t="n">
        <v>2</v>
      </c>
      <c r="AC460" t="n">
        <v>2</v>
      </c>
      <c r="AD460" t="n">
        <v>20</v>
      </c>
      <c r="AE460" t="n">
        <v>20</v>
      </c>
      <c r="AF460" t="n">
        <v>7</v>
      </c>
      <c r="AG460" t="n">
        <v>7</v>
      </c>
      <c r="AH460" t="n">
        <v>7</v>
      </c>
      <c r="AI460" t="n">
        <v>7</v>
      </c>
      <c r="AJ460" t="n">
        <v>12</v>
      </c>
      <c r="AK460" t="n">
        <v>12</v>
      </c>
      <c r="AL460" t="n">
        <v>1</v>
      </c>
      <c r="AM460" t="n">
        <v>1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HYPERLINK("http://catalog.hathitrust.org/Record/002371005","HathiTrust Record")</f>
        <v/>
      </c>
      <c r="AS460">
        <f>HYPERLINK("https://creighton-primo.hosted.exlibrisgroup.com/primo-explore/search?tab=default_tab&amp;search_scope=EVERYTHING&amp;vid=01CRU&amp;lang=en_US&amp;offset=0&amp;query=any,contains,991001718509702656","Catalog Record")</f>
        <v/>
      </c>
      <c r="AT460">
        <f>HYPERLINK("http://www.worldcat.org/oclc/21759202","WorldCat Record")</f>
        <v/>
      </c>
      <c r="AU460" t="inlineStr">
        <is>
          <t>22982486:eng</t>
        </is>
      </c>
      <c r="AV460" t="inlineStr">
        <is>
          <t>21759202</t>
        </is>
      </c>
      <c r="AW460" t="inlineStr">
        <is>
          <t>991001718509702656</t>
        </is>
      </c>
      <c r="AX460" t="inlineStr">
        <is>
          <t>991001718509702656</t>
        </is>
      </c>
      <c r="AY460" t="inlineStr">
        <is>
          <t>2264779000002656</t>
        </is>
      </c>
      <c r="AZ460" t="inlineStr">
        <is>
          <t>BOOK</t>
        </is>
      </c>
      <c r="BB460" t="inlineStr">
        <is>
          <t>9780669250053</t>
        </is>
      </c>
      <c r="BC460" t="inlineStr">
        <is>
          <t>32285001118016</t>
        </is>
      </c>
      <c r="BD460" t="inlineStr">
        <is>
          <t>893803825</t>
        </is>
      </c>
    </row>
    <row r="461">
      <c r="A461" t="inlineStr">
        <is>
          <t>No</t>
        </is>
      </c>
      <c r="B461" t="inlineStr">
        <is>
          <t>RJ507.S49 S49 1990</t>
        </is>
      </c>
      <c r="C461" t="inlineStr">
        <is>
          <t>0                      RJ 0507000S  49                 S  49          1990</t>
        </is>
      </c>
      <c r="D461" t="inlineStr">
        <is>
          <t>The Sexually abused male / edited by Mic Hunter.</t>
        </is>
      </c>
      <c r="E461" t="inlineStr">
        <is>
          <t>V.1</t>
        </is>
      </c>
      <c r="F461" t="inlineStr">
        <is>
          <t>Yes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Lexington, Mass. : Lexington Books, c1990.</t>
        </is>
      </c>
      <c r="M461" t="inlineStr">
        <is>
          <t>1990</t>
        </is>
      </c>
      <c r="O461" t="inlineStr">
        <is>
          <t>eng</t>
        </is>
      </c>
      <c r="P461" t="inlineStr">
        <is>
          <t>mau</t>
        </is>
      </c>
      <c r="R461" t="inlineStr">
        <is>
          <t xml:space="preserve">RJ </t>
        </is>
      </c>
      <c r="S461" t="n">
        <v>14</v>
      </c>
      <c r="T461" t="n">
        <v>24</v>
      </c>
      <c r="U461" t="inlineStr">
        <is>
          <t>2003-11-13</t>
        </is>
      </c>
      <c r="V461" t="inlineStr">
        <is>
          <t>2007-11-06</t>
        </is>
      </c>
      <c r="W461" t="inlineStr">
        <is>
          <t>1992-06-25</t>
        </is>
      </c>
      <c r="X461" t="inlineStr">
        <is>
          <t>1992-06-25</t>
        </is>
      </c>
      <c r="Y461" t="n">
        <v>461</v>
      </c>
      <c r="Z461" t="n">
        <v>400</v>
      </c>
      <c r="AA461" t="n">
        <v>407</v>
      </c>
      <c r="AB461" t="n">
        <v>2</v>
      </c>
      <c r="AC461" t="n">
        <v>2</v>
      </c>
      <c r="AD461" t="n">
        <v>20</v>
      </c>
      <c r="AE461" t="n">
        <v>20</v>
      </c>
      <c r="AF461" t="n">
        <v>7</v>
      </c>
      <c r="AG461" t="n">
        <v>7</v>
      </c>
      <c r="AH461" t="n">
        <v>7</v>
      </c>
      <c r="AI461" t="n">
        <v>7</v>
      </c>
      <c r="AJ461" t="n">
        <v>12</v>
      </c>
      <c r="AK461" t="n">
        <v>12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HYPERLINK("http://catalog.hathitrust.org/Record/002371005","HathiTrust Record")</f>
        <v/>
      </c>
      <c r="AS461">
        <f>HYPERLINK("https://creighton-primo.hosted.exlibrisgroup.com/primo-explore/search?tab=default_tab&amp;search_scope=EVERYTHING&amp;vid=01CRU&amp;lang=en_US&amp;offset=0&amp;query=any,contains,991001718509702656","Catalog Record")</f>
        <v/>
      </c>
      <c r="AT461">
        <f>HYPERLINK("http://www.worldcat.org/oclc/21759202","WorldCat Record")</f>
        <v/>
      </c>
      <c r="AU461" t="inlineStr">
        <is>
          <t>22982486:eng</t>
        </is>
      </c>
      <c r="AV461" t="inlineStr">
        <is>
          <t>21759202</t>
        </is>
      </c>
      <c r="AW461" t="inlineStr">
        <is>
          <t>991001718509702656</t>
        </is>
      </c>
      <c r="AX461" t="inlineStr">
        <is>
          <t>991001718509702656</t>
        </is>
      </c>
      <c r="AY461" t="inlineStr">
        <is>
          <t>2264779000002656</t>
        </is>
      </c>
      <c r="AZ461" t="inlineStr">
        <is>
          <t>BOOK</t>
        </is>
      </c>
      <c r="BB461" t="inlineStr">
        <is>
          <t>9780669250053</t>
        </is>
      </c>
      <c r="BC461" t="inlineStr">
        <is>
          <t>32285001157204</t>
        </is>
      </c>
      <c r="BD461" t="inlineStr">
        <is>
          <t>893785337</t>
        </is>
      </c>
    </row>
    <row r="462">
      <c r="A462" t="inlineStr">
        <is>
          <t>No</t>
        </is>
      </c>
      <c r="B462" t="inlineStr">
        <is>
          <t>RJ507.S53 C34 1998</t>
        </is>
      </c>
      <c r="C462" t="inlineStr">
        <is>
          <t>0                      RJ 0507000S  53                 C  34          1998</t>
        </is>
      </c>
      <c r="D462" t="inlineStr">
        <is>
          <t>Sibling abuse trauma : assessment and intervention strategies for children, families, and adults / John V. Caffaro, Allison Conn-Caffaro.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Caffaro, John V.</t>
        </is>
      </c>
      <c r="L462" t="inlineStr">
        <is>
          <t>New York : Haworth Maltreatment and Trauma Press, c1998.</t>
        </is>
      </c>
      <c r="M462" t="inlineStr">
        <is>
          <t>1998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RJ </t>
        </is>
      </c>
      <c r="S462" t="n">
        <v>5</v>
      </c>
      <c r="T462" t="n">
        <v>5</v>
      </c>
      <c r="U462" t="inlineStr">
        <is>
          <t>2004-03-02</t>
        </is>
      </c>
      <c r="V462" t="inlineStr">
        <is>
          <t>2004-03-02</t>
        </is>
      </c>
      <c r="W462" t="inlineStr">
        <is>
          <t>1999-10-07</t>
        </is>
      </c>
      <c r="X462" t="inlineStr">
        <is>
          <t>1999-10-07</t>
        </is>
      </c>
      <c r="Y462" t="n">
        <v>452</v>
      </c>
      <c r="Z462" t="n">
        <v>389</v>
      </c>
      <c r="AA462" t="n">
        <v>458</v>
      </c>
      <c r="AB462" t="n">
        <v>2</v>
      </c>
      <c r="AC462" t="n">
        <v>2</v>
      </c>
      <c r="AD462" t="n">
        <v>17</v>
      </c>
      <c r="AE462" t="n">
        <v>18</v>
      </c>
      <c r="AF462" t="n">
        <v>6</v>
      </c>
      <c r="AG462" t="n">
        <v>7</v>
      </c>
      <c r="AH462" t="n">
        <v>3</v>
      </c>
      <c r="AI462" t="n">
        <v>3</v>
      </c>
      <c r="AJ462" t="n">
        <v>8</v>
      </c>
      <c r="AK462" t="n">
        <v>8</v>
      </c>
      <c r="AL462" t="n">
        <v>1</v>
      </c>
      <c r="AM462" t="n">
        <v>1</v>
      </c>
      <c r="AN462" t="n">
        <v>2</v>
      </c>
      <c r="AO462" t="n">
        <v>2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HYPERLINK("http://catalog.hathitrust.org/Record/004027240","HathiTrust Record")</f>
        <v/>
      </c>
      <c r="AS462">
        <f>HYPERLINK("https://creighton-primo.hosted.exlibrisgroup.com/primo-explore/search?tab=default_tab&amp;search_scope=EVERYTHING&amp;vid=01CRU&amp;lang=en_US&amp;offset=0&amp;query=any,contains,991002943289702656","Catalog Record")</f>
        <v/>
      </c>
      <c r="AT462">
        <f>HYPERLINK("http://www.worldcat.org/oclc/39189782","WorldCat Record")</f>
        <v/>
      </c>
      <c r="AU462" t="inlineStr">
        <is>
          <t>340767175:eng</t>
        </is>
      </c>
      <c r="AV462" t="inlineStr">
        <is>
          <t>39189782</t>
        </is>
      </c>
      <c r="AW462" t="inlineStr">
        <is>
          <t>991002943289702656</t>
        </is>
      </c>
      <c r="AX462" t="inlineStr">
        <is>
          <t>991002943289702656</t>
        </is>
      </c>
      <c r="AY462" t="inlineStr">
        <is>
          <t>2257821930002656</t>
        </is>
      </c>
      <c r="AZ462" t="inlineStr">
        <is>
          <t>BOOK</t>
        </is>
      </c>
      <c r="BB462" t="inlineStr">
        <is>
          <t>9780789004918</t>
        </is>
      </c>
      <c r="BC462" t="inlineStr">
        <is>
          <t>32285003593208</t>
        </is>
      </c>
      <c r="BD462" t="inlineStr">
        <is>
          <t>893517962</t>
        </is>
      </c>
    </row>
    <row r="463">
      <c r="A463" t="inlineStr">
        <is>
          <t>No</t>
        </is>
      </c>
      <c r="B463" t="inlineStr">
        <is>
          <t>RJ507.S77 H36 1997</t>
        </is>
      </c>
      <c r="C463" t="inlineStr">
        <is>
          <t>0                      RJ 0507000S  77                 H  36          1997</t>
        </is>
      </c>
      <c r="D463" t="inlineStr">
        <is>
          <t>Handbook of children's coping : linking theory and intervention / edited by Sharlene A. Wolchik and Irwin N. Sandler.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L463" t="inlineStr">
        <is>
          <t>New York : Plenum Press, c1997.</t>
        </is>
      </c>
      <c r="M463" t="inlineStr">
        <is>
          <t>1997</t>
        </is>
      </c>
      <c r="O463" t="inlineStr">
        <is>
          <t>eng</t>
        </is>
      </c>
      <c r="P463" t="inlineStr">
        <is>
          <t>nyu</t>
        </is>
      </c>
      <c r="Q463" t="inlineStr">
        <is>
          <t>Issues in clinical child psychology</t>
        </is>
      </c>
      <c r="R463" t="inlineStr">
        <is>
          <t xml:space="preserve">RJ </t>
        </is>
      </c>
      <c r="S463" t="n">
        <v>13</v>
      </c>
      <c r="T463" t="n">
        <v>13</v>
      </c>
      <c r="U463" t="inlineStr">
        <is>
          <t>2006-10-27</t>
        </is>
      </c>
      <c r="V463" t="inlineStr">
        <is>
          <t>2006-10-27</t>
        </is>
      </c>
      <c r="W463" t="inlineStr">
        <is>
          <t>1998-08-31</t>
        </is>
      </c>
      <c r="X463" t="inlineStr">
        <is>
          <t>1998-08-31</t>
        </is>
      </c>
      <c r="Y463" t="n">
        <v>466</v>
      </c>
      <c r="Z463" t="n">
        <v>377</v>
      </c>
      <c r="AA463" t="n">
        <v>402</v>
      </c>
      <c r="AB463" t="n">
        <v>3</v>
      </c>
      <c r="AC463" t="n">
        <v>3</v>
      </c>
      <c r="AD463" t="n">
        <v>18</v>
      </c>
      <c r="AE463" t="n">
        <v>19</v>
      </c>
      <c r="AF463" t="n">
        <v>9</v>
      </c>
      <c r="AG463" t="n">
        <v>10</v>
      </c>
      <c r="AH463" t="n">
        <v>3</v>
      </c>
      <c r="AI463" t="n">
        <v>3</v>
      </c>
      <c r="AJ463" t="n">
        <v>11</v>
      </c>
      <c r="AK463" t="n">
        <v>12</v>
      </c>
      <c r="AL463" t="n">
        <v>2</v>
      </c>
      <c r="AM463" t="n">
        <v>2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HYPERLINK("http://catalog.hathitrust.org/Record/003180743","HathiTrust Record")</f>
        <v/>
      </c>
      <c r="AS463">
        <f>HYPERLINK("https://creighton-primo.hosted.exlibrisgroup.com/primo-explore/search?tab=default_tab&amp;search_scope=EVERYTHING&amp;vid=01CRU&amp;lang=en_US&amp;offset=0&amp;query=any,contains,991002805499702656","Catalog Record")</f>
        <v/>
      </c>
      <c r="AT463">
        <f>HYPERLINK("http://www.worldcat.org/oclc/36848131","WorldCat Record")</f>
        <v/>
      </c>
      <c r="AU463" t="inlineStr">
        <is>
          <t>815108522:eng</t>
        </is>
      </c>
      <c r="AV463" t="inlineStr">
        <is>
          <t>36848131</t>
        </is>
      </c>
      <c r="AW463" t="inlineStr">
        <is>
          <t>991002805499702656</t>
        </is>
      </c>
      <c r="AX463" t="inlineStr">
        <is>
          <t>991002805499702656</t>
        </is>
      </c>
      <c r="AY463" t="inlineStr">
        <is>
          <t>2259182120002656</t>
        </is>
      </c>
      <c r="AZ463" t="inlineStr">
        <is>
          <t>BOOK</t>
        </is>
      </c>
      <c r="BB463" t="inlineStr">
        <is>
          <t>9780306455360</t>
        </is>
      </c>
      <c r="BC463" t="inlineStr">
        <is>
          <t>32285003463816</t>
        </is>
      </c>
      <c r="BD463" t="inlineStr">
        <is>
          <t>893341874</t>
        </is>
      </c>
    </row>
    <row r="464">
      <c r="A464" t="inlineStr">
        <is>
          <t>No</t>
        </is>
      </c>
      <c r="B464" t="inlineStr">
        <is>
          <t>RJ507.S77 S87 1992</t>
        </is>
      </c>
      <c r="C464" t="inlineStr">
        <is>
          <t>0                      RJ 0507000S  77                 S  87          1992</t>
        </is>
      </c>
      <c r="D464" t="inlineStr">
        <is>
          <t>Stress and coping in infancy and childhood / edited by Tiffany M. Field, Philip M. McCabe, Neil Schneiderman.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Hillsdale, N.J. : L. Erlbaum Associates, 1992.</t>
        </is>
      </c>
      <c r="M464" t="inlineStr">
        <is>
          <t>1992</t>
        </is>
      </c>
      <c r="O464" t="inlineStr">
        <is>
          <t>eng</t>
        </is>
      </c>
      <c r="P464" t="inlineStr">
        <is>
          <t>nju</t>
        </is>
      </c>
      <c r="R464" t="inlineStr">
        <is>
          <t xml:space="preserve">RJ </t>
        </is>
      </c>
      <c r="S464" t="n">
        <v>7</v>
      </c>
      <c r="T464" t="n">
        <v>7</v>
      </c>
      <c r="U464" t="inlineStr">
        <is>
          <t>1998-09-21</t>
        </is>
      </c>
      <c r="V464" t="inlineStr">
        <is>
          <t>1998-09-21</t>
        </is>
      </c>
      <c r="W464" t="inlineStr">
        <is>
          <t>1994-10-05</t>
        </is>
      </c>
      <c r="X464" t="inlineStr">
        <is>
          <t>1994-10-05</t>
        </is>
      </c>
      <c r="Y464" t="n">
        <v>215</v>
      </c>
      <c r="Z464" t="n">
        <v>175</v>
      </c>
      <c r="AA464" t="n">
        <v>214</v>
      </c>
      <c r="AB464" t="n">
        <v>3</v>
      </c>
      <c r="AC464" t="n">
        <v>3</v>
      </c>
      <c r="AD464" t="n">
        <v>9</v>
      </c>
      <c r="AE464" t="n">
        <v>9</v>
      </c>
      <c r="AF464" t="n">
        <v>3</v>
      </c>
      <c r="AG464" t="n">
        <v>3</v>
      </c>
      <c r="AH464" t="n">
        <v>2</v>
      </c>
      <c r="AI464" t="n">
        <v>2</v>
      </c>
      <c r="AJ464" t="n">
        <v>4</v>
      </c>
      <c r="AK464" t="n">
        <v>4</v>
      </c>
      <c r="AL464" t="n">
        <v>2</v>
      </c>
      <c r="AM464" t="n">
        <v>2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HYPERLINK("https://creighton-primo.hosted.exlibrisgroup.com/primo-explore/search?tab=default_tab&amp;search_scope=EVERYTHING&amp;vid=01CRU&amp;lang=en_US&amp;offset=0&amp;query=any,contains,991001910419702656","Catalog Record")</f>
        <v/>
      </c>
      <c r="AT464">
        <f>HYPERLINK("http://www.worldcat.org/oclc/24141691","WorldCat Record")</f>
        <v/>
      </c>
      <c r="AU464" t="inlineStr">
        <is>
          <t>3144924775:eng</t>
        </is>
      </c>
      <c r="AV464" t="inlineStr">
        <is>
          <t>24141691</t>
        </is>
      </c>
      <c r="AW464" t="inlineStr">
        <is>
          <t>991001910419702656</t>
        </is>
      </c>
      <c r="AX464" t="inlineStr">
        <is>
          <t>991001910419702656</t>
        </is>
      </c>
      <c r="AY464" t="inlineStr">
        <is>
          <t>2262873100002656</t>
        </is>
      </c>
      <c r="AZ464" t="inlineStr">
        <is>
          <t>BOOK</t>
        </is>
      </c>
      <c r="BB464" t="inlineStr">
        <is>
          <t>9780805809442</t>
        </is>
      </c>
      <c r="BC464" t="inlineStr">
        <is>
          <t>32285001948909</t>
        </is>
      </c>
      <c r="BD464" t="inlineStr">
        <is>
          <t>893238434</t>
        </is>
      </c>
    </row>
    <row r="465">
      <c r="A465" t="inlineStr">
        <is>
          <t>No</t>
        </is>
      </c>
      <c r="B465" t="inlineStr">
        <is>
          <t>RJ550 .C67 1992</t>
        </is>
      </c>
      <c r="C465" t="inlineStr">
        <is>
          <t>0                      RJ 0550000C  67          1992</t>
        </is>
      </c>
      <c r="D465" t="inlineStr">
        <is>
          <t>Comprehensive adolescent health care / edited by Stanford B. Friedman, Martin Fisher, S. Kenneth Schonberg.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Yes</t>
        </is>
      </c>
      <c r="J465" t="inlineStr">
        <is>
          <t>0</t>
        </is>
      </c>
      <c r="L465" t="inlineStr">
        <is>
          <t>St. Louis, Mo. : Quality Medical Pub., 1992.</t>
        </is>
      </c>
      <c r="M465" t="inlineStr">
        <is>
          <t>1992</t>
        </is>
      </c>
      <c r="O465" t="inlineStr">
        <is>
          <t>eng</t>
        </is>
      </c>
      <c r="P465" t="inlineStr">
        <is>
          <t>mou</t>
        </is>
      </c>
      <c r="R465" t="inlineStr">
        <is>
          <t xml:space="preserve">RJ </t>
        </is>
      </c>
      <c r="S465" t="n">
        <v>7</v>
      </c>
      <c r="T465" t="n">
        <v>7</v>
      </c>
      <c r="U465" t="inlineStr">
        <is>
          <t>1997-12-09</t>
        </is>
      </c>
      <c r="V465" t="inlineStr">
        <is>
          <t>1997-12-09</t>
        </is>
      </c>
      <c r="W465" t="inlineStr">
        <is>
          <t>1995-04-24</t>
        </is>
      </c>
      <c r="X465" t="inlineStr">
        <is>
          <t>1995-04-24</t>
        </is>
      </c>
      <c r="Y465" t="n">
        <v>129</v>
      </c>
      <c r="Z465" t="n">
        <v>101</v>
      </c>
      <c r="AA465" t="n">
        <v>204</v>
      </c>
      <c r="AB465" t="n">
        <v>1</v>
      </c>
      <c r="AC465" t="n">
        <v>2</v>
      </c>
      <c r="AD465" t="n">
        <v>2</v>
      </c>
      <c r="AE465" t="n">
        <v>5</v>
      </c>
      <c r="AF465" t="n">
        <v>0</v>
      </c>
      <c r="AG465" t="n">
        <v>1</v>
      </c>
      <c r="AH465" t="n">
        <v>0</v>
      </c>
      <c r="AI465" t="n">
        <v>1</v>
      </c>
      <c r="AJ465" t="n">
        <v>2</v>
      </c>
      <c r="AK465" t="n">
        <v>3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HYPERLINK("https://creighton-primo.hosted.exlibrisgroup.com/primo-explore/search?tab=default_tab&amp;search_scope=EVERYTHING&amp;vid=01CRU&amp;lang=en_US&amp;offset=0&amp;query=any,contains,991001993449702656","Catalog Record")</f>
        <v/>
      </c>
      <c r="AT465">
        <f>HYPERLINK("http://www.worldcat.org/oclc/25317080","WorldCat Record")</f>
        <v/>
      </c>
      <c r="AU465" t="inlineStr">
        <is>
          <t>355919095:eng</t>
        </is>
      </c>
      <c r="AV465" t="inlineStr">
        <is>
          <t>25317080</t>
        </is>
      </c>
      <c r="AW465" t="inlineStr">
        <is>
          <t>991001993449702656</t>
        </is>
      </c>
      <c r="AX465" t="inlineStr">
        <is>
          <t>991001993449702656</t>
        </is>
      </c>
      <c r="AY465" t="inlineStr">
        <is>
          <t>2267716900002656</t>
        </is>
      </c>
      <c r="AZ465" t="inlineStr">
        <is>
          <t>BOOK</t>
        </is>
      </c>
      <c r="BB465" t="inlineStr">
        <is>
          <t>9780942219142</t>
        </is>
      </c>
      <c r="BC465" t="inlineStr">
        <is>
          <t>32285002035482</t>
        </is>
      </c>
      <c r="BD465" t="inlineStr">
        <is>
          <t>893510160</t>
        </is>
      </c>
    </row>
    <row r="466">
      <c r="A466" t="inlineStr">
        <is>
          <t>No</t>
        </is>
      </c>
      <c r="B466" t="inlineStr">
        <is>
          <t>RJ550 .P76 1982</t>
        </is>
      </c>
      <c r="C466" t="inlineStr">
        <is>
          <t>0                      RJ 0550000P  76          1982</t>
        </is>
      </c>
      <c r="D466" t="inlineStr">
        <is>
          <t>Promoting adolescent health : a dialog on research and practice / edited by Thomas J. Coates, Anne C. Petersen, Cheryl Perry.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New York : Academic Press, 1982.</t>
        </is>
      </c>
      <c r="M466" t="inlineStr">
        <is>
          <t>1982</t>
        </is>
      </c>
      <c r="O466" t="inlineStr">
        <is>
          <t>eng</t>
        </is>
      </c>
      <c r="P466" t="inlineStr">
        <is>
          <t>nyu</t>
        </is>
      </c>
      <c r="R466" t="inlineStr">
        <is>
          <t xml:space="preserve">RJ </t>
        </is>
      </c>
      <c r="S466" t="n">
        <v>3</v>
      </c>
      <c r="T466" t="n">
        <v>3</v>
      </c>
      <c r="U466" t="inlineStr">
        <is>
          <t>1994-03-31</t>
        </is>
      </c>
      <c r="V466" t="inlineStr">
        <is>
          <t>1994-03-31</t>
        </is>
      </c>
      <c r="W466" t="inlineStr">
        <is>
          <t>1993-03-04</t>
        </is>
      </c>
      <c r="X466" t="inlineStr">
        <is>
          <t>1993-03-04</t>
        </is>
      </c>
      <c r="Y466" t="n">
        <v>212</v>
      </c>
      <c r="Z466" t="n">
        <v>160</v>
      </c>
      <c r="AA466" t="n">
        <v>209</v>
      </c>
      <c r="AB466" t="n">
        <v>2</v>
      </c>
      <c r="AC466" t="n">
        <v>2</v>
      </c>
      <c r="AD466" t="n">
        <v>3</v>
      </c>
      <c r="AE466" t="n">
        <v>5</v>
      </c>
      <c r="AF466" t="n">
        <v>0</v>
      </c>
      <c r="AG466" t="n">
        <v>1</v>
      </c>
      <c r="AH466" t="n">
        <v>1</v>
      </c>
      <c r="AI466" t="n">
        <v>2</v>
      </c>
      <c r="AJ466" t="n">
        <v>1</v>
      </c>
      <c r="AK466" t="n">
        <v>1</v>
      </c>
      <c r="AL466" t="n">
        <v>1</v>
      </c>
      <c r="AM466" t="n">
        <v>1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HYPERLINK("http://catalog.hathitrust.org/Record/004417124","HathiTrust Record")</f>
        <v/>
      </c>
      <c r="AS466">
        <f>HYPERLINK("https://creighton-primo.hosted.exlibrisgroup.com/primo-explore/search?tab=default_tab&amp;search_scope=EVERYTHING&amp;vid=01CRU&amp;lang=en_US&amp;offset=0&amp;query=any,contains,991005244729702656","Catalog Record")</f>
        <v/>
      </c>
      <c r="AT466">
        <f>HYPERLINK("http://www.worldcat.org/oclc/8451624","WorldCat Record")</f>
        <v/>
      </c>
      <c r="AU466" t="inlineStr">
        <is>
          <t>3769328743:eng</t>
        </is>
      </c>
      <c r="AV466" t="inlineStr">
        <is>
          <t>8451624</t>
        </is>
      </c>
      <c r="AW466" t="inlineStr">
        <is>
          <t>991005244729702656</t>
        </is>
      </c>
      <c r="AX466" t="inlineStr">
        <is>
          <t>991005244729702656</t>
        </is>
      </c>
      <c r="AY466" t="inlineStr">
        <is>
          <t>2265978360002656</t>
        </is>
      </c>
      <c r="AZ466" t="inlineStr">
        <is>
          <t>BOOK</t>
        </is>
      </c>
      <c r="BB466" t="inlineStr">
        <is>
          <t>9780121773809</t>
        </is>
      </c>
      <c r="BC466" t="inlineStr">
        <is>
          <t>32285001529824</t>
        </is>
      </c>
      <c r="BD466" t="inlineStr">
        <is>
          <t>893338796</t>
        </is>
      </c>
    </row>
    <row r="467">
      <c r="A467" t="inlineStr">
        <is>
          <t>No</t>
        </is>
      </c>
      <c r="B467" t="inlineStr">
        <is>
          <t>RJ560 .C46 1996</t>
        </is>
      </c>
      <c r="C467" t="inlineStr">
        <is>
          <t>0                      RJ 0560000C  46          1996</t>
        </is>
      </c>
      <c r="D467" t="inlineStr">
        <is>
          <t>Children, medicines, and culture / Patricia J. Bush ...[et al.], editors.</t>
        </is>
      </c>
      <c r="F467" t="inlineStr">
        <is>
          <t>No</t>
        </is>
      </c>
      <c r="G467" t="inlineStr">
        <is>
          <t>1</t>
        </is>
      </c>
      <c r="H467" t="inlineStr">
        <is>
          <t>Yes</t>
        </is>
      </c>
      <c r="I467" t="inlineStr">
        <is>
          <t>No</t>
        </is>
      </c>
      <c r="J467" t="inlineStr">
        <is>
          <t>0</t>
        </is>
      </c>
      <c r="L467" t="inlineStr">
        <is>
          <t>New York : Pharmaceutical Products Press, c1996.</t>
        </is>
      </c>
      <c r="M467" t="inlineStr">
        <is>
          <t>1996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RJ </t>
        </is>
      </c>
      <c r="S467" t="n">
        <v>1</v>
      </c>
      <c r="T467" t="n">
        <v>5</v>
      </c>
      <c r="V467" t="inlineStr">
        <is>
          <t>2000-02-09</t>
        </is>
      </c>
      <c r="W467" t="inlineStr">
        <is>
          <t>2000-02-28</t>
        </is>
      </c>
      <c r="X467" t="inlineStr">
        <is>
          <t>2000-02-28</t>
        </is>
      </c>
      <c r="Y467" t="n">
        <v>164</v>
      </c>
      <c r="Z467" t="n">
        <v>136</v>
      </c>
      <c r="AA467" t="n">
        <v>140</v>
      </c>
      <c r="AB467" t="n">
        <v>2</v>
      </c>
      <c r="AC467" t="n">
        <v>2</v>
      </c>
      <c r="AD467" t="n">
        <v>3</v>
      </c>
      <c r="AE467" t="n">
        <v>3</v>
      </c>
      <c r="AF467" t="n">
        <v>0</v>
      </c>
      <c r="AG467" t="n">
        <v>0</v>
      </c>
      <c r="AH467" t="n">
        <v>2</v>
      </c>
      <c r="AI467" t="n">
        <v>2</v>
      </c>
      <c r="AJ467" t="n">
        <v>2</v>
      </c>
      <c r="AK467" t="n">
        <v>2</v>
      </c>
      <c r="AL467" t="n">
        <v>0</v>
      </c>
      <c r="AM467" t="n">
        <v>0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HYPERLINK("https://creighton-primo.hosted.exlibrisgroup.com/primo-explore/search?tab=default_tab&amp;search_scope=EVERYTHING&amp;vid=01CRU&amp;lang=en_US&amp;offset=0&amp;query=any,contains,991001791849702656","Catalog Record")</f>
        <v/>
      </c>
      <c r="AT467">
        <f>HYPERLINK("http://www.worldcat.org/oclc/32464999","WorldCat Record")</f>
        <v/>
      </c>
      <c r="AU467" t="inlineStr">
        <is>
          <t>354636151:eng</t>
        </is>
      </c>
      <c r="AV467" t="inlineStr">
        <is>
          <t>32464999</t>
        </is>
      </c>
      <c r="AW467" t="inlineStr">
        <is>
          <t>991001791849702656</t>
        </is>
      </c>
      <c r="AX467" t="inlineStr">
        <is>
          <t>991001791849702656</t>
        </is>
      </c>
      <c r="AY467" t="inlineStr">
        <is>
          <t>2268508220002656</t>
        </is>
      </c>
      <c r="AZ467" t="inlineStr">
        <is>
          <t>BOOK</t>
        </is>
      </c>
      <c r="BB467" t="inlineStr">
        <is>
          <t>9781560249375</t>
        </is>
      </c>
      <c r="BC467" t="inlineStr">
        <is>
          <t>32285003649166</t>
        </is>
      </c>
      <c r="BD467" t="inlineStr">
        <is>
          <t>893697039</t>
        </is>
      </c>
    </row>
    <row r="468">
      <c r="A468" t="inlineStr">
        <is>
          <t>No</t>
        </is>
      </c>
      <c r="B468" t="inlineStr">
        <is>
          <t>RJ59 .D43 1982</t>
        </is>
      </c>
      <c r="C468" t="inlineStr">
        <is>
          <t>0                      RJ 0059000D  43          1982</t>
        </is>
      </c>
      <c r="D468" t="inlineStr">
        <is>
          <t>Coping with sudden infant death / John DeFrain, Jacque Taylor, Linda Ernst.</t>
        </is>
      </c>
      <c r="F468" t="inlineStr">
        <is>
          <t>No</t>
        </is>
      </c>
      <c r="G468" t="inlineStr">
        <is>
          <t>1</t>
        </is>
      </c>
      <c r="H468" t="inlineStr">
        <is>
          <t>Yes</t>
        </is>
      </c>
      <c r="I468" t="inlineStr">
        <is>
          <t>No</t>
        </is>
      </c>
      <c r="J468" t="inlineStr">
        <is>
          <t>0</t>
        </is>
      </c>
      <c r="K468" t="inlineStr">
        <is>
          <t>DeFrain, John D.</t>
        </is>
      </c>
      <c r="L468" t="inlineStr">
        <is>
          <t>Lexington, Mass. : LexingtonBooks, c1982.</t>
        </is>
      </c>
      <c r="M468" t="inlineStr">
        <is>
          <t>1982</t>
        </is>
      </c>
      <c r="O468" t="inlineStr">
        <is>
          <t>eng</t>
        </is>
      </c>
      <c r="P468" t="inlineStr">
        <is>
          <t>mau</t>
        </is>
      </c>
      <c r="R468" t="inlineStr">
        <is>
          <t xml:space="preserve">RJ </t>
        </is>
      </c>
      <c r="S468" t="n">
        <v>25</v>
      </c>
      <c r="T468" t="n">
        <v>25</v>
      </c>
      <c r="U468" t="inlineStr">
        <is>
          <t>2000-02-28</t>
        </is>
      </c>
      <c r="V468" t="inlineStr">
        <is>
          <t>2000-02-28</t>
        </is>
      </c>
      <c r="W468" t="inlineStr">
        <is>
          <t>1995-10-03</t>
        </is>
      </c>
      <c r="X468" t="inlineStr">
        <is>
          <t>1995-10-03</t>
        </is>
      </c>
      <c r="Y468" t="n">
        <v>647</v>
      </c>
      <c r="Z468" t="n">
        <v>583</v>
      </c>
      <c r="AA468" t="n">
        <v>599</v>
      </c>
      <c r="AB468" t="n">
        <v>13</v>
      </c>
      <c r="AC468" t="n">
        <v>13</v>
      </c>
      <c r="AD468" t="n">
        <v>8</v>
      </c>
      <c r="AE468" t="n">
        <v>10</v>
      </c>
      <c r="AF468" t="n">
        <v>3</v>
      </c>
      <c r="AG468" t="n">
        <v>4</v>
      </c>
      <c r="AH468" t="n">
        <v>1</v>
      </c>
      <c r="AI468" t="n">
        <v>2</v>
      </c>
      <c r="AJ468" t="n">
        <v>4</v>
      </c>
      <c r="AK468" t="n">
        <v>4</v>
      </c>
      <c r="AL468" t="n">
        <v>3</v>
      </c>
      <c r="AM468" t="n">
        <v>3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HYPERLINK("http://catalog.hathitrust.org/Record/000101174","HathiTrust Record")</f>
        <v/>
      </c>
      <c r="AS468">
        <f>HYPERLINK("https://creighton-primo.hosted.exlibrisgroup.com/primo-explore/search?tab=default_tab&amp;search_scope=EVERYTHING&amp;vid=01CRU&amp;lang=en_US&amp;offset=0&amp;query=any,contains,991005225129702656","Catalog Record")</f>
        <v/>
      </c>
      <c r="AT468">
        <f>HYPERLINK("http://www.worldcat.org/oclc/8280586","WorldCat Record")</f>
        <v/>
      </c>
      <c r="AU468" t="inlineStr">
        <is>
          <t>515048:eng</t>
        </is>
      </c>
      <c r="AV468" t="inlineStr">
        <is>
          <t>8280586</t>
        </is>
      </c>
      <c r="AW468" t="inlineStr">
        <is>
          <t>991005225129702656</t>
        </is>
      </c>
      <c r="AX468" t="inlineStr">
        <is>
          <t>991005225129702656</t>
        </is>
      </c>
      <c r="AY468" t="inlineStr">
        <is>
          <t>2257381950002656</t>
        </is>
      </c>
      <c r="AZ468" t="inlineStr">
        <is>
          <t>BOOK</t>
        </is>
      </c>
      <c r="BB468" t="inlineStr">
        <is>
          <t>9780669054538</t>
        </is>
      </c>
      <c r="BC468" t="inlineStr">
        <is>
          <t>32285002024759</t>
        </is>
      </c>
      <c r="BD468" t="inlineStr">
        <is>
          <t>893877155</t>
        </is>
      </c>
    </row>
    <row r="469">
      <c r="A469" t="inlineStr">
        <is>
          <t>No</t>
        </is>
      </c>
      <c r="B469" t="inlineStr">
        <is>
          <t>RJ59 .K85 1985</t>
        </is>
      </c>
      <c r="C469" t="inlineStr">
        <is>
          <t>0                      RJ 0059000K  85          1985</t>
        </is>
      </c>
      <c r="D469" t="inlineStr">
        <is>
          <t>Should the baby live? : the problem of handicapped infants / Helga Kuhse and Peter Singer.</t>
        </is>
      </c>
      <c r="F469" t="inlineStr">
        <is>
          <t>No</t>
        </is>
      </c>
      <c r="G469" t="inlineStr">
        <is>
          <t>1</t>
        </is>
      </c>
      <c r="H469" t="inlineStr">
        <is>
          <t>Yes</t>
        </is>
      </c>
      <c r="I469" t="inlineStr">
        <is>
          <t>No</t>
        </is>
      </c>
      <c r="J469" t="inlineStr">
        <is>
          <t>0</t>
        </is>
      </c>
      <c r="K469" t="inlineStr">
        <is>
          <t>Kuhse, Helga.</t>
        </is>
      </c>
      <c r="L469" t="inlineStr">
        <is>
          <t>Oxford [Oxfordshire] ; New York : Oxford University Press, 1985.</t>
        </is>
      </c>
      <c r="M469" t="inlineStr">
        <is>
          <t>1985</t>
        </is>
      </c>
      <c r="O469" t="inlineStr">
        <is>
          <t>eng</t>
        </is>
      </c>
      <c r="P469" t="inlineStr">
        <is>
          <t>enk</t>
        </is>
      </c>
      <c r="Q469" t="inlineStr">
        <is>
          <t>Studies in bioethics</t>
        </is>
      </c>
      <c r="R469" t="inlineStr">
        <is>
          <t xml:space="preserve">RJ </t>
        </is>
      </c>
      <c r="S469" t="n">
        <v>20</v>
      </c>
      <c r="T469" t="n">
        <v>20</v>
      </c>
      <c r="U469" t="inlineStr">
        <is>
          <t>2009-03-10</t>
        </is>
      </c>
      <c r="V469" t="inlineStr">
        <is>
          <t>2009-03-10</t>
        </is>
      </c>
      <c r="W469" t="inlineStr">
        <is>
          <t>1992-04-28</t>
        </is>
      </c>
      <c r="X469" t="inlineStr">
        <is>
          <t>2009-10-02</t>
        </is>
      </c>
      <c r="Y469" t="n">
        <v>986</v>
      </c>
      <c r="Z469" t="n">
        <v>800</v>
      </c>
      <c r="AA469" t="n">
        <v>817</v>
      </c>
      <c r="AB469" t="n">
        <v>6</v>
      </c>
      <c r="AC469" t="n">
        <v>6</v>
      </c>
      <c r="AD469" t="n">
        <v>33</v>
      </c>
      <c r="AE469" t="n">
        <v>33</v>
      </c>
      <c r="AF469" t="n">
        <v>10</v>
      </c>
      <c r="AG469" t="n">
        <v>10</v>
      </c>
      <c r="AH469" t="n">
        <v>7</v>
      </c>
      <c r="AI469" t="n">
        <v>7</v>
      </c>
      <c r="AJ469" t="n">
        <v>13</v>
      </c>
      <c r="AK469" t="n">
        <v>13</v>
      </c>
      <c r="AL469" t="n">
        <v>3</v>
      </c>
      <c r="AM469" t="n">
        <v>3</v>
      </c>
      <c r="AN469" t="n">
        <v>6</v>
      </c>
      <c r="AO469" t="n">
        <v>6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HYPERLINK("http://catalog.hathitrust.org/Record/000587581","HathiTrust Record")</f>
        <v/>
      </c>
      <c r="AS469">
        <f>HYPERLINK("https://creighton-primo.hosted.exlibrisgroup.com/primo-explore/search?tab=default_tab&amp;search_scope=EVERYTHING&amp;vid=01CRU&amp;lang=en_US&amp;offset=0&amp;query=any,contains,991001681959702656","Catalog Record")</f>
        <v/>
      </c>
      <c r="AT469">
        <f>HYPERLINK("http://www.worldcat.org/oclc/11756332","WorldCat Record")</f>
        <v/>
      </c>
      <c r="AU469" t="inlineStr">
        <is>
          <t>836702532:eng</t>
        </is>
      </c>
      <c r="AV469" t="inlineStr">
        <is>
          <t>11756332</t>
        </is>
      </c>
      <c r="AW469" t="inlineStr">
        <is>
          <t>991001681959702656</t>
        </is>
      </c>
      <c r="AX469" t="inlineStr">
        <is>
          <t>991001681959702656</t>
        </is>
      </c>
      <c r="AY469" t="inlineStr">
        <is>
          <t>2269050900002656</t>
        </is>
      </c>
      <c r="AZ469" t="inlineStr">
        <is>
          <t>BOOK</t>
        </is>
      </c>
      <c r="BB469" t="inlineStr">
        <is>
          <t>9780192177452</t>
        </is>
      </c>
      <c r="BC469" t="inlineStr">
        <is>
          <t>32285001102507</t>
        </is>
      </c>
      <c r="BD469" t="inlineStr">
        <is>
          <t>893433030</t>
        </is>
      </c>
    </row>
    <row r="470">
      <c r="A470" t="inlineStr">
        <is>
          <t>No</t>
        </is>
      </c>
      <c r="B470" t="inlineStr">
        <is>
          <t>RJ59 .N48 1981</t>
        </is>
      </c>
      <c r="C470" t="inlineStr">
        <is>
          <t>0                      RJ 0059000N  48          1981</t>
        </is>
      </c>
      <c r="D470" t="inlineStr">
        <is>
          <t>Infant mortality and the health of societies / Kathleen Newland.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Newland, Kathleen.</t>
        </is>
      </c>
      <c r="L470" t="inlineStr">
        <is>
          <t>Washington, D.C. : Worldwatch Institute, 1981.</t>
        </is>
      </c>
      <c r="M470" t="inlineStr">
        <is>
          <t>1981</t>
        </is>
      </c>
      <c r="O470" t="inlineStr">
        <is>
          <t>eng</t>
        </is>
      </c>
      <c r="P470" t="inlineStr">
        <is>
          <t>dcu</t>
        </is>
      </c>
      <c r="Q470" t="inlineStr">
        <is>
          <t>Worldwatch paper ; 47</t>
        </is>
      </c>
      <c r="R470" t="inlineStr">
        <is>
          <t xml:space="preserve">RJ </t>
        </is>
      </c>
      <c r="S470" t="n">
        <v>4</v>
      </c>
      <c r="T470" t="n">
        <v>4</v>
      </c>
      <c r="U470" t="inlineStr">
        <is>
          <t>2003-02-05</t>
        </is>
      </c>
      <c r="V470" t="inlineStr">
        <is>
          <t>2003-02-05</t>
        </is>
      </c>
      <c r="W470" t="inlineStr">
        <is>
          <t>1992-04-27</t>
        </is>
      </c>
      <c r="X470" t="inlineStr">
        <is>
          <t>1992-04-27</t>
        </is>
      </c>
      <c r="Y470" t="n">
        <v>341</v>
      </c>
      <c r="Z470" t="n">
        <v>281</v>
      </c>
      <c r="AA470" t="n">
        <v>289</v>
      </c>
      <c r="AB470" t="n">
        <v>2</v>
      </c>
      <c r="AC470" t="n">
        <v>2</v>
      </c>
      <c r="AD470" t="n">
        <v>7</v>
      </c>
      <c r="AE470" t="n">
        <v>7</v>
      </c>
      <c r="AF470" t="n">
        <v>3</v>
      </c>
      <c r="AG470" t="n">
        <v>3</v>
      </c>
      <c r="AH470" t="n">
        <v>2</v>
      </c>
      <c r="AI470" t="n">
        <v>2</v>
      </c>
      <c r="AJ470" t="n">
        <v>3</v>
      </c>
      <c r="AK470" t="n">
        <v>3</v>
      </c>
      <c r="AL470" t="n">
        <v>1</v>
      </c>
      <c r="AM470" t="n">
        <v>1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HYPERLINK("http://catalog.hathitrust.org/Record/000270011","HathiTrust Record")</f>
        <v/>
      </c>
      <c r="AS470">
        <f>HYPERLINK("https://creighton-primo.hosted.exlibrisgroup.com/primo-explore/search?tab=default_tab&amp;search_scope=EVERYTHING&amp;vid=01CRU&amp;lang=en_US&amp;offset=0&amp;query=any,contains,991005201349702656","Catalog Record")</f>
        <v/>
      </c>
      <c r="AT470">
        <f>HYPERLINK("http://www.worldcat.org/oclc/8085582","WorldCat Record")</f>
        <v/>
      </c>
      <c r="AU470" t="inlineStr">
        <is>
          <t>560987:eng</t>
        </is>
      </c>
      <c r="AV470" t="inlineStr">
        <is>
          <t>8085582</t>
        </is>
      </c>
      <c r="AW470" t="inlineStr">
        <is>
          <t>991005201349702656</t>
        </is>
      </c>
      <c r="AX470" t="inlineStr">
        <is>
          <t>991005201349702656</t>
        </is>
      </c>
      <c r="AY470" t="inlineStr">
        <is>
          <t>2256960790002656</t>
        </is>
      </c>
      <c r="AZ470" t="inlineStr">
        <is>
          <t>BOOK</t>
        </is>
      </c>
      <c r="BB470" t="inlineStr">
        <is>
          <t>9780916468460</t>
        </is>
      </c>
      <c r="BC470" t="inlineStr">
        <is>
          <t>32285001088722</t>
        </is>
      </c>
      <c r="BD470" t="inlineStr">
        <is>
          <t>893807987</t>
        </is>
      </c>
    </row>
    <row r="471">
      <c r="A471" t="inlineStr">
        <is>
          <t>No</t>
        </is>
      </c>
      <c r="B471" t="inlineStr">
        <is>
          <t>RJ60.U5 B66 1989</t>
        </is>
      </c>
      <c r="C471" t="inlineStr">
        <is>
          <t>0                      RJ 0060000U  5                  B  66          1989</t>
        </is>
      </c>
      <c r="D471" t="inlineStr">
        <is>
          <t>Capital crime : Black infant mortality in America / Margaret S. Boone ; foreword by John W. Scanlon.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Boone, Margaret S.</t>
        </is>
      </c>
      <c r="L471" t="inlineStr">
        <is>
          <t>Newbury Park : Sage, c1989.</t>
        </is>
      </c>
      <c r="M471" t="inlineStr">
        <is>
          <t>1989</t>
        </is>
      </c>
      <c r="O471" t="inlineStr">
        <is>
          <t>eng</t>
        </is>
      </c>
      <c r="P471" t="inlineStr">
        <is>
          <t>cau</t>
        </is>
      </c>
      <c r="Q471" t="inlineStr">
        <is>
          <t>Frontiers of anthropology ; 4</t>
        </is>
      </c>
      <c r="R471" t="inlineStr">
        <is>
          <t xml:space="preserve">RJ </t>
        </is>
      </c>
      <c r="S471" t="n">
        <v>1</v>
      </c>
      <c r="T471" t="n">
        <v>1</v>
      </c>
      <c r="U471" t="inlineStr">
        <is>
          <t>2004-01-28</t>
        </is>
      </c>
      <c r="V471" t="inlineStr">
        <is>
          <t>2004-01-28</t>
        </is>
      </c>
      <c r="W471" t="inlineStr">
        <is>
          <t>1993-03-25</t>
        </is>
      </c>
      <c r="X471" t="inlineStr">
        <is>
          <t>1993-03-25</t>
        </is>
      </c>
      <c r="Y471" t="n">
        <v>461</v>
      </c>
      <c r="Z471" t="n">
        <v>421</v>
      </c>
      <c r="AA471" t="n">
        <v>428</v>
      </c>
      <c r="AB471" t="n">
        <v>4</v>
      </c>
      <c r="AC471" t="n">
        <v>4</v>
      </c>
      <c r="AD471" t="n">
        <v>16</v>
      </c>
      <c r="AE471" t="n">
        <v>16</v>
      </c>
      <c r="AF471" t="n">
        <v>2</v>
      </c>
      <c r="AG471" t="n">
        <v>2</v>
      </c>
      <c r="AH471" t="n">
        <v>6</v>
      </c>
      <c r="AI471" t="n">
        <v>6</v>
      </c>
      <c r="AJ471" t="n">
        <v>9</v>
      </c>
      <c r="AK471" t="n">
        <v>9</v>
      </c>
      <c r="AL471" t="n">
        <v>3</v>
      </c>
      <c r="AM471" t="n">
        <v>3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HYPERLINK("http://catalog.hathitrust.org/Record/001548209","HathiTrust Record")</f>
        <v/>
      </c>
      <c r="AS471">
        <f>HYPERLINK("https://creighton-primo.hosted.exlibrisgroup.com/primo-explore/search?tab=default_tab&amp;search_scope=EVERYTHING&amp;vid=01CRU&amp;lang=en_US&amp;offset=0&amp;query=any,contains,991001434629702656","Catalog Record")</f>
        <v/>
      </c>
      <c r="AT471">
        <f>HYPERLINK("http://www.worldcat.org/oclc/19126826","WorldCat Record")</f>
        <v/>
      </c>
      <c r="AU471" t="inlineStr">
        <is>
          <t>18999385:eng</t>
        </is>
      </c>
      <c r="AV471" t="inlineStr">
        <is>
          <t>19126826</t>
        </is>
      </c>
      <c r="AW471" t="inlineStr">
        <is>
          <t>991001434629702656</t>
        </is>
      </c>
      <c r="AX471" t="inlineStr">
        <is>
          <t>991001434629702656</t>
        </is>
      </c>
      <c r="AY471" t="inlineStr">
        <is>
          <t>2271163620002656</t>
        </is>
      </c>
      <c r="AZ471" t="inlineStr">
        <is>
          <t>BOOK</t>
        </is>
      </c>
      <c r="BB471" t="inlineStr">
        <is>
          <t>9780803933743</t>
        </is>
      </c>
      <c r="BC471" t="inlineStr">
        <is>
          <t>32285001609667</t>
        </is>
      </c>
      <c r="BD471" t="inlineStr">
        <is>
          <t>893772599</t>
        </is>
      </c>
    </row>
    <row r="472">
      <c r="A472" t="inlineStr">
        <is>
          <t>No</t>
        </is>
      </c>
      <c r="B472" t="inlineStr">
        <is>
          <t>RJ61 .L4413 1976</t>
        </is>
      </c>
      <c r="C472" t="inlineStr">
        <is>
          <t>0                      RJ 0061000L  4413        1976</t>
        </is>
      </c>
      <c r="D472" t="inlineStr">
        <is>
          <t>Loving hands / by Frederick Leboyer.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Leboyer, Frédérick.</t>
        </is>
      </c>
      <c r="L472" t="inlineStr">
        <is>
          <t>New York : Knopf : distributed by Random House, 1976.</t>
        </is>
      </c>
      <c r="M472" t="inlineStr">
        <is>
          <t>1976</t>
        </is>
      </c>
      <c r="N472" t="inlineStr">
        <is>
          <t>1st ed.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RJ </t>
        </is>
      </c>
      <c r="S472" t="n">
        <v>7</v>
      </c>
      <c r="T472" t="n">
        <v>7</v>
      </c>
      <c r="U472" t="inlineStr">
        <is>
          <t>1995-02-16</t>
        </is>
      </c>
      <c r="V472" t="inlineStr">
        <is>
          <t>1995-02-16</t>
        </is>
      </c>
      <c r="W472" t="inlineStr">
        <is>
          <t>1993-03-25</t>
        </is>
      </c>
      <c r="X472" t="inlineStr">
        <is>
          <t>1993-03-25</t>
        </is>
      </c>
      <c r="Y472" t="n">
        <v>553</v>
      </c>
      <c r="Z472" t="n">
        <v>508</v>
      </c>
      <c r="AA472" t="n">
        <v>516</v>
      </c>
      <c r="AB472" t="n">
        <v>3</v>
      </c>
      <c r="AC472" t="n">
        <v>3</v>
      </c>
      <c r="AD472" t="n">
        <v>7</v>
      </c>
      <c r="AE472" t="n">
        <v>7</v>
      </c>
      <c r="AF472" t="n">
        <v>1</v>
      </c>
      <c r="AG472" t="n">
        <v>1</v>
      </c>
      <c r="AH472" t="n">
        <v>1</v>
      </c>
      <c r="AI472" t="n">
        <v>1</v>
      </c>
      <c r="AJ472" t="n">
        <v>3</v>
      </c>
      <c r="AK472" t="n">
        <v>3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HYPERLINK("http://catalog.hathitrust.org/Record/000710302","HathiTrust Record")</f>
        <v/>
      </c>
      <c r="AS472">
        <f>HYPERLINK("https://creighton-primo.hosted.exlibrisgroup.com/primo-explore/search?tab=default_tab&amp;search_scope=EVERYTHING&amp;vid=01CRU&amp;lang=en_US&amp;offset=0&amp;query=any,contains,991004057599702656","Catalog Record")</f>
        <v/>
      </c>
      <c r="AT472">
        <f>HYPERLINK("http://www.worldcat.org/oclc/2230535","WorldCat Record")</f>
        <v/>
      </c>
      <c r="AU472" t="inlineStr">
        <is>
          <t>10567936343:eng</t>
        </is>
      </c>
      <c r="AV472" t="inlineStr">
        <is>
          <t>2230535</t>
        </is>
      </c>
      <c r="AW472" t="inlineStr">
        <is>
          <t>991004057599702656</t>
        </is>
      </c>
      <c r="AX472" t="inlineStr">
        <is>
          <t>991004057599702656</t>
        </is>
      </c>
      <c r="AY472" t="inlineStr">
        <is>
          <t>2262256230002656</t>
        </is>
      </c>
      <c r="AZ472" t="inlineStr">
        <is>
          <t>BOOK</t>
        </is>
      </c>
      <c r="BB472" t="inlineStr">
        <is>
          <t>9780394404691</t>
        </is>
      </c>
      <c r="BC472" t="inlineStr">
        <is>
          <t>32285001609683</t>
        </is>
      </c>
      <c r="BD472" t="inlineStr">
        <is>
          <t>893247107</t>
        </is>
      </c>
    </row>
    <row r="473">
      <c r="A473" t="inlineStr">
        <is>
          <t>No</t>
        </is>
      </c>
      <c r="B473" t="inlineStr">
        <is>
          <t>RJ71 .M42 1985</t>
        </is>
      </c>
      <c r="C473" t="inlineStr">
        <is>
          <t>0                      RJ 0071000M  42          1985</t>
        </is>
      </c>
      <c r="D473" t="inlineStr">
        <is>
          <t>Medical problems in the classroom : the teacher's role in diagnosis and management / edited by Robert H.A. Haslam and Peter J. Valletutti.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L473" t="inlineStr">
        <is>
          <t>Austin, Tex. : PRO-ED, c1985.</t>
        </is>
      </c>
      <c r="M473" t="inlineStr">
        <is>
          <t>1985</t>
        </is>
      </c>
      <c r="N473" t="inlineStr">
        <is>
          <t>2nd ed.</t>
        </is>
      </c>
      <c r="O473" t="inlineStr">
        <is>
          <t>eng</t>
        </is>
      </c>
      <c r="P473" t="inlineStr">
        <is>
          <t>txu</t>
        </is>
      </c>
      <c r="R473" t="inlineStr">
        <is>
          <t xml:space="preserve">RJ </t>
        </is>
      </c>
      <c r="S473" t="n">
        <v>1</v>
      </c>
      <c r="T473" t="n">
        <v>1</v>
      </c>
      <c r="U473" t="inlineStr">
        <is>
          <t>1997-05-01</t>
        </is>
      </c>
      <c r="V473" t="inlineStr">
        <is>
          <t>1997-05-01</t>
        </is>
      </c>
      <c r="W473" t="inlineStr">
        <is>
          <t>1991-12-06</t>
        </is>
      </c>
      <c r="X473" t="inlineStr">
        <is>
          <t>1991-12-06</t>
        </is>
      </c>
      <c r="Y473" t="n">
        <v>194</v>
      </c>
      <c r="Z473" t="n">
        <v>168</v>
      </c>
      <c r="AA473" t="n">
        <v>655</v>
      </c>
      <c r="AB473" t="n">
        <v>3</v>
      </c>
      <c r="AC473" t="n">
        <v>6</v>
      </c>
      <c r="AD473" t="n">
        <v>6</v>
      </c>
      <c r="AE473" t="n">
        <v>23</v>
      </c>
      <c r="AF473" t="n">
        <v>1</v>
      </c>
      <c r="AG473" t="n">
        <v>5</v>
      </c>
      <c r="AH473" t="n">
        <v>1</v>
      </c>
      <c r="AI473" t="n">
        <v>6</v>
      </c>
      <c r="AJ473" t="n">
        <v>3</v>
      </c>
      <c r="AK473" t="n">
        <v>12</v>
      </c>
      <c r="AL473" t="n">
        <v>2</v>
      </c>
      <c r="AM473" t="n">
        <v>5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HYPERLINK("http://catalog.hathitrust.org/Record/000608955","HathiTrust Record")</f>
        <v/>
      </c>
      <c r="AS473">
        <f>HYPERLINK("https://creighton-primo.hosted.exlibrisgroup.com/primo-explore/search?tab=default_tab&amp;search_scope=EVERYTHING&amp;vid=01CRU&amp;lang=en_US&amp;offset=0&amp;query=any,contains,991000592169702656","Catalog Record")</f>
        <v/>
      </c>
      <c r="AT473">
        <f>HYPERLINK("http://www.worldcat.org/oclc/11785686","WorldCat Record")</f>
        <v/>
      </c>
      <c r="AU473" t="inlineStr">
        <is>
          <t>836656604:eng</t>
        </is>
      </c>
      <c r="AV473" t="inlineStr">
        <is>
          <t>11785686</t>
        </is>
      </c>
      <c r="AW473" t="inlineStr">
        <is>
          <t>991000592169702656</t>
        </is>
      </c>
      <c r="AX473" t="inlineStr">
        <is>
          <t>991000592169702656</t>
        </is>
      </c>
      <c r="AY473" t="inlineStr">
        <is>
          <t>2255770240002656</t>
        </is>
      </c>
      <c r="AZ473" t="inlineStr">
        <is>
          <t>BOOK</t>
        </is>
      </c>
      <c r="BB473" t="inlineStr">
        <is>
          <t>9780936104744</t>
        </is>
      </c>
      <c r="BC473" t="inlineStr">
        <is>
          <t>32285000885177</t>
        </is>
      </c>
      <c r="BD473" t="inlineStr">
        <is>
          <t>893878193</t>
        </is>
      </c>
    </row>
    <row r="474">
      <c r="A474" t="inlineStr">
        <is>
          <t>No</t>
        </is>
      </c>
      <c r="B474" t="inlineStr">
        <is>
          <t>RJ85 .C45 1994</t>
        </is>
      </c>
      <c r="C474" t="inlineStr">
        <is>
          <t>0                      RJ 0085000C  45          1994</t>
        </is>
      </c>
      <c r="D474" t="inlineStr">
        <is>
          <t>Children as research subjects : science, ethics, and law / edited by Michael A. Grodin, Leonard H. Glantz.</t>
        </is>
      </c>
      <c r="F474" t="inlineStr">
        <is>
          <t>No</t>
        </is>
      </c>
      <c r="G474" t="inlineStr">
        <is>
          <t>1</t>
        </is>
      </c>
      <c r="H474" t="inlineStr">
        <is>
          <t>Yes</t>
        </is>
      </c>
      <c r="I474" t="inlineStr">
        <is>
          <t>No</t>
        </is>
      </c>
      <c r="J474" t="inlineStr">
        <is>
          <t>0</t>
        </is>
      </c>
      <c r="L474" t="inlineStr">
        <is>
          <t>New York : Oxford University Press, 1994.</t>
        </is>
      </c>
      <c r="M474" t="inlineStr">
        <is>
          <t>1994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RJ </t>
        </is>
      </c>
      <c r="S474" t="n">
        <v>8</v>
      </c>
      <c r="T474" t="n">
        <v>8</v>
      </c>
      <c r="U474" t="inlineStr">
        <is>
          <t>2006-09-13</t>
        </is>
      </c>
      <c r="V474" t="inlineStr">
        <is>
          <t>2006-09-13</t>
        </is>
      </c>
      <c r="W474" t="inlineStr">
        <is>
          <t>1994-06-02</t>
        </is>
      </c>
      <c r="X474" t="inlineStr">
        <is>
          <t>1994-08-15</t>
        </is>
      </c>
      <c r="Y474" t="n">
        <v>502</v>
      </c>
      <c r="Z474" t="n">
        <v>381</v>
      </c>
      <c r="AA474" t="n">
        <v>404</v>
      </c>
      <c r="AB474" t="n">
        <v>3</v>
      </c>
      <c r="AC474" t="n">
        <v>3</v>
      </c>
      <c r="AD474" t="n">
        <v>26</v>
      </c>
      <c r="AE474" t="n">
        <v>26</v>
      </c>
      <c r="AF474" t="n">
        <v>5</v>
      </c>
      <c r="AG474" t="n">
        <v>5</v>
      </c>
      <c r="AH474" t="n">
        <v>4</v>
      </c>
      <c r="AI474" t="n">
        <v>4</v>
      </c>
      <c r="AJ474" t="n">
        <v>10</v>
      </c>
      <c r="AK474" t="n">
        <v>10</v>
      </c>
      <c r="AL474" t="n">
        <v>1</v>
      </c>
      <c r="AM474" t="n">
        <v>1</v>
      </c>
      <c r="AN474" t="n">
        <v>10</v>
      </c>
      <c r="AO474" t="n">
        <v>10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HYPERLINK("http://catalog.hathitrust.org/Record/002788082","HathiTrust Record")</f>
        <v/>
      </c>
      <c r="AS474">
        <f>HYPERLINK("https://creighton-primo.hosted.exlibrisgroup.com/primo-explore/search?tab=default_tab&amp;search_scope=EVERYTHING&amp;vid=01CRU&amp;lang=en_US&amp;offset=0&amp;query=any,contains,991001657719702656","Catalog Record")</f>
        <v/>
      </c>
      <c r="AT474">
        <f>HYPERLINK("http://www.worldcat.org/oclc/27854169","WorldCat Record")</f>
        <v/>
      </c>
      <c r="AU474" t="inlineStr">
        <is>
          <t>836733957:eng</t>
        </is>
      </c>
      <c r="AV474" t="inlineStr">
        <is>
          <t>27854169</t>
        </is>
      </c>
      <c r="AW474" t="inlineStr">
        <is>
          <t>991001657719702656</t>
        </is>
      </c>
      <c r="AX474" t="inlineStr">
        <is>
          <t>991001657719702656</t>
        </is>
      </c>
      <c r="AY474" t="inlineStr">
        <is>
          <t>2264336120002656</t>
        </is>
      </c>
      <c r="AZ474" t="inlineStr">
        <is>
          <t>BOOK</t>
        </is>
      </c>
      <c r="BB474" t="inlineStr">
        <is>
          <t>9780195071030</t>
        </is>
      </c>
      <c r="BC474" t="inlineStr">
        <is>
          <t>32285001920916</t>
        </is>
      </c>
      <c r="BD474" t="inlineStr">
        <is>
          <t>893509796</t>
        </is>
      </c>
    </row>
    <row r="475">
      <c r="A475" t="inlineStr">
        <is>
          <t>No</t>
        </is>
      </c>
      <c r="B475" t="inlineStr">
        <is>
          <t>RJ47.5 .C44</t>
        </is>
      </c>
      <c r="C475" t="inlineStr">
        <is>
          <t>0                      RJ 0047500C  44</t>
        </is>
      </c>
      <c r="D475" t="inlineStr">
        <is>
          <t>The Child and death / edited by Olle Jane Z. Sahler.</t>
        </is>
      </c>
      <c r="F475" t="inlineStr">
        <is>
          <t>No</t>
        </is>
      </c>
      <c r="G475" t="inlineStr">
        <is>
          <t>1</t>
        </is>
      </c>
      <c r="H475" t="inlineStr">
        <is>
          <t>Yes</t>
        </is>
      </c>
      <c r="I475" t="inlineStr">
        <is>
          <t>No</t>
        </is>
      </c>
      <c r="J475" t="inlineStr">
        <is>
          <t>0</t>
        </is>
      </c>
      <c r="L475" t="inlineStr">
        <is>
          <t>St. Louis : Mosby, 1978.</t>
        </is>
      </c>
      <c r="M475" t="inlineStr">
        <is>
          <t>1978</t>
        </is>
      </c>
      <c r="O475" t="inlineStr">
        <is>
          <t>eng</t>
        </is>
      </c>
      <c r="P475" t="inlineStr">
        <is>
          <t>mou</t>
        </is>
      </c>
      <c r="R475" t="inlineStr">
        <is>
          <t xml:space="preserve">RJ </t>
        </is>
      </c>
      <c r="S475" t="n">
        <v>5</v>
      </c>
      <c r="T475" t="n">
        <v>15</v>
      </c>
      <c r="U475" t="inlineStr">
        <is>
          <t>1999-10-05</t>
        </is>
      </c>
      <c r="V475" t="inlineStr">
        <is>
          <t>1999-10-05</t>
        </is>
      </c>
      <c r="W475" t="inlineStr">
        <is>
          <t>1987-10-18</t>
        </is>
      </c>
      <c r="X475" t="inlineStr">
        <is>
          <t>1994-12-21</t>
        </is>
      </c>
      <c r="Y475" t="n">
        <v>387</v>
      </c>
      <c r="Z475" t="n">
        <v>321</v>
      </c>
      <c r="AA475" t="n">
        <v>328</v>
      </c>
      <c r="AB475" t="n">
        <v>5</v>
      </c>
      <c r="AC475" t="n">
        <v>5</v>
      </c>
      <c r="AD475" t="n">
        <v>12</v>
      </c>
      <c r="AE475" t="n">
        <v>12</v>
      </c>
      <c r="AF475" t="n">
        <v>4</v>
      </c>
      <c r="AG475" t="n">
        <v>4</v>
      </c>
      <c r="AH475" t="n">
        <v>1</v>
      </c>
      <c r="AI475" t="n">
        <v>1</v>
      </c>
      <c r="AJ475" t="n">
        <v>5</v>
      </c>
      <c r="AK475" t="n">
        <v>5</v>
      </c>
      <c r="AL475" t="n">
        <v>2</v>
      </c>
      <c r="AM475" t="n">
        <v>2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HYPERLINK("http://catalog.hathitrust.org/Record/000688972","HathiTrust Record")</f>
        <v/>
      </c>
      <c r="AS475">
        <f>HYPERLINK("https://creighton-primo.hosted.exlibrisgroup.com/primo-explore/search?tab=default_tab&amp;search_scope=EVERYTHING&amp;vid=01CRU&amp;lang=en_US&amp;offset=0&amp;query=any,contains,991001757859702656","Catalog Record")</f>
        <v/>
      </c>
      <c r="AT475">
        <f>HYPERLINK("http://www.worldcat.org/oclc/4003510","WorldCat Record")</f>
        <v/>
      </c>
      <c r="AU475" t="inlineStr">
        <is>
          <t>54228320:eng</t>
        </is>
      </c>
      <c r="AV475" t="inlineStr">
        <is>
          <t>4003510</t>
        </is>
      </c>
      <c r="AW475" t="inlineStr">
        <is>
          <t>991001757859702656</t>
        </is>
      </c>
      <c r="AX475" t="inlineStr">
        <is>
          <t>991001757859702656</t>
        </is>
      </c>
      <c r="AY475" t="inlineStr">
        <is>
          <t>2267746880002656</t>
        </is>
      </c>
      <c r="AZ475" t="inlineStr">
        <is>
          <t>BOOK</t>
        </is>
      </c>
      <c r="BB475" t="inlineStr">
        <is>
          <t>9780801642883</t>
        </is>
      </c>
      <c r="BC475" t="inlineStr">
        <is>
          <t>30001000036469</t>
        </is>
      </c>
      <c r="BD475" t="inlineStr">
        <is>
          <t>893643847</t>
        </is>
      </c>
    </row>
    <row r="476">
      <c r="A476" t="inlineStr">
        <is>
          <t>No</t>
        </is>
      </c>
      <c r="B476" t="inlineStr">
        <is>
          <t>RJ47.5 .E37 1985</t>
        </is>
      </c>
      <c r="C476" t="inlineStr">
        <is>
          <t>0                      RJ 0047500E  37          1985</t>
        </is>
      </c>
      <c r="D476" t="inlineStr">
        <is>
          <t>The psychology of childhood illness / Christine Eiser.</t>
        </is>
      </c>
      <c r="F476" t="inlineStr">
        <is>
          <t>No</t>
        </is>
      </c>
      <c r="G476" t="inlineStr">
        <is>
          <t>1</t>
        </is>
      </c>
      <c r="H476" t="inlineStr">
        <is>
          <t>Yes</t>
        </is>
      </c>
      <c r="I476" t="inlineStr">
        <is>
          <t>No</t>
        </is>
      </c>
      <c r="J476" t="inlineStr">
        <is>
          <t>0</t>
        </is>
      </c>
      <c r="K476" t="inlineStr">
        <is>
          <t>Eiser, Christine.</t>
        </is>
      </c>
      <c r="L476" t="inlineStr">
        <is>
          <t>New York : Springer-Verlag, c1985.</t>
        </is>
      </c>
      <c r="M476" t="inlineStr">
        <is>
          <t>1985</t>
        </is>
      </c>
      <c r="O476" t="inlineStr">
        <is>
          <t>eng</t>
        </is>
      </c>
      <c r="P476" t="inlineStr">
        <is>
          <t>nyu</t>
        </is>
      </c>
      <c r="Q476" t="inlineStr">
        <is>
          <t>Contributions to psychology and medicine</t>
        </is>
      </c>
      <c r="R476" t="inlineStr">
        <is>
          <t xml:space="preserve">RJ </t>
        </is>
      </c>
      <c r="S476" t="n">
        <v>4</v>
      </c>
      <c r="T476" t="n">
        <v>10</v>
      </c>
      <c r="U476" t="inlineStr">
        <is>
          <t>2001-03-26</t>
        </is>
      </c>
      <c r="V476" t="inlineStr">
        <is>
          <t>2001-03-26</t>
        </is>
      </c>
      <c r="W476" t="inlineStr">
        <is>
          <t>1988-01-03</t>
        </is>
      </c>
      <c r="X476" t="inlineStr">
        <is>
          <t>1992-02-20</t>
        </is>
      </c>
      <c r="Y476" t="n">
        <v>278</v>
      </c>
      <c r="Z476" t="n">
        <v>186</v>
      </c>
      <c r="AA476" t="n">
        <v>208</v>
      </c>
      <c r="AB476" t="n">
        <v>3</v>
      </c>
      <c r="AC476" t="n">
        <v>3</v>
      </c>
      <c r="AD476" t="n">
        <v>6</v>
      </c>
      <c r="AE476" t="n">
        <v>8</v>
      </c>
      <c r="AF476" t="n">
        <v>1</v>
      </c>
      <c r="AG476" t="n">
        <v>3</v>
      </c>
      <c r="AH476" t="n">
        <v>2</v>
      </c>
      <c r="AI476" t="n">
        <v>2</v>
      </c>
      <c r="AJ476" t="n">
        <v>5</v>
      </c>
      <c r="AK476" t="n">
        <v>6</v>
      </c>
      <c r="AL476" t="n">
        <v>1</v>
      </c>
      <c r="AM476" t="n">
        <v>1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HYPERLINK("http://catalog.hathitrust.org/Record/000610483","HathiTrust Record")</f>
        <v/>
      </c>
      <c r="AS476">
        <f>HYPERLINK("https://creighton-primo.hosted.exlibrisgroup.com/primo-explore/search?tab=default_tab&amp;search_scope=EVERYTHING&amp;vid=01CRU&amp;lang=en_US&amp;offset=0&amp;query=any,contains,991001785199702656","Catalog Record")</f>
        <v/>
      </c>
      <c r="AT476">
        <f>HYPERLINK("http://www.worldcat.org/oclc/11370157","WorldCat Record")</f>
        <v/>
      </c>
      <c r="AU476" t="inlineStr">
        <is>
          <t>3869236:eng</t>
        </is>
      </c>
      <c r="AV476" t="inlineStr">
        <is>
          <t>11370157</t>
        </is>
      </c>
      <c r="AW476" t="inlineStr">
        <is>
          <t>991001785199702656</t>
        </is>
      </c>
      <c r="AX476" t="inlineStr">
        <is>
          <t>991001785199702656</t>
        </is>
      </c>
      <c r="AY476" t="inlineStr">
        <is>
          <t>2260159860002656</t>
        </is>
      </c>
      <c r="AZ476" t="inlineStr">
        <is>
          <t>BOOK</t>
        </is>
      </c>
      <c r="BB476" t="inlineStr">
        <is>
          <t>9780387960968</t>
        </is>
      </c>
      <c r="BC476" t="inlineStr">
        <is>
          <t>30001000268310</t>
        </is>
      </c>
      <c r="BD476" t="inlineStr">
        <is>
          <t>893732398</t>
        </is>
      </c>
    </row>
    <row r="477">
      <c r="A477" t="inlineStr">
        <is>
          <t>No</t>
        </is>
      </c>
      <c r="B477" t="inlineStr">
        <is>
          <t>RJ47.5 .G97</t>
        </is>
      </c>
      <c r="C477" t="inlineStr">
        <is>
          <t>0                      RJ 0047500G  97</t>
        </is>
      </c>
      <c r="D477" t="inlineStr">
        <is>
          <t>The dying child / Jo-Eileen Gyulay.</t>
        </is>
      </c>
      <c r="F477" t="inlineStr">
        <is>
          <t>No</t>
        </is>
      </c>
      <c r="G477" t="inlineStr">
        <is>
          <t>1</t>
        </is>
      </c>
      <c r="H477" t="inlineStr">
        <is>
          <t>Yes</t>
        </is>
      </c>
      <c r="I477" t="inlineStr">
        <is>
          <t>No</t>
        </is>
      </c>
      <c r="J477" t="inlineStr">
        <is>
          <t>0</t>
        </is>
      </c>
      <c r="K477" t="inlineStr">
        <is>
          <t>Gyulay, Jo-Eileen.</t>
        </is>
      </c>
      <c r="L477" t="inlineStr">
        <is>
          <t>New York : McGraw-Hill, c1978.</t>
        </is>
      </c>
      <c r="M477" t="inlineStr">
        <is>
          <t>1978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RJ </t>
        </is>
      </c>
      <c r="S477" t="n">
        <v>2</v>
      </c>
      <c r="T477" t="n">
        <v>9</v>
      </c>
      <c r="U477" t="inlineStr">
        <is>
          <t>1999-03-24</t>
        </is>
      </c>
      <c r="V477" t="inlineStr">
        <is>
          <t>2006-11-14</t>
        </is>
      </c>
      <c r="W477" t="inlineStr">
        <is>
          <t>1988-01-04</t>
        </is>
      </c>
      <c r="X477" t="inlineStr">
        <is>
          <t>1991-12-09</t>
        </is>
      </c>
      <c r="Y477" t="n">
        <v>421</v>
      </c>
      <c r="Z477" t="n">
        <v>324</v>
      </c>
      <c r="AA477" t="n">
        <v>333</v>
      </c>
      <c r="AB477" t="n">
        <v>3</v>
      </c>
      <c r="AC477" t="n">
        <v>3</v>
      </c>
      <c r="AD477" t="n">
        <v>12</v>
      </c>
      <c r="AE477" t="n">
        <v>12</v>
      </c>
      <c r="AF477" t="n">
        <v>4</v>
      </c>
      <c r="AG477" t="n">
        <v>4</v>
      </c>
      <c r="AH477" t="n">
        <v>3</v>
      </c>
      <c r="AI477" t="n">
        <v>3</v>
      </c>
      <c r="AJ477" t="n">
        <v>6</v>
      </c>
      <c r="AK477" t="n">
        <v>6</v>
      </c>
      <c r="AL477" t="n">
        <v>1</v>
      </c>
      <c r="AM477" t="n">
        <v>1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HYPERLINK("http://catalog.hathitrust.org/Record/000294655","HathiTrust Record")</f>
        <v/>
      </c>
      <c r="AS477">
        <f>HYPERLINK("https://creighton-primo.hosted.exlibrisgroup.com/primo-explore/search?tab=default_tab&amp;search_scope=EVERYTHING&amp;vid=01CRU&amp;lang=en_US&amp;offset=0&amp;query=any,contains,991001787789702656","Catalog Record")</f>
        <v/>
      </c>
      <c r="AT477">
        <f>HYPERLINK("http://www.worldcat.org/oclc/3202905","WorldCat Record")</f>
        <v/>
      </c>
      <c r="AU477" t="inlineStr">
        <is>
          <t>8319231:eng</t>
        </is>
      </c>
      <c r="AV477" t="inlineStr">
        <is>
          <t>3202905</t>
        </is>
      </c>
      <c r="AW477" t="inlineStr">
        <is>
          <t>991001787789702656</t>
        </is>
      </c>
      <c r="AX477" t="inlineStr">
        <is>
          <t>991001787789702656</t>
        </is>
      </c>
      <c r="AY477" t="inlineStr">
        <is>
          <t>2270558390002656</t>
        </is>
      </c>
      <c r="AZ477" t="inlineStr">
        <is>
          <t>BOOK</t>
        </is>
      </c>
      <c r="BB477" t="inlineStr">
        <is>
          <t>9780070253605</t>
        </is>
      </c>
      <c r="BC477" t="inlineStr">
        <is>
          <t>30001000292609</t>
        </is>
      </c>
      <c r="BD477" t="inlineStr">
        <is>
          <t>893377619</t>
        </is>
      </c>
    </row>
    <row r="478">
      <c r="A478" t="inlineStr">
        <is>
          <t>No</t>
        </is>
      </c>
      <c r="B478" t="inlineStr">
        <is>
          <t>RJ131 .G46 1975</t>
        </is>
      </c>
      <c r="C478" t="inlineStr">
        <is>
          <t>0                      RJ 0131000G  46          1975</t>
        </is>
      </c>
      <c r="D478" t="inlineStr">
        <is>
          <t>Gesell and Amatruda's Developmental diagnosis : the evaluation and management of normal and abnormal neuropsychologic development in infancy and early childhood / editors: Hilda Knobloch [and] Benjamin Pasamanick.</t>
        </is>
      </c>
      <c r="F478" t="inlineStr">
        <is>
          <t>No</t>
        </is>
      </c>
      <c r="G478" t="inlineStr">
        <is>
          <t>1</t>
        </is>
      </c>
      <c r="H478" t="inlineStr">
        <is>
          <t>Yes</t>
        </is>
      </c>
      <c r="I478" t="inlineStr">
        <is>
          <t>No</t>
        </is>
      </c>
      <c r="J478" t="inlineStr">
        <is>
          <t>0</t>
        </is>
      </c>
      <c r="K478" t="inlineStr">
        <is>
          <t>Gesell, Arnold, 1880-1961.</t>
        </is>
      </c>
      <c r="L478" t="inlineStr">
        <is>
          <t>Hagerstown, Md. : Medical Dept., Harper &amp; Row, [1975, c1974]</t>
        </is>
      </c>
      <c r="M478" t="inlineStr">
        <is>
          <t>1975</t>
        </is>
      </c>
      <c r="N478" t="inlineStr">
        <is>
          <t>3d ed., rev. and enl.</t>
        </is>
      </c>
      <c r="O478" t="inlineStr">
        <is>
          <t>eng</t>
        </is>
      </c>
      <c r="P478" t="inlineStr">
        <is>
          <t>mdu</t>
        </is>
      </c>
      <c r="R478" t="inlineStr">
        <is>
          <t xml:space="preserve">RJ </t>
        </is>
      </c>
      <c r="S478" t="n">
        <v>3</v>
      </c>
      <c r="T478" t="n">
        <v>5</v>
      </c>
      <c r="U478" t="inlineStr">
        <is>
          <t>2000-04-17</t>
        </is>
      </c>
      <c r="V478" t="inlineStr">
        <is>
          <t>2000-04-17</t>
        </is>
      </c>
      <c r="W478" t="inlineStr">
        <is>
          <t>1988-06-08</t>
        </is>
      </c>
      <c r="X478" t="inlineStr">
        <is>
          <t>1992-04-23</t>
        </is>
      </c>
      <c r="Y478" t="n">
        <v>422</v>
      </c>
      <c r="Z478" t="n">
        <v>378</v>
      </c>
      <c r="AA478" t="n">
        <v>388</v>
      </c>
      <c r="AB478" t="n">
        <v>5</v>
      </c>
      <c r="AC478" t="n">
        <v>6</v>
      </c>
      <c r="AD478" t="n">
        <v>15</v>
      </c>
      <c r="AE478" t="n">
        <v>16</v>
      </c>
      <c r="AF478" t="n">
        <v>5</v>
      </c>
      <c r="AG478" t="n">
        <v>5</v>
      </c>
      <c r="AH478" t="n">
        <v>2</v>
      </c>
      <c r="AI478" t="n">
        <v>2</v>
      </c>
      <c r="AJ478" t="n">
        <v>8</v>
      </c>
      <c r="AK478" t="n">
        <v>8</v>
      </c>
      <c r="AL478" t="n">
        <v>2</v>
      </c>
      <c r="AM478" t="n">
        <v>3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HYPERLINK("http://catalog.hathitrust.org/Record/000014613","HathiTrust Record")</f>
        <v/>
      </c>
      <c r="AS478">
        <f>HYPERLINK("https://creighton-primo.hosted.exlibrisgroup.com/primo-explore/search?tab=default_tab&amp;search_scope=EVERYTHING&amp;vid=01CRU&amp;lang=en_US&amp;offset=0&amp;query=any,contains,991001772339702656","Catalog Record")</f>
        <v/>
      </c>
      <c r="AT478">
        <f>HYPERLINK("http://www.worldcat.org/oclc/915846","WorldCat Record")</f>
        <v/>
      </c>
      <c r="AU478" t="inlineStr">
        <is>
          <t>3856507841:eng</t>
        </is>
      </c>
      <c r="AV478" t="inlineStr">
        <is>
          <t>915846</t>
        </is>
      </c>
      <c r="AW478" t="inlineStr">
        <is>
          <t>991001772339702656</t>
        </is>
      </c>
      <c r="AX478" t="inlineStr">
        <is>
          <t>991001772339702656</t>
        </is>
      </c>
      <c r="AY478" t="inlineStr">
        <is>
          <t>2264793500002656</t>
        </is>
      </c>
      <c r="AZ478" t="inlineStr">
        <is>
          <t>BOOK</t>
        </is>
      </c>
      <c r="BB478" t="inlineStr">
        <is>
          <t>9780061414381</t>
        </is>
      </c>
      <c r="BC478" t="inlineStr">
        <is>
          <t>30001000150898</t>
        </is>
      </c>
      <c r="BD478" t="inlineStr">
        <is>
          <t>893370049</t>
        </is>
      </c>
    </row>
    <row r="479">
      <c r="A479" t="inlineStr">
        <is>
          <t>No</t>
        </is>
      </c>
      <c r="B479" t="inlineStr">
        <is>
          <t>RJ138 .D48 1981, v...</t>
        </is>
      </c>
      <c r="C479" t="inlineStr">
        <is>
          <t>0                      RJ 0138000D  48          1981                                        v...</t>
        </is>
      </c>
      <c r="D479" t="inlineStr">
        <is>
          <t>Developmental programming for infants and young children / D. Sue Schafer and Martha S. Moersch, editors.</t>
        </is>
      </c>
      <c r="E479" t="inlineStr">
        <is>
          <t>V. 1</t>
        </is>
      </c>
      <c r="F479" t="inlineStr">
        <is>
          <t>Yes</t>
        </is>
      </c>
      <c r="G479" t="inlineStr">
        <is>
          <t>1</t>
        </is>
      </c>
      <c r="H479" t="inlineStr">
        <is>
          <t>Yes</t>
        </is>
      </c>
      <c r="I479" t="inlineStr">
        <is>
          <t>No</t>
        </is>
      </c>
      <c r="J479" t="inlineStr">
        <is>
          <t>0</t>
        </is>
      </c>
      <c r="L479" t="inlineStr">
        <is>
          <t>Ann Arbor : University of Michigan Press, c1981-</t>
        </is>
      </c>
      <c r="M479" t="inlineStr">
        <is>
          <t>1981</t>
        </is>
      </c>
      <c r="N479" t="inlineStr">
        <is>
          <t>Rev. ed.</t>
        </is>
      </c>
      <c r="O479" t="inlineStr">
        <is>
          <t>eng</t>
        </is>
      </c>
      <c r="P479" t="inlineStr">
        <is>
          <t>miu</t>
        </is>
      </c>
      <c r="R479" t="inlineStr">
        <is>
          <t xml:space="preserve">RJ </t>
        </is>
      </c>
      <c r="S479" t="n">
        <v>4</v>
      </c>
      <c r="T479" t="n">
        <v>19</v>
      </c>
      <c r="U479" t="inlineStr">
        <is>
          <t>2008-01-08</t>
        </is>
      </c>
      <c r="V479" t="inlineStr">
        <is>
          <t>2008-01-08</t>
        </is>
      </c>
      <c r="W479" t="inlineStr">
        <is>
          <t>1987-12-31</t>
        </is>
      </c>
      <c r="X479" t="inlineStr">
        <is>
          <t>1993-02-24</t>
        </is>
      </c>
      <c r="Y479" t="n">
        <v>111</v>
      </c>
      <c r="Z479" t="n">
        <v>86</v>
      </c>
      <c r="AA479" t="n">
        <v>202</v>
      </c>
      <c r="AB479" t="n">
        <v>3</v>
      </c>
      <c r="AC479" t="n">
        <v>5</v>
      </c>
      <c r="AD479" t="n">
        <v>3</v>
      </c>
      <c r="AE479" t="n">
        <v>9</v>
      </c>
      <c r="AF479" t="n">
        <v>0</v>
      </c>
      <c r="AG479" t="n">
        <v>0</v>
      </c>
      <c r="AH479" t="n">
        <v>1</v>
      </c>
      <c r="AI479" t="n">
        <v>2</v>
      </c>
      <c r="AJ479" t="n">
        <v>2</v>
      </c>
      <c r="AK479" t="n">
        <v>5</v>
      </c>
      <c r="AL479" t="n">
        <v>1</v>
      </c>
      <c r="AM479" t="n">
        <v>3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HYPERLINK("http://catalog.hathitrust.org/Record/000268203","HathiTrust Record")</f>
        <v/>
      </c>
      <c r="AS479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79">
        <f>HYPERLINK("http://www.worldcat.org/oclc/7930984","WorldCat Record")</f>
        <v/>
      </c>
      <c r="AU479" t="inlineStr">
        <is>
          <t>1074696078:eng</t>
        </is>
      </c>
      <c r="AV479" t="inlineStr">
        <is>
          <t>7930984</t>
        </is>
      </c>
      <c r="AW479" t="inlineStr">
        <is>
          <t>991001784719702656</t>
        </is>
      </c>
      <c r="AX479" t="inlineStr">
        <is>
          <t>991001784719702656</t>
        </is>
      </c>
      <c r="AY479" t="inlineStr">
        <is>
          <t>2270968460002656</t>
        </is>
      </c>
      <c r="AZ479" t="inlineStr">
        <is>
          <t>BOOK</t>
        </is>
      </c>
      <c r="BB479" t="inlineStr">
        <is>
          <t>9780472081417</t>
        </is>
      </c>
      <c r="BC479" t="inlineStr">
        <is>
          <t>30001000267262</t>
        </is>
      </c>
      <c r="BD479" t="inlineStr">
        <is>
          <t>893168901</t>
        </is>
      </c>
    </row>
    <row r="480">
      <c r="A480" t="inlineStr">
        <is>
          <t>No</t>
        </is>
      </c>
      <c r="B480" t="inlineStr">
        <is>
          <t>RJ138 .D48 1981, v...</t>
        </is>
      </c>
      <c r="C480" t="inlineStr">
        <is>
          <t>0                      RJ 0138000D  48          1981                                        v...</t>
        </is>
      </c>
      <c r="D480" t="inlineStr">
        <is>
          <t>Developmental programming for infants and young children / D. Sue Schafer and Martha S. Moersch, editors.</t>
        </is>
      </c>
      <c r="E480" t="inlineStr">
        <is>
          <t>V. 2</t>
        </is>
      </c>
      <c r="F480" t="inlineStr">
        <is>
          <t>Yes</t>
        </is>
      </c>
      <c r="G480" t="inlineStr">
        <is>
          <t>1</t>
        </is>
      </c>
      <c r="H480" t="inlineStr">
        <is>
          <t>Yes</t>
        </is>
      </c>
      <c r="I480" t="inlineStr">
        <is>
          <t>No</t>
        </is>
      </c>
      <c r="J480" t="inlineStr">
        <is>
          <t>0</t>
        </is>
      </c>
      <c r="L480" t="inlineStr">
        <is>
          <t>Ann Arbor : University of Michigan Press, c1981-</t>
        </is>
      </c>
      <c r="M480" t="inlineStr">
        <is>
          <t>1981</t>
        </is>
      </c>
      <c r="N480" t="inlineStr">
        <is>
          <t>Rev. ed.</t>
        </is>
      </c>
      <c r="O480" t="inlineStr">
        <is>
          <t>eng</t>
        </is>
      </c>
      <c r="P480" t="inlineStr">
        <is>
          <t>miu</t>
        </is>
      </c>
      <c r="R480" t="inlineStr">
        <is>
          <t xml:space="preserve">RJ </t>
        </is>
      </c>
      <c r="S480" t="n">
        <v>1</v>
      </c>
      <c r="T480" t="n">
        <v>19</v>
      </c>
      <c r="U480" t="inlineStr">
        <is>
          <t>2003-02-11</t>
        </is>
      </c>
      <c r="V480" t="inlineStr">
        <is>
          <t>2008-01-08</t>
        </is>
      </c>
      <c r="W480" t="inlineStr">
        <is>
          <t>1988-01-08</t>
        </is>
      </c>
      <c r="X480" t="inlineStr">
        <is>
          <t>1993-02-24</t>
        </is>
      </c>
      <c r="Y480" t="n">
        <v>111</v>
      </c>
      <c r="Z480" t="n">
        <v>86</v>
      </c>
      <c r="AA480" t="n">
        <v>202</v>
      </c>
      <c r="AB480" t="n">
        <v>3</v>
      </c>
      <c r="AC480" t="n">
        <v>5</v>
      </c>
      <c r="AD480" t="n">
        <v>3</v>
      </c>
      <c r="AE480" t="n">
        <v>9</v>
      </c>
      <c r="AF480" t="n">
        <v>0</v>
      </c>
      <c r="AG480" t="n">
        <v>0</v>
      </c>
      <c r="AH480" t="n">
        <v>1</v>
      </c>
      <c r="AI480" t="n">
        <v>2</v>
      </c>
      <c r="AJ480" t="n">
        <v>2</v>
      </c>
      <c r="AK480" t="n">
        <v>5</v>
      </c>
      <c r="AL480" t="n">
        <v>1</v>
      </c>
      <c r="AM480" t="n">
        <v>3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HYPERLINK("http://catalog.hathitrust.org/Record/000268203","HathiTrust Record")</f>
        <v/>
      </c>
      <c r="AS480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80">
        <f>HYPERLINK("http://www.worldcat.org/oclc/7930984","WorldCat Record")</f>
        <v/>
      </c>
      <c r="AU480" t="inlineStr">
        <is>
          <t>1074696078:eng</t>
        </is>
      </c>
      <c r="AV480" t="inlineStr">
        <is>
          <t>7930984</t>
        </is>
      </c>
      <c r="AW480" t="inlineStr">
        <is>
          <t>991001784719702656</t>
        </is>
      </c>
      <c r="AX480" t="inlineStr">
        <is>
          <t>991001784719702656</t>
        </is>
      </c>
      <c r="AY480" t="inlineStr">
        <is>
          <t>2270968460002656</t>
        </is>
      </c>
      <c r="AZ480" t="inlineStr">
        <is>
          <t>BOOK</t>
        </is>
      </c>
      <c r="BB480" t="inlineStr">
        <is>
          <t>9780472081417</t>
        </is>
      </c>
      <c r="BC480" t="inlineStr">
        <is>
          <t>30001000267270</t>
        </is>
      </c>
      <c r="BD480" t="inlineStr">
        <is>
          <t>893163027</t>
        </is>
      </c>
    </row>
    <row r="481">
      <c r="A481" t="inlineStr">
        <is>
          <t>No</t>
        </is>
      </c>
      <c r="B481" t="inlineStr">
        <is>
          <t>RJ138 .D48 1981, v...</t>
        </is>
      </c>
      <c r="C481" t="inlineStr">
        <is>
          <t>0                      RJ 0138000D  48          1981                                        v...</t>
        </is>
      </c>
      <c r="D481" t="inlineStr">
        <is>
          <t>Developmental programming for infants and young children / D. Sue Schafer and Martha S. Moersch, editors.</t>
        </is>
      </c>
      <c r="E481" t="inlineStr">
        <is>
          <t>V. 3</t>
        </is>
      </c>
      <c r="F481" t="inlineStr">
        <is>
          <t>Yes</t>
        </is>
      </c>
      <c r="G481" t="inlineStr">
        <is>
          <t>1</t>
        </is>
      </c>
      <c r="H481" t="inlineStr">
        <is>
          <t>Yes</t>
        </is>
      </c>
      <c r="I481" t="inlineStr">
        <is>
          <t>No</t>
        </is>
      </c>
      <c r="J481" t="inlineStr">
        <is>
          <t>0</t>
        </is>
      </c>
      <c r="L481" t="inlineStr">
        <is>
          <t>Ann Arbor : University of Michigan Press, c1981-</t>
        </is>
      </c>
      <c r="M481" t="inlineStr">
        <is>
          <t>1981</t>
        </is>
      </c>
      <c r="N481" t="inlineStr">
        <is>
          <t>Rev. ed.</t>
        </is>
      </c>
      <c r="O481" t="inlineStr">
        <is>
          <t>eng</t>
        </is>
      </c>
      <c r="P481" t="inlineStr">
        <is>
          <t>miu</t>
        </is>
      </c>
      <c r="R481" t="inlineStr">
        <is>
          <t xml:space="preserve">RJ </t>
        </is>
      </c>
      <c r="S481" t="n">
        <v>6</v>
      </c>
      <c r="T481" t="n">
        <v>19</v>
      </c>
      <c r="U481" t="inlineStr">
        <is>
          <t>1997-11-10</t>
        </is>
      </c>
      <c r="V481" t="inlineStr">
        <is>
          <t>2008-01-08</t>
        </is>
      </c>
      <c r="W481" t="inlineStr">
        <is>
          <t>1988-01-08</t>
        </is>
      </c>
      <c r="X481" t="inlineStr">
        <is>
          <t>1993-02-24</t>
        </is>
      </c>
      <c r="Y481" t="n">
        <v>111</v>
      </c>
      <c r="Z481" t="n">
        <v>86</v>
      </c>
      <c r="AA481" t="n">
        <v>202</v>
      </c>
      <c r="AB481" t="n">
        <v>3</v>
      </c>
      <c r="AC481" t="n">
        <v>5</v>
      </c>
      <c r="AD481" t="n">
        <v>3</v>
      </c>
      <c r="AE481" t="n">
        <v>9</v>
      </c>
      <c r="AF481" t="n">
        <v>0</v>
      </c>
      <c r="AG481" t="n">
        <v>0</v>
      </c>
      <c r="AH481" t="n">
        <v>1</v>
      </c>
      <c r="AI481" t="n">
        <v>2</v>
      </c>
      <c r="AJ481" t="n">
        <v>2</v>
      </c>
      <c r="AK481" t="n">
        <v>5</v>
      </c>
      <c r="AL481" t="n">
        <v>1</v>
      </c>
      <c r="AM481" t="n">
        <v>3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HYPERLINK("http://catalog.hathitrust.org/Record/000268203","HathiTrust Record")</f>
        <v/>
      </c>
      <c r="AS481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81">
        <f>HYPERLINK("http://www.worldcat.org/oclc/7930984","WorldCat Record")</f>
        <v/>
      </c>
      <c r="AU481" t="inlineStr">
        <is>
          <t>1074696078:eng</t>
        </is>
      </c>
      <c r="AV481" t="inlineStr">
        <is>
          <t>7930984</t>
        </is>
      </c>
      <c r="AW481" t="inlineStr">
        <is>
          <t>991001784719702656</t>
        </is>
      </c>
      <c r="AX481" t="inlineStr">
        <is>
          <t>991001784719702656</t>
        </is>
      </c>
      <c r="AY481" t="inlineStr">
        <is>
          <t>2270968460002656</t>
        </is>
      </c>
      <c r="AZ481" t="inlineStr">
        <is>
          <t>BOOK</t>
        </is>
      </c>
      <c r="BB481" t="inlineStr">
        <is>
          <t>9780472081417</t>
        </is>
      </c>
      <c r="BC481" t="inlineStr">
        <is>
          <t>30001000267288</t>
        </is>
      </c>
      <c r="BD481" t="inlineStr">
        <is>
          <t>893163026</t>
        </is>
      </c>
    </row>
    <row r="482">
      <c r="A482" t="inlineStr">
        <is>
          <t>No</t>
        </is>
      </c>
      <c r="B482" t="inlineStr">
        <is>
          <t>RJ138 .W43</t>
        </is>
      </c>
      <c r="C482" t="inlineStr">
        <is>
          <t>0                      RJ 0138000W  43</t>
        </is>
      </c>
      <c r="D482" t="inlineStr">
        <is>
          <t>Who shall live? : The dilemma of severely handicapped children and its meaning for other moral questions / Leonard J. Weber.</t>
        </is>
      </c>
      <c r="F482" t="inlineStr">
        <is>
          <t>No</t>
        </is>
      </c>
      <c r="G482" t="inlineStr">
        <is>
          <t>1</t>
        </is>
      </c>
      <c r="H482" t="inlineStr">
        <is>
          <t>Yes</t>
        </is>
      </c>
      <c r="I482" t="inlineStr">
        <is>
          <t>No</t>
        </is>
      </c>
      <c r="J482" t="inlineStr">
        <is>
          <t>0</t>
        </is>
      </c>
      <c r="K482" t="inlineStr">
        <is>
          <t>Weber, Leonard J., 1942-</t>
        </is>
      </c>
      <c r="L482" t="inlineStr">
        <is>
          <t>New York : Paulist Press, c1976.</t>
        </is>
      </c>
      <c r="M482" t="inlineStr">
        <is>
          <t>1976</t>
        </is>
      </c>
      <c r="O482" t="inlineStr">
        <is>
          <t>eng</t>
        </is>
      </c>
      <c r="P482" t="inlineStr">
        <is>
          <t>nyu</t>
        </is>
      </c>
      <c r="Q482" t="inlineStr">
        <is>
          <t>An Exploration book</t>
        </is>
      </c>
      <c r="R482" t="inlineStr">
        <is>
          <t xml:space="preserve">RJ </t>
        </is>
      </c>
      <c r="S482" t="n">
        <v>11</v>
      </c>
      <c r="T482" t="n">
        <v>17</v>
      </c>
      <c r="U482" t="inlineStr">
        <is>
          <t>1998-06-03</t>
        </is>
      </c>
      <c r="V482" t="inlineStr">
        <is>
          <t>2004-08-05</t>
        </is>
      </c>
      <c r="W482" t="inlineStr">
        <is>
          <t>1987-12-19</t>
        </is>
      </c>
      <c r="X482" t="inlineStr">
        <is>
          <t>1991-12-13</t>
        </is>
      </c>
      <c r="Y482" t="n">
        <v>359</v>
      </c>
      <c r="Z482" t="n">
        <v>309</v>
      </c>
      <c r="AA482" t="n">
        <v>314</v>
      </c>
      <c r="AB482" t="n">
        <v>3</v>
      </c>
      <c r="AC482" t="n">
        <v>3</v>
      </c>
      <c r="AD482" t="n">
        <v>22</v>
      </c>
      <c r="AE482" t="n">
        <v>22</v>
      </c>
      <c r="AF482" t="n">
        <v>9</v>
      </c>
      <c r="AG482" t="n">
        <v>9</v>
      </c>
      <c r="AH482" t="n">
        <v>2</v>
      </c>
      <c r="AI482" t="n">
        <v>2</v>
      </c>
      <c r="AJ482" t="n">
        <v>15</v>
      </c>
      <c r="AK482" t="n">
        <v>15</v>
      </c>
      <c r="AL482" t="n">
        <v>1</v>
      </c>
      <c r="AM482" t="n">
        <v>1</v>
      </c>
      <c r="AN482" t="n">
        <v>2</v>
      </c>
      <c r="AO482" t="n">
        <v>2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HYPERLINK("https://creighton-primo.hosted.exlibrisgroup.com/primo-explore/search?tab=default_tab&amp;search_scope=EVERYTHING&amp;vid=01CRU&amp;lang=en_US&amp;offset=0&amp;query=any,contains,991001805749702656","Catalog Record")</f>
        <v/>
      </c>
      <c r="AT482">
        <f>HYPERLINK("http://www.worldcat.org/oclc/2660101","WorldCat Record")</f>
        <v/>
      </c>
      <c r="AU482" t="inlineStr">
        <is>
          <t>1102282460:eng</t>
        </is>
      </c>
      <c r="AV482" t="inlineStr">
        <is>
          <t>2660101</t>
        </is>
      </c>
      <c r="AW482" t="inlineStr">
        <is>
          <t>991001805749702656</t>
        </is>
      </c>
      <c r="AX482" t="inlineStr">
        <is>
          <t>991001805749702656</t>
        </is>
      </c>
      <c r="AY482" t="inlineStr">
        <is>
          <t>2261972910002656</t>
        </is>
      </c>
      <c r="AZ482" t="inlineStr">
        <is>
          <t>BOOK</t>
        </is>
      </c>
      <c r="BB482" t="inlineStr">
        <is>
          <t>9780809119684</t>
        </is>
      </c>
      <c r="BC482" t="inlineStr">
        <is>
          <t>30001000635484</t>
        </is>
      </c>
      <c r="BD482" t="inlineStr">
        <is>
          <t>893274610</t>
        </is>
      </c>
    </row>
    <row r="483">
      <c r="A483" t="inlineStr">
        <is>
          <t>No</t>
        </is>
      </c>
      <c r="B483" t="inlineStr">
        <is>
          <t>RJ242 .P73 1983</t>
        </is>
      </c>
      <c r="C483" t="inlineStr">
        <is>
          <t>0                      RJ 0242000P  73          1983</t>
        </is>
      </c>
      <c r="D483" t="inlineStr">
        <is>
          <t>Preparation of young healthy children for possible hospitalization : the issues / edited by Pat Azarnoff.</t>
        </is>
      </c>
      <c r="F483" t="inlineStr">
        <is>
          <t>No</t>
        </is>
      </c>
      <c r="G483" t="inlineStr">
        <is>
          <t>1</t>
        </is>
      </c>
      <c r="H483" t="inlineStr">
        <is>
          <t>Yes</t>
        </is>
      </c>
      <c r="I483" t="inlineStr">
        <is>
          <t>No</t>
        </is>
      </c>
      <c r="J483" t="inlineStr">
        <is>
          <t>0</t>
        </is>
      </c>
      <c r="L483" t="inlineStr">
        <is>
          <t>Santa Monica, CA : Pediatric Projects, c1983.</t>
        </is>
      </c>
      <c r="M483" t="inlineStr">
        <is>
          <t>1983</t>
        </is>
      </c>
      <c r="O483" t="inlineStr">
        <is>
          <t>eng</t>
        </is>
      </c>
      <c r="P483" t="inlineStr">
        <is>
          <t>cau</t>
        </is>
      </c>
      <c r="Q483" t="inlineStr">
        <is>
          <t>Monograph (Pediatric Projects Inc.) ; no. 1</t>
        </is>
      </c>
      <c r="R483" t="inlineStr">
        <is>
          <t xml:space="preserve">RJ </t>
        </is>
      </c>
      <c r="S483" t="n">
        <v>1</v>
      </c>
      <c r="T483" t="n">
        <v>3</v>
      </c>
      <c r="V483" t="inlineStr">
        <is>
          <t>2008-02-25</t>
        </is>
      </c>
      <c r="W483" t="inlineStr">
        <is>
          <t>1988-01-03</t>
        </is>
      </c>
      <c r="X483" t="inlineStr">
        <is>
          <t>1993-02-24</t>
        </is>
      </c>
      <c r="Y483" t="n">
        <v>48</v>
      </c>
      <c r="Z483" t="n">
        <v>42</v>
      </c>
      <c r="AA483" t="n">
        <v>44</v>
      </c>
      <c r="AB483" t="n">
        <v>2</v>
      </c>
      <c r="AC483" t="n">
        <v>2</v>
      </c>
      <c r="AD483" t="n">
        <v>1</v>
      </c>
      <c r="AE483" t="n">
        <v>1</v>
      </c>
      <c r="AF483" t="n">
        <v>1</v>
      </c>
      <c r="AG483" t="n">
        <v>1</v>
      </c>
      <c r="AH483" t="n">
        <v>0</v>
      </c>
      <c r="AI483" t="n">
        <v>0</v>
      </c>
      <c r="AJ483" t="n">
        <v>1</v>
      </c>
      <c r="AK483" t="n">
        <v>1</v>
      </c>
      <c r="AL483" t="n">
        <v>0</v>
      </c>
      <c r="AM483" t="n">
        <v>0</v>
      </c>
      <c r="AN483" t="n">
        <v>0</v>
      </c>
      <c r="AO483" t="n">
        <v>0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HYPERLINK("https://creighton-primo.hosted.exlibrisgroup.com/primo-explore/search?tab=default_tab&amp;search_scope=EVERYTHING&amp;vid=01CRU&amp;lang=en_US&amp;offset=0&amp;query=any,contains,991001785159702656","Catalog Record")</f>
        <v/>
      </c>
      <c r="AT483">
        <f>HYPERLINK("http://www.worldcat.org/oclc/9504000","WorldCat Record")</f>
        <v/>
      </c>
      <c r="AU483" t="inlineStr">
        <is>
          <t>5532146786:eng</t>
        </is>
      </c>
      <c r="AV483" t="inlineStr">
        <is>
          <t>9504000</t>
        </is>
      </c>
      <c r="AW483" t="inlineStr">
        <is>
          <t>991001785159702656</t>
        </is>
      </c>
      <c r="AX483" t="inlineStr">
        <is>
          <t>991001785159702656</t>
        </is>
      </c>
      <c r="AY483" t="inlineStr">
        <is>
          <t>2272217500002656</t>
        </is>
      </c>
      <c r="AZ483" t="inlineStr">
        <is>
          <t>BOOK</t>
        </is>
      </c>
      <c r="BB483" t="inlineStr">
        <is>
          <t>9780912599007</t>
        </is>
      </c>
      <c r="BC483" t="inlineStr">
        <is>
          <t>30001000268278</t>
        </is>
      </c>
      <c r="BD483" t="inlineStr">
        <is>
          <t>893466027</t>
        </is>
      </c>
    </row>
    <row r="484">
      <c r="A484" t="inlineStr">
        <is>
          <t>No</t>
        </is>
      </c>
      <c r="B484" t="inlineStr">
        <is>
          <t>RJ245 .A5</t>
        </is>
      </c>
      <c r="C484" t="inlineStr">
        <is>
          <t>0                      RJ 0245000A  5</t>
        </is>
      </c>
      <c r="D484" t="inlineStr">
        <is>
          <t>Workbook for pediatric nurses / Norma J. Anderson.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Anderson, Norma J.</t>
        </is>
      </c>
      <c r="L484" t="inlineStr">
        <is>
          <t>-- St. Louis : Mosby, 1970.</t>
        </is>
      </c>
      <c r="M484" t="inlineStr">
        <is>
          <t>1970</t>
        </is>
      </c>
      <c r="O484" t="inlineStr">
        <is>
          <t>eng</t>
        </is>
      </c>
      <c r="P484" t="inlineStr">
        <is>
          <t>|||</t>
        </is>
      </c>
      <c r="R484" t="inlineStr">
        <is>
          <t xml:space="preserve">RJ </t>
        </is>
      </c>
      <c r="S484" t="n">
        <v>0</v>
      </c>
      <c r="T484" t="n">
        <v>0</v>
      </c>
      <c r="U484" t="inlineStr">
        <is>
          <t>2008-01-08</t>
        </is>
      </c>
      <c r="V484" t="inlineStr">
        <is>
          <t>2008-01-08</t>
        </is>
      </c>
      <c r="W484" t="inlineStr">
        <is>
          <t>1988-01-13</t>
        </is>
      </c>
      <c r="X484" t="inlineStr">
        <is>
          <t>1988-01-13</t>
        </is>
      </c>
      <c r="Y484" t="n">
        <v>31</v>
      </c>
      <c r="Z484" t="n">
        <v>21</v>
      </c>
      <c r="AA484" t="n">
        <v>43</v>
      </c>
      <c r="AB484" t="n">
        <v>1</v>
      </c>
      <c r="AC484" t="n">
        <v>1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0</v>
      </c>
      <c r="AM484" t="n">
        <v>0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HYPERLINK("https://creighton-primo.hosted.exlibrisgroup.com/primo-explore/search?tab=default_tab&amp;search_scope=EVERYTHING&amp;vid=01CRU&amp;lang=en_US&amp;offset=0&amp;query=any,contains,991001031879702656","Catalog Record")</f>
        <v/>
      </c>
      <c r="AT484">
        <f>HYPERLINK("http://www.worldcat.org/oclc/264715","WorldCat Record")</f>
        <v/>
      </c>
      <c r="AU484" t="inlineStr">
        <is>
          <t>2636705:eng</t>
        </is>
      </c>
      <c r="AV484" t="inlineStr">
        <is>
          <t>264715</t>
        </is>
      </c>
      <c r="AW484" t="inlineStr">
        <is>
          <t>991001031879702656</t>
        </is>
      </c>
      <c r="AX484" t="inlineStr">
        <is>
          <t>991001031879702656</t>
        </is>
      </c>
      <c r="AY484" t="inlineStr">
        <is>
          <t>2268018490002656</t>
        </is>
      </c>
      <c r="AZ484" t="inlineStr">
        <is>
          <t>BOOK</t>
        </is>
      </c>
      <c r="BC484" t="inlineStr">
        <is>
          <t>30001000240012</t>
        </is>
      </c>
      <c r="BD484" t="inlineStr">
        <is>
          <t>893552069</t>
        </is>
      </c>
    </row>
    <row r="485">
      <c r="A485" t="inlineStr">
        <is>
          <t>No</t>
        </is>
      </c>
      <c r="B485" t="inlineStr">
        <is>
          <t>RJ245 .H37 1983</t>
        </is>
      </c>
      <c r="C485" t="inlineStr">
        <is>
          <t>0                      RJ 0245000H  37          1983</t>
        </is>
      </c>
      <c r="D485" t="inlineStr">
        <is>
          <t>Health promotion of the child with long-term illness / [edited by] Shirley Steele.</t>
        </is>
      </c>
      <c r="F485" t="inlineStr">
        <is>
          <t>No</t>
        </is>
      </c>
      <c r="G485" t="inlineStr">
        <is>
          <t>1</t>
        </is>
      </c>
      <c r="H485" t="inlineStr">
        <is>
          <t>Yes</t>
        </is>
      </c>
      <c r="I485" t="inlineStr">
        <is>
          <t>No</t>
        </is>
      </c>
      <c r="J485" t="inlineStr">
        <is>
          <t>0</t>
        </is>
      </c>
      <c r="L485" t="inlineStr">
        <is>
          <t>Norwalk, Conn. : Appleton-Century-Crofts, c1983.</t>
        </is>
      </c>
      <c r="M485" t="inlineStr">
        <is>
          <t>1983</t>
        </is>
      </c>
      <c r="N485" t="inlineStr">
        <is>
          <t>3rd ed.</t>
        </is>
      </c>
      <c r="O485" t="inlineStr">
        <is>
          <t>eng</t>
        </is>
      </c>
      <c r="P485" t="inlineStr">
        <is>
          <t>ctu</t>
        </is>
      </c>
      <c r="R485" t="inlineStr">
        <is>
          <t xml:space="preserve">RJ </t>
        </is>
      </c>
      <c r="S485" t="n">
        <v>4</v>
      </c>
      <c r="T485" t="n">
        <v>8</v>
      </c>
      <c r="U485" t="inlineStr">
        <is>
          <t>1998-03-24</t>
        </is>
      </c>
      <c r="V485" t="inlineStr">
        <is>
          <t>1998-03-24</t>
        </is>
      </c>
      <c r="W485" t="inlineStr">
        <is>
          <t>1987-10-24</t>
        </is>
      </c>
      <c r="X485" t="inlineStr">
        <is>
          <t>1992-03-26</t>
        </is>
      </c>
      <c r="Y485" t="n">
        <v>234</v>
      </c>
      <c r="Z485" t="n">
        <v>193</v>
      </c>
      <c r="AA485" t="n">
        <v>195</v>
      </c>
      <c r="AB485" t="n">
        <v>4</v>
      </c>
      <c r="AC485" t="n">
        <v>4</v>
      </c>
      <c r="AD485" t="n">
        <v>5</v>
      </c>
      <c r="AE485" t="n">
        <v>5</v>
      </c>
      <c r="AF485" t="n">
        <v>1</v>
      </c>
      <c r="AG485" t="n">
        <v>1</v>
      </c>
      <c r="AH485" t="n">
        <v>0</v>
      </c>
      <c r="AI485" t="n">
        <v>0</v>
      </c>
      <c r="AJ485" t="n">
        <v>3</v>
      </c>
      <c r="AK485" t="n">
        <v>3</v>
      </c>
      <c r="AL485" t="n">
        <v>1</v>
      </c>
      <c r="AM485" t="n">
        <v>1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HYPERLINK("http://catalog.hathitrust.org/Record/000118642","HathiTrust Record")</f>
        <v/>
      </c>
      <c r="AS485">
        <f>HYPERLINK("https://creighton-primo.hosted.exlibrisgroup.com/primo-explore/search?tab=default_tab&amp;search_scope=EVERYTHING&amp;vid=01CRU&amp;lang=en_US&amp;offset=0&amp;query=any,contains,991001759349702656","Catalog Record")</f>
        <v/>
      </c>
      <c r="AT485">
        <f>HYPERLINK("http://www.worldcat.org/oclc/8866177","WorldCat Record")</f>
        <v/>
      </c>
      <c r="AU485" t="inlineStr">
        <is>
          <t>42754805:eng</t>
        </is>
      </c>
      <c r="AV485" t="inlineStr">
        <is>
          <t>8866177</t>
        </is>
      </c>
      <c r="AW485" t="inlineStr">
        <is>
          <t>991001759349702656</t>
        </is>
      </c>
      <c r="AX485" t="inlineStr">
        <is>
          <t>991001759349702656</t>
        </is>
      </c>
      <c r="AY485" t="inlineStr">
        <is>
          <t>2262478560002656</t>
        </is>
      </c>
      <c r="AZ485" t="inlineStr">
        <is>
          <t>BOOK</t>
        </is>
      </c>
      <c r="BB485" t="inlineStr">
        <is>
          <t>9780838536674</t>
        </is>
      </c>
      <c r="BC485" t="inlineStr">
        <is>
          <t>30001000040610</t>
        </is>
      </c>
      <c r="BD485" t="inlineStr">
        <is>
          <t>893377587</t>
        </is>
      </c>
    </row>
    <row r="486">
      <c r="A486" t="inlineStr">
        <is>
          <t>No</t>
        </is>
      </c>
      <c r="B486" t="inlineStr">
        <is>
          <t>RJ250 .V84</t>
        </is>
      </c>
      <c r="C486" t="inlineStr">
        <is>
          <t>0                      RJ 0250000V  84</t>
        </is>
      </c>
      <c r="D486" t="inlineStr">
        <is>
          <t>Vulnerable infants : a psychosocial dilemma / edited by Jane Linker Schwartz, Lawrence H. Schwartz.</t>
        </is>
      </c>
      <c r="F486" t="inlineStr">
        <is>
          <t>No</t>
        </is>
      </c>
      <c r="G486" t="inlineStr">
        <is>
          <t>1</t>
        </is>
      </c>
      <c r="H486" t="inlineStr">
        <is>
          <t>Yes</t>
        </is>
      </c>
      <c r="I486" t="inlineStr">
        <is>
          <t>No</t>
        </is>
      </c>
      <c r="J486" t="inlineStr">
        <is>
          <t>0</t>
        </is>
      </c>
      <c r="L486" t="inlineStr">
        <is>
          <t>New York : McGraw-Hill, c1977.</t>
        </is>
      </c>
      <c r="M486" t="inlineStr">
        <is>
          <t>1977</t>
        </is>
      </c>
      <c r="O486" t="inlineStr">
        <is>
          <t>eng</t>
        </is>
      </c>
      <c r="P486" t="inlineStr">
        <is>
          <t>nyu</t>
        </is>
      </c>
      <c r="R486" t="inlineStr">
        <is>
          <t xml:space="preserve">RJ </t>
        </is>
      </c>
      <c r="S486" t="n">
        <v>15</v>
      </c>
      <c r="T486" t="n">
        <v>17</v>
      </c>
      <c r="U486" t="inlineStr">
        <is>
          <t>2001-03-26</t>
        </is>
      </c>
      <c r="V486" t="inlineStr">
        <is>
          <t>2001-03-26</t>
        </is>
      </c>
      <c r="W486" t="inlineStr">
        <is>
          <t>1988-01-07</t>
        </is>
      </c>
      <c r="X486" t="inlineStr">
        <is>
          <t>1992-03-13</t>
        </is>
      </c>
      <c r="Y486" t="n">
        <v>314</v>
      </c>
      <c r="Z486" t="n">
        <v>242</v>
      </c>
      <c r="AA486" t="n">
        <v>249</v>
      </c>
      <c r="AB486" t="n">
        <v>3</v>
      </c>
      <c r="AC486" t="n">
        <v>3</v>
      </c>
      <c r="AD486" t="n">
        <v>10</v>
      </c>
      <c r="AE486" t="n">
        <v>10</v>
      </c>
      <c r="AF486" t="n">
        <v>3</v>
      </c>
      <c r="AG486" t="n">
        <v>3</v>
      </c>
      <c r="AH486" t="n">
        <v>2</v>
      </c>
      <c r="AI486" t="n">
        <v>2</v>
      </c>
      <c r="AJ486" t="n">
        <v>6</v>
      </c>
      <c r="AK486" t="n">
        <v>6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HYPERLINK("http://catalog.hathitrust.org/Record/000706777","HathiTrust Record")</f>
        <v/>
      </c>
      <c r="AS486">
        <f>HYPERLINK("https://creighton-primo.hosted.exlibrisgroup.com/primo-explore/search?tab=default_tab&amp;search_scope=EVERYTHING&amp;vid=01CRU&amp;lang=en_US&amp;offset=0&amp;query=any,contains,991001776839702656","Catalog Record")</f>
        <v/>
      </c>
      <c r="AT486">
        <f>HYPERLINK("http://www.worldcat.org/oclc/2225056","WorldCat Record")</f>
        <v/>
      </c>
      <c r="AU486" t="inlineStr">
        <is>
          <t>894521366:eng</t>
        </is>
      </c>
      <c r="AV486" t="inlineStr">
        <is>
          <t>2225056</t>
        </is>
      </c>
      <c r="AW486" t="inlineStr">
        <is>
          <t>991001776839702656</t>
        </is>
      </c>
      <c r="AX486" t="inlineStr">
        <is>
          <t>991001776839702656</t>
        </is>
      </c>
      <c r="AY486" t="inlineStr">
        <is>
          <t>2259192570002656</t>
        </is>
      </c>
      <c r="AZ486" t="inlineStr">
        <is>
          <t>BOOK</t>
        </is>
      </c>
      <c r="BB486" t="inlineStr">
        <is>
          <t>9780070557642</t>
        </is>
      </c>
      <c r="BC486" t="inlineStr">
        <is>
          <t>30001000850349</t>
        </is>
      </c>
      <c r="BD486" t="inlineStr">
        <is>
          <t>893375253</t>
        </is>
      </c>
    </row>
    <row r="487">
      <c r="A487" t="inlineStr">
        <is>
          <t>No</t>
        </is>
      </c>
      <c r="B487" t="inlineStr">
        <is>
          <t>RJ253.5 .P54 2002</t>
        </is>
      </c>
      <c r="C487" t="inlineStr">
        <is>
          <t>0                      RJ 0253500P  54          2002</t>
        </is>
      </c>
      <c r="D487" t="inlineStr">
        <is>
          <t>When the bough breaks : parental perceptions of ethical decision-making in NICU / Winifred J. Ellenchild Pinch.</t>
        </is>
      </c>
      <c r="F487" t="inlineStr">
        <is>
          <t>No</t>
        </is>
      </c>
      <c r="G487" t="inlineStr">
        <is>
          <t>1</t>
        </is>
      </c>
      <c r="H487" t="inlineStr">
        <is>
          <t>Yes</t>
        </is>
      </c>
      <c r="I487" t="inlineStr">
        <is>
          <t>No</t>
        </is>
      </c>
      <c r="J487" t="inlineStr">
        <is>
          <t>0</t>
        </is>
      </c>
      <c r="K487" t="inlineStr">
        <is>
          <t>Pinch, Winifred.</t>
        </is>
      </c>
      <c r="L487" t="inlineStr">
        <is>
          <t>Lanham, Md. : University Press of America, c2002.</t>
        </is>
      </c>
      <c r="M487" t="inlineStr">
        <is>
          <t>2002</t>
        </is>
      </c>
      <c r="O487" t="inlineStr">
        <is>
          <t>eng</t>
        </is>
      </c>
      <c r="P487" t="inlineStr">
        <is>
          <t>mdu</t>
        </is>
      </c>
      <c r="R487" t="inlineStr">
        <is>
          <t xml:space="preserve">RJ </t>
        </is>
      </c>
      <c r="S487" t="n">
        <v>5</v>
      </c>
      <c r="T487" t="n">
        <v>9</v>
      </c>
      <c r="U487" t="inlineStr">
        <is>
          <t>2007-02-27</t>
        </is>
      </c>
      <c r="V487" t="inlineStr">
        <is>
          <t>2007-02-27</t>
        </is>
      </c>
      <c r="W487" t="inlineStr">
        <is>
          <t>2003-02-18</t>
        </is>
      </c>
      <c r="X487" t="inlineStr">
        <is>
          <t>2003-02-18</t>
        </is>
      </c>
      <c r="Y487" t="n">
        <v>100</v>
      </c>
      <c r="Z487" t="n">
        <v>79</v>
      </c>
      <c r="AA487" t="n">
        <v>79</v>
      </c>
      <c r="AB487" t="n">
        <v>3</v>
      </c>
      <c r="AC487" t="n">
        <v>3</v>
      </c>
      <c r="AD487" t="n">
        <v>7</v>
      </c>
      <c r="AE487" t="n">
        <v>7</v>
      </c>
      <c r="AF487" t="n">
        <v>1</v>
      </c>
      <c r="AG487" t="n">
        <v>1</v>
      </c>
      <c r="AH487" t="n">
        <v>1</v>
      </c>
      <c r="AI487" t="n">
        <v>1</v>
      </c>
      <c r="AJ487" t="n">
        <v>4</v>
      </c>
      <c r="AK487" t="n">
        <v>4</v>
      </c>
      <c r="AL487" t="n">
        <v>2</v>
      </c>
      <c r="AM487" t="n">
        <v>2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HYPERLINK("https://creighton-primo.hosted.exlibrisgroup.com/primo-explore/search?tab=default_tab&amp;search_scope=EVERYTHING&amp;vid=01CRU&amp;lang=en_US&amp;offset=0&amp;query=any,contains,991001716319702656","Catalog Record")</f>
        <v/>
      </c>
      <c r="AT487">
        <f>HYPERLINK("http://www.worldcat.org/oclc/49679803","WorldCat Record")</f>
        <v/>
      </c>
      <c r="AU487" t="inlineStr">
        <is>
          <t>891567228:eng</t>
        </is>
      </c>
      <c r="AV487" t="inlineStr">
        <is>
          <t>49679803</t>
        </is>
      </c>
      <c r="AW487" t="inlineStr">
        <is>
          <t>991001716319702656</t>
        </is>
      </c>
      <c r="AX487" t="inlineStr">
        <is>
          <t>991001716319702656</t>
        </is>
      </c>
      <c r="AY487" t="inlineStr">
        <is>
          <t>2264147340002656</t>
        </is>
      </c>
      <c r="AZ487" t="inlineStr">
        <is>
          <t>BOOK</t>
        </is>
      </c>
      <c r="BB487" t="inlineStr">
        <is>
          <t>9780761823162</t>
        </is>
      </c>
      <c r="BC487" t="inlineStr">
        <is>
          <t>30001004502177</t>
        </is>
      </c>
      <c r="BD487" t="inlineStr">
        <is>
          <t>893274407</t>
        </is>
      </c>
    </row>
    <row r="488">
      <c r="A488" t="inlineStr">
        <is>
          <t>No</t>
        </is>
      </c>
      <c r="B488" t="inlineStr">
        <is>
          <t>RJ253.5 .W44 1984</t>
        </is>
      </c>
      <c r="C488" t="inlineStr">
        <is>
          <t>0                      RJ 0253500W  44          1984</t>
        </is>
      </c>
      <c r="D488" t="inlineStr">
        <is>
          <t>Selective nontreatment of handicapped newborns : moral dilemmas in neonatal medicine / Robert F. Weir.</t>
        </is>
      </c>
      <c r="F488" t="inlineStr">
        <is>
          <t>No</t>
        </is>
      </c>
      <c r="G488" t="inlineStr">
        <is>
          <t>1</t>
        </is>
      </c>
      <c r="H488" t="inlineStr">
        <is>
          <t>Yes</t>
        </is>
      </c>
      <c r="I488" t="inlineStr">
        <is>
          <t>No</t>
        </is>
      </c>
      <c r="J488" t="inlineStr">
        <is>
          <t>0</t>
        </is>
      </c>
      <c r="K488" t="inlineStr">
        <is>
          <t>Weir, Robert F., 1943-</t>
        </is>
      </c>
      <c r="L488" t="inlineStr">
        <is>
          <t>New York : Oxford University Press, 1984.</t>
        </is>
      </c>
      <c r="M488" t="inlineStr">
        <is>
          <t>1984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RJ </t>
        </is>
      </c>
      <c r="S488" t="n">
        <v>2</v>
      </c>
      <c r="T488" t="n">
        <v>15</v>
      </c>
      <c r="U488" t="inlineStr">
        <is>
          <t>2004-06-28</t>
        </is>
      </c>
      <c r="V488" t="inlineStr">
        <is>
          <t>2004-06-28</t>
        </is>
      </c>
      <c r="W488" t="inlineStr">
        <is>
          <t>1988-01-18</t>
        </is>
      </c>
      <c r="X488" t="inlineStr">
        <is>
          <t>1994-04-29</t>
        </is>
      </c>
      <c r="Y488" t="n">
        <v>1010</v>
      </c>
      <c r="Z488" t="n">
        <v>885</v>
      </c>
      <c r="AA488" t="n">
        <v>893</v>
      </c>
      <c r="AB488" t="n">
        <v>10</v>
      </c>
      <c r="AC488" t="n">
        <v>10</v>
      </c>
      <c r="AD488" t="n">
        <v>50</v>
      </c>
      <c r="AE488" t="n">
        <v>50</v>
      </c>
      <c r="AF488" t="n">
        <v>12</v>
      </c>
      <c r="AG488" t="n">
        <v>12</v>
      </c>
      <c r="AH488" t="n">
        <v>5</v>
      </c>
      <c r="AI488" t="n">
        <v>5</v>
      </c>
      <c r="AJ488" t="n">
        <v>20</v>
      </c>
      <c r="AK488" t="n">
        <v>20</v>
      </c>
      <c r="AL488" t="n">
        <v>4</v>
      </c>
      <c r="AM488" t="n">
        <v>4</v>
      </c>
      <c r="AN488" t="n">
        <v>17</v>
      </c>
      <c r="AO488" t="n">
        <v>17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HYPERLINK("http://catalog.hathitrust.org/Record/000281382","HathiTrust Record")</f>
        <v/>
      </c>
      <c r="AS488">
        <f>HYPERLINK("https://creighton-primo.hosted.exlibrisgroup.com/primo-explore/search?tab=default_tab&amp;search_scope=EVERYTHING&amp;vid=01CRU&amp;lang=en_US&amp;offset=0&amp;query=any,contains,991001626379702656","Catalog Record")</f>
        <v/>
      </c>
      <c r="AT488">
        <f>HYPERLINK("http://www.worldcat.org/oclc/9946318","WorldCat Record")</f>
        <v/>
      </c>
      <c r="AU488" t="inlineStr">
        <is>
          <t>28671036:eng</t>
        </is>
      </c>
      <c r="AV488" t="inlineStr">
        <is>
          <t>9946318</t>
        </is>
      </c>
      <c r="AW488" t="inlineStr">
        <is>
          <t>991001626379702656</t>
        </is>
      </c>
      <c r="AX488" t="inlineStr">
        <is>
          <t>991001626379702656</t>
        </is>
      </c>
      <c r="AY488" t="inlineStr">
        <is>
          <t>2261635470002656</t>
        </is>
      </c>
      <c r="AZ488" t="inlineStr">
        <is>
          <t>BOOK</t>
        </is>
      </c>
      <c r="BB488" t="inlineStr">
        <is>
          <t>9780195033960</t>
        </is>
      </c>
      <c r="BC488" t="inlineStr">
        <is>
          <t>30001000072951</t>
        </is>
      </c>
      <c r="BD488" t="inlineStr">
        <is>
          <t>893162168</t>
        </is>
      </c>
    </row>
    <row r="489">
      <c r="A489" t="inlineStr">
        <is>
          <t>No</t>
        </is>
      </c>
      <c r="B489" t="inlineStr">
        <is>
          <t>RJ255 .W49 1985</t>
        </is>
      </c>
      <c r="C489" t="inlineStr">
        <is>
          <t>0                      RJ 0255000W  49          1985</t>
        </is>
      </c>
      <c r="D489" t="inlineStr">
        <is>
          <t>Which babies shall live? : humanistic dimensions of the care of imperiled newborns / edited by Thomas H. Murray and Arthur L. Caplan.</t>
        </is>
      </c>
      <c r="F489" t="inlineStr">
        <is>
          <t>No</t>
        </is>
      </c>
      <c r="G489" t="inlineStr">
        <is>
          <t>1</t>
        </is>
      </c>
      <c r="H489" t="inlineStr">
        <is>
          <t>Yes</t>
        </is>
      </c>
      <c r="I489" t="inlineStr">
        <is>
          <t>No</t>
        </is>
      </c>
      <c r="J489" t="inlineStr">
        <is>
          <t>0</t>
        </is>
      </c>
      <c r="L489" t="inlineStr">
        <is>
          <t>Clifton, N.J. : Humana Press, c1985.</t>
        </is>
      </c>
      <c r="M489" t="inlineStr">
        <is>
          <t>1985</t>
        </is>
      </c>
      <c r="O489" t="inlineStr">
        <is>
          <t>eng</t>
        </is>
      </c>
      <c r="P489" t="inlineStr">
        <is>
          <t>nju</t>
        </is>
      </c>
      <c r="Q489" t="inlineStr">
        <is>
          <t>Contemporary issues in biomedicine, ethics, and society</t>
        </is>
      </c>
      <c r="R489" t="inlineStr">
        <is>
          <t xml:space="preserve">RJ </t>
        </is>
      </c>
      <c r="S489" t="n">
        <v>16</v>
      </c>
      <c r="T489" t="n">
        <v>26</v>
      </c>
      <c r="U489" t="inlineStr">
        <is>
          <t>2005-10-20</t>
        </is>
      </c>
      <c r="V489" t="inlineStr">
        <is>
          <t>2005-10-20</t>
        </is>
      </c>
      <c r="W489" t="inlineStr">
        <is>
          <t>1987-12-18</t>
        </is>
      </c>
      <c r="X489" t="inlineStr">
        <is>
          <t>1992-04-30</t>
        </is>
      </c>
      <c r="Y489" t="n">
        <v>373</v>
      </c>
      <c r="Z489" t="n">
        <v>321</v>
      </c>
      <c r="AA489" t="n">
        <v>354</v>
      </c>
      <c r="AB489" t="n">
        <v>4</v>
      </c>
      <c r="AC489" t="n">
        <v>4</v>
      </c>
      <c r="AD489" t="n">
        <v>16</v>
      </c>
      <c r="AE489" t="n">
        <v>18</v>
      </c>
      <c r="AF489" t="n">
        <v>3</v>
      </c>
      <c r="AG489" t="n">
        <v>5</v>
      </c>
      <c r="AH489" t="n">
        <v>4</v>
      </c>
      <c r="AI489" t="n">
        <v>5</v>
      </c>
      <c r="AJ489" t="n">
        <v>8</v>
      </c>
      <c r="AK489" t="n">
        <v>9</v>
      </c>
      <c r="AL489" t="n">
        <v>1</v>
      </c>
      <c r="AM489" t="n">
        <v>1</v>
      </c>
      <c r="AN489" t="n">
        <v>2</v>
      </c>
      <c r="AO489" t="n">
        <v>2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HYPERLINK("http://catalog.hathitrust.org/Record/000387494","HathiTrust Record")</f>
        <v/>
      </c>
      <c r="AS489">
        <f>HYPERLINK("https://creighton-primo.hosted.exlibrisgroup.com/primo-explore/search?tab=default_tab&amp;search_scope=EVERYTHING&amp;vid=01CRU&amp;lang=en_US&amp;offset=0&amp;query=any,contains,991001805709702656","Catalog Record")</f>
        <v/>
      </c>
      <c r="AT489">
        <f>HYPERLINK("http://www.worldcat.org/oclc/12370863","WorldCat Record")</f>
        <v/>
      </c>
      <c r="AU489" t="inlineStr">
        <is>
          <t>889389943:eng</t>
        </is>
      </c>
      <c r="AV489" t="inlineStr">
        <is>
          <t>12370863</t>
        </is>
      </c>
      <c r="AW489" t="inlineStr">
        <is>
          <t>991001805709702656</t>
        </is>
      </c>
      <c r="AX489" t="inlineStr">
        <is>
          <t>991001805709702656</t>
        </is>
      </c>
      <c r="AY489" t="inlineStr">
        <is>
          <t>2261443020002656</t>
        </is>
      </c>
      <c r="AZ489" t="inlineStr">
        <is>
          <t>BOOK</t>
        </is>
      </c>
      <c r="BB489" t="inlineStr">
        <is>
          <t>9780896030862</t>
        </is>
      </c>
      <c r="BC489" t="inlineStr">
        <is>
          <t>30001000635500</t>
        </is>
      </c>
      <c r="BD489" t="inlineStr">
        <is>
          <t>893135845</t>
        </is>
      </c>
    </row>
    <row r="490">
      <c r="A490" t="inlineStr">
        <is>
          <t>No</t>
        </is>
      </c>
      <c r="B490" t="inlineStr">
        <is>
          <t>RJ396 .H4</t>
        </is>
      </c>
      <c r="C490" t="inlineStr">
        <is>
          <t>0                      RJ 0396000H  4</t>
        </is>
      </c>
      <c r="D490" t="inlineStr">
        <is>
          <t>Rickets : including osteomalacia and tetany / by Alfred F. Hess.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Hess, Alfred F., 1875-1933.</t>
        </is>
      </c>
      <c r="L490" t="inlineStr">
        <is>
          <t>Philadelphia : Lea &amp; Febiger, c1929.</t>
        </is>
      </c>
      <c r="M490" t="inlineStr">
        <is>
          <t>1929</t>
        </is>
      </c>
      <c r="O490" t="inlineStr">
        <is>
          <t>eng</t>
        </is>
      </c>
      <c r="P490" t="inlineStr">
        <is>
          <t>xxu</t>
        </is>
      </c>
      <c r="R490" t="inlineStr">
        <is>
          <t xml:space="preserve">RJ </t>
        </is>
      </c>
      <c r="S490" t="n">
        <v>0</v>
      </c>
      <c r="T490" t="n">
        <v>0</v>
      </c>
      <c r="U490" t="inlineStr">
        <is>
          <t>2002-09-09</t>
        </is>
      </c>
      <c r="V490" t="inlineStr">
        <is>
          <t>2002-09-09</t>
        </is>
      </c>
      <c r="W490" t="inlineStr">
        <is>
          <t>1987-12-17</t>
        </is>
      </c>
      <c r="X490" t="inlineStr">
        <is>
          <t>1987-12-17</t>
        </is>
      </c>
      <c r="Y490" t="n">
        <v>122</v>
      </c>
      <c r="Z490" t="n">
        <v>104</v>
      </c>
      <c r="AA490" t="n">
        <v>118</v>
      </c>
      <c r="AB490" t="n">
        <v>3</v>
      </c>
      <c r="AC490" t="n">
        <v>3</v>
      </c>
      <c r="AD490" t="n">
        <v>3</v>
      </c>
      <c r="AE490" t="n">
        <v>3</v>
      </c>
      <c r="AF490" t="n">
        <v>0</v>
      </c>
      <c r="AG490" t="n">
        <v>0</v>
      </c>
      <c r="AH490" t="n">
        <v>1</v>
      </c>
      <c r="AI490" t="n">
        <v>1</v>
      </c>
      <c r="AJ490" t="n">
        <v>0</v>
      </c>
      <c r="AK490" t="n">
        <v>0</v>
      </c>
      <c r="AL490" t="n">
        <v>2</v>
      </c>
      <c r="AM490" t="n">
        <v>2</v>
      </c>
      <c r="AN490" t="n">
        <v>0</v>
      </c>
      <c r="AO490" t="n">
        <v>0</v>
      </c>
      <c r="AP490" t="inlineStr">
        <is>
          <t>Yes</t>
        </is>
      </c>
      <c r="AQ490" t="inlineStr">
        <is>
          <t>No</t>
        </is>
      </c>
      <c r="AR490">
        <f>HYPERLINK("http://catalog.hathitrust.org/Record/001570539","HathiTrust Record")</f>
        <v/>
      </c>
      <c r="AS490">
        <f>HYPERLINK("https://creighton-primo.hosted.exlibrisgroup.com/primo-explore/search?tab=default_tab&amp;search_scope=EVERYTHING&amp;vid=01CRU&amp;lang=en_US&amp;offset=0&amp;query=any,contains,991001436239702656","Catalog Record")</f>
        <v/>
      </c>
      <c r="AT490">
        <f>HYPERLINK("http://www.worldcat.org/oclc/1580915","WorldCat Record")</f>
        <v/>
      </c>
      <c r="AU490" t="inlineStr">
        <is>
          <t>2455730:eng</t>
        </is>
      </c>
      <c r="AV490" t="inlineStr">
        <is>
          <t>1580915</t>
        </is>
      </c>
      <c r="AW490" t="inlineStr">
        <is>
          <t>991001436239702656</t>
        </is>
      </c>
      <c r="AX490" t="inlineStr">
        <is>
          <t>991001436239702656</t>
        </is>
      </c>
      <c r="AY490" t="inlineStr">
        <is>
          <t>2270300170002656</t>
        </is>
      </c>
      <c r="AZ490" t="inlineStr">
        <is>
          <t>BOOK</t>
        </is>
      </c>
      <c r="BC490" t="inlineStr">
        <is>
          <t>30001000529117</t>
        </is>
      </c>
      <c r="BD490" t="inlineStr">
        <is>
          <t>893358582</t>
        </is>
      </c>
    </row>
    <row r="491">
      <c r="A491" t="inlineStr">
        <is>
          <t>No</t>
        </is>
      </c>
      <c r="B491" t="inlineStr">
        <is>
          <t>RJ399.C6 C5</t>
        </is>
      </c>
      <c r="C491" t="inlineStr">
        <is>
          <t>0                      RJ 0399000C  6                  C  5</t>
        </is>
      </c>
      <c r="D491" t="inlineStr">
        <is>
          <t>Childhood obesity / Platon J. Collipp, editor ; with contributions by William L. Asher ... [et al.]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Yes</t>
        </is>
      </c>
      <c r="J491" t="inlineStr">
        <is>
          <t>0</t>
        </is>
      </c>
      <c r="L491" t="inlineStr">
        <is>
          <t>-- Acton, Mass. : Publishing Sciences Group, 1975.</t>
        </is>
      </c>
      <c r="M491" t="inlineStr">
        <is>
          <t>1975</t>
        </is>
      </c>
      <c r="O491" t="inlineStr">
        <is>
          <t>eng</t>
        </is>
      </c>
      <c r="P491" t="inlineStr">
        <is>
          <t xml:space="preserve">xx </t>
        </is>
      </c>
      <c r="R491" t="inlineStr">
        <is>
          <t xml:space="preserve">RJ </t>
        </is>
      </c>
      <c r="S491" t="n">
        <v>11</v>
      </c>
      <c r="T491" t="n">
        <v>11</v>
      </c>
      <c r="U491" t="inlineStr">
        <is>
          <t>1997-10-28</t>
        </is>
      </c>
      <c r="V491" t="inlineStr">
        <is>
          <t>1997-10-28</t>
        </is>
      </c>
      <c r="W491" t="inlineStr">
        <is>
          <t>1987-10-30</t>
        </is>
      </c>
      <c r="X491" t="inlineStr">
        <is>
          <t>1987-10-30</t>
        </is>
      </c>
      <c r="Y491" t="n">
        <v>221</v>
      </c>
      <c r="Z491" t="n">
        <v>183</v>
      </c>
      <c r="AA491" t="n">
        <v>299</v>
      </c>
      <c r="AB491" t="n">
        <v>3</v>
      </c>
      <c r="AC491" t="n">
        <v>4</v>
      </c>
      <c r="AD491" t="n">
        <v>4</v>
      </c>
      <c r="AE491" t="n">
        <v>5</v>
      </c>
      <c r="AF491" t="n">
        <v>0</v>
      </c>
      <c r="AG491" t="n">
        <v>0</v>
      </c>
      <c r="AH491" t="n">
        <v>1</v>
      </c>
      <c r="AI491" t="n">
        <v>1</v>
      </c>
      <c r="AJ491" t="n">
        <v>1</v>
      </c>
      <c r="AK491" t="n">
        <v>1</v>
      </c>
      <c r="AL491" t="n">
        <v>2</v>
      </c>
      <c r="AM491" t="n">
        <v>3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HYPERLINK("http://catalog.hathitrust.org/Record/000685501","HathiTrust Record")</f>
        <v/>
      </c>
      <c r="AS491">
        <f>HYPERLINK("https://creighton-primo.hosted.exlibrisgroup.com/primo-explore/search?tab=default_tab&amp;search_scope=EVERYTHING&amp;vid=01CRU&amp;lang=en_US&amp;offset=0&amp;query=any,contains,991001009299702656","Catalog Record")</f>
        <v/>
      </c>
      <c r="AT491">
        <f>HYPERLINK("http://www.worldcat.org/oclc/1844473","WorldCat Record")</f>
        <v/>
      </c>
      <c r="AU491" t="inlineStr">
        <is>
          <t>54300806:eng</t>
        </is>
      </c>
      <c r="AV491" t="inlineStr">
        <is>
          <t>1844473</t>
        </is>
      </c>
      <c r="AW491" t="inlineStr">
        <is>
          <t>991001009299702656</t>
        </is>
      </c>
      <c r="AX491" t="inlineStr">
        <is>
          <t>991001009299702656</t>
        </is>
      </c>
      <c r="AY491" t="inlineStr">
        <is>
          <t>2259654140002656</t>
        </is>
      </c>
      <c r="AZ491" t="inlineStr">
        <is>
          <t>BOOK</t>
        </is>
      </c>
      <c r="BB491" t="inlineStr">
        <is>
          <t>9780884160168</t>
        </is>
      </c>
      <c r="BC491" t="inlineStr">
        <is>
          <t>30001000234973</t>
        </is>
      </c>
      <c r="BD491" t="inlineStr">
        <is>
          <t>893648832</t>
        </is>
      </c>
    </row>
    <row r="492">
      <c r="A492" t="inlineStr">
        <is>
          <t>No</t>
        </is>
      </c>
      <c r="B492" t="inlineStr">
        <is>
          <t>RJ399.M26 M35</t>
        </is>
      </c>
      <c r="C492" t="inlineStr">
        <is>
          <t>0                      RJ 0399000M  26                 M  35</t>
        </is>
      </c>
      <c r="D492" t="inlineStr">
        <is>
          <t>Malnutrition and the immune response / edited by Robert M. Suskind.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-- New York : Raven Press, 1977.</t>
        </is>
      </c>
      <c r="M492" t="inlineStr">
        <is>
          <t>1977</t>
        </is>
      </c>
      <c r="O492" t="inlineStr">
        <is>
          <t>eng</t>
        </is>
      </c>
      <c r="P492" t="inlineStr">
        <is>
          <t>nyu</t>
        </is>
      </c>
      <c r="Q492" t="inlineStr">
        <is>
          <t>Kroc Foundation series ; v. 7</t>
        </is>
      </c>
      <c r="R492" t="inlineStr">
        <is>
          <t xml:space="preserve">RJ </t>
        </is>
      </c>
      <c r="S492" t="n">
        <v>3</v>
      </c>
      <c r="T492" t="n">
        <v>3</v>
      </c>
      <c r="U492" t="inlineStr">
        <is>
          <t>1997-02-16</t>
        </is>
      </c>
      <c r="V492" t="inlineStr">
        <is>
          <t>1997-02-16</t>
        </is>
      </c>
      <c r="W492" t="inlineStr">
        <is>
          <t>1987-10-29</t>
        </is>
      </c>
      <c r="X492" t="inlineStr">
        <is>
          <t>1987-10-29</t>
        </is>
      </c>
      <c r="Y492" t="n">
        <v>251</v>
      </c>
      <c r="Z492" t="n">
        <v>192</v>
      </c>
      <c r="AA492" t="n">
        <v>194</v>
      </c>
      <c r="AB492" t="n">
        <v>2</v>
      </c>
      <c r="AC492" t="n">
        <v>2</v>
      </c>
      <c r="AD492" t="n">
        <v>3</v>
      </c>
      <c r="AE492" t="n">
        <v>3</v>
      </c>
      <c r="AF492" t="n">
        <v>1</v>
      </c>
      <c r="AG492" t="n">
        <v>1</v>
      </c>
      <c r="AH492" t="n">
        <v>1</v>
      </c>
      <c r="AI492" t="n">
        <v>1</v>
      </c>
      <c r="AJ492" t="n">
        <v>1</v>
      </c>
      <c r="AK492" t="n">
        <v>1</v>
      </c>
      <c r="AL492" t="n">
        <v>1</v>
      </c>
      <c r="AM492" t="n">
        <v>1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HYPERLINK("http://catalog.hathitrust.org/Record/000211849","HathiTrust Record")</f>
        <v/>
      </c>
      <c r="AS492">
        <f>HYPERLINK("https://creighton-primo.hosted.exlibrisgroup.com/primo-explore/search?tab=default_tab&amp;search_scope=EVERYTHING&amp;vid=01CRU&amp;lang=en_US&amp;offset=0&amp;query=any,contains,991001007009702656","Catalog Record")</f>
        <v/>
      </c>
      <c r="AT492">
        <f>HYPERLINK("http://www.worldcat.org/oclc/2847721","WorldCat Record")</f>
        <v/>
      </c>
      <c r="AU492" t="inlineStr">
        <is>
          <t>364238510:eng</t>
        </is>
      </c>
      <c r="AV492" t="inlineStr">
        <is>
          <t>2847721</t>
        </is>
      </c>
      <c r="AW492" t="inlineStr">
        <is>
          <t>991001007009702656</t>
        </is>
      </c>
      <c r="AX492" t="inlineStr">
        <is>
          <t>991001007009702656</t>
        </is>
      </c>
      <c r="AY492" t="inlineStr">
        <is>
          <t>2259854580002656</t>
        </is>
      </c>
      <c r="AZ492" t="inlineStr">
        <is>
          <t>BOOK</t>
        </is>
      </c>
      <c r="BB492" t="inlineStr">
        <is>
          <t>9780890040607</t>
        </is>
      </c>
      <c r="BC492" t="inlineStr">
        <is>
          <t>30001000234270</t>
        </is>
      </c>
      <c r="BD492" t="inlineStr">
        <is>
          <t>893450777</t>
        </is>
      </c>
    </row>
    <row r="493">
      <c r="A493" t="inlineStr">
        <is>
          <t>No</t>
        </is>
      </c>
      <c r="B493" t="inlineStr">
        <is>
          <t>RJ496.E6 A67 2004</t>
        </is>
      </c>
      <c r="C493" t="inlineStr">
        <is>
          <t>0                      RJ 0496000E  6                  A  67          2004</t>
        </is>
      </c>
      <c r="D493" t="inlineStr">
        <is>
          <t>Epilepsy in childhood and adolescence / Richard Appleton, John Gibbs.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Yes</t>
        </is>
      </c>
      <c r="J493" t="inlineStr">
        <is>
          <t>0</t>
        </is>
      </c>
      <c r="K493" t="inlineStr">
        <is>
          <t>Appleton, Richard, 1955-</t>
        </is>
      </c>
      <c r="L493" t="inlineStr">
        <is>
          <t>London ; New York : Martin Dunitz ; Independence, KY : Distributed in the USA by Taylor &amp; Francis, c2004.</t>
        </is>
      </c>
      <c r="M493" t="inlineStr">
        <is>
          <t>2004</t>
        </is>
      </c>
      <c r="N493" t="inlineStr">
        <is>
          <t>3rd ed.</t>
        </is>
      </c>
      <c r="O493" t="inlineStr">
        <is>
          <t>eng</t>
        </is>
      </c>
      <c r="P493" t="inlineStr">
        <is>
          <t>enk</t>
        </is>
      </c>
      <c r="R493" t="inlineStr">
        <is>
          <t xml:space="preserve">RJ </t>
        </is>
      </c>
      <c r="S493" t="n">
        <v>0</v>
      </c>
      <c r="T493" t="n">
        <v>0</v>
      </c>
      <c r="U493" t="inlineStr">
        <is>
          <t>2004-09-24</t>
        </is>
      </c>
      <c r="V493" t="inlineStr">
        <is>
          <t>2004-09-24</t>
        </is>
      </c>
      <c r="W493" t="inlineStr">
        <is>
          <t>2004-09-13</t>
        </is>
      </c>
      <c r="X493" t="inlineStr">
        <is>
          <t>2004-09-13</t>
        </is>
      </c>
      <c r="Y493" t="n">
        <v>117</v>
      </c>
      <c r="Z493" t="n">
        <v>65</v>
      </c>
      <c r="AA493" t="n">
        <v>509</v>
      </c>
      <c r="AB493" t="n">
        <v>1</v>
      </c>
      <c r="AC493" t="n">
        <v>27</v>
      </c>
      <c r="AD493" t="n">
        <v>3</v>
      </c>
      <c r="AE493" t="n">
        <v>21</v>
      </c>
      <c r="AF493" t="n">
        <v>1</v>
      </c>
      <c r="AG493" t="n">
        <v>5</v>
      </c>
      <c r="AH493" t="n">
        <v>2</v>
      </c>
      <c r="AI493" t="n">
        <v>3</v>
      </c>
      <c r="AJ493" t="n">
        <v>1</v>
      </c>
      <c r="AK493" t="n">
        <v>3</v>
      </c>
      <c r="AL493" t="n">
        <v>0</v>
      </c>
      <c r="AM493" t="n">
        <v>12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HYPERLINK("https://creighton-primo.hosted.exlibrisgroup.com/primo-explore/search?tab=default_tab&amp;search_scope=EVERYTHING&amp;vid=01CRU&amp;lang=en_US&amp;offset=0&amp;query=any,contains,991000387829702656","Catalog Record")</f>
        <v/>
      </c>
      <c r="AT493">
        <f>HYPERLINK("http://www.worldcat.org/oclc/54914006","WorldCat Record")</f>
        <v/>
      </c>
      <c r="AU493" t="inlineStr">
        <is>
          <t>813298:eng</t>
        </is>
      </c>
      <c r="AV493" t="inlineStr">
        <is>
          <t>54914006</t>
        </is>
      </c>
      <c r="AW493" t="inlineStr">
        <is>
          <t>991000387829702656</t>
        </is>
      </c>
      <c r="AX493" t="inlineStr">
        <is>
          <t>991000387829702656</t>
        </is>
      </c>
      <c r="AY493" t="inlineStr">
        <is>
          <t>2271822640002656</t>
        </is>
      </c>
      <c r="AZ493" t="inlineStr">
        <is>
          <t>BOOK</t>
        </is>
      </c>
      <c r="BB493" t="inlineStr">
        <is>
          <t>9781841843629</t>
        </is>
      </c>
      <c r="BC493" t="inlineStr">
        <is>
          <t>30001004922631</t>
        </is>
      </c>
      <c r="BD493" t="inlineStr">
        <is>
          <t>893109502</t>
        </is>
      </c>
    </row>
    <row r="494">
      <c r="A494" t="inlineStr">
        <is>
          <t>No</t>
        </is>
      </c>
      <c r="B494" t="inlineStr">
        <is>
          <t>RJ496.E6 J27 1983</t>
        </is>
      </c>
      <c r="C494" t="inlineStr">
        <is>
          <t>0                      RJ 0496000E  6                  J  27          1983</t>
        </is>
      </c>
      <c r="D494" t="inlineStr">
        <is>
          <t>Does your child have epilepsy? / by James E. Jan, Robert G. Ziegler, and Giuseppe Erba.</t>
        </is>
      </c>
      <c r="F494" t="inlineStr">
        <is>
          <t>No</t>
        </is>
      </c>
      <c r="G494" t="inlineStr">
        <is>
          <t>1</t>
        </is>
      </c>
      <c r="H494" t="inlineStr">
        <is>
          <t>Yes</t>
        </is>
      </c>
      <c r="I494" t="inlineStr">
        <is>
          <t>No</t>
        </is>
      </c>
      <c r="J494" t="inlineStr">
        <is>
          <t>0</t>
        </is>
      </c>
      <c r="K494" t="inlineStr">
        <is>
          <t>Jan, James E.</t>
        </is>
      </c>
      <c r="L494" t="inlineStr">
        <is>
          <t>Baltimore : University Park Press, c1983.</t>
        </is>
      </c>
      <c r="M494" t="inlineStr">
        <is>
          <t>1982</t>
        </is>
      </c>
      <c r="O494" t="inlineStr">
        <is>
          <t>eng</t>
        </is>
      </c>
      <c r="P494" t="inlineStr">
        <is>
          <t>mdu</t>
        </is>
      </c>
      <c r="R494" t="inlineStr">
        <is>
          <t xml:space="preserve">RJ </t>
        </is>
      </c>
      <c r="S494" t="n">
        <v>9</v>
      </c>
      <c r="T494" t="n">
        <v>10</v>
      </c>
      <c r="U494" t="inlineStr">
        <is>
          <t>1996-03-08</t>
        </is>
      </c>
      <c r="V494" t="inlineStr">
        <is>
          <t>1996-03-08</t>
        </is>
      </c>
      <c r="W494" t="inlineStr">
        <is>
          <t>1987-12-02</t>
        </is>
      </c>
      <c r="X494" t="inlineStr">
        <is>
          <t>1995-03-17</t>
        </is>
      </c>
      <c r="Y494" t="n">
        <v>162</v>
      </c>
      <c r="Z494" t="n">
        <v>142</v>
      </c>
      <c r="AA494" t="n">
        <v>238</v>
      </c>
      <c r="AB494" t="n">
        <v>2</v>
      </c>
      <c r="AC494" t="n">
        <v>2</v>
      </c>
      <c r="AD494" t="n">
        <v>2</v>
      </c>
      <c r="AE494" t="n">
        <v>2</v>
      </c>
      <c r="AF494" t="n">
        <v>2</v>
      </c>
      <c r="AG494" t="n">
        <v>2</v>
      </c>
      <c r="AH494" t="n">
        <v>1</v>
      </c>
      <c r="AI494" t="n">
        <v>1</v>
      </c>
      <c r="AJ494" t="n">
        <v>1</v>
      </c>
      <c r="AK494" t="n">
        <v>1</v>
      </c>
      <c r="AL494" t="n">
        <v>0</v>
      </c>
      <c r="AM494" t="n">
        <v>0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HYPERLINK("https://creighton-primo.hosted.exlibrisgroup.com/primo-explore/search?tab=default_tab&amp;search_scope=EVERYTHING&amp;vid=01CRU&amp;lang=en_US&amp;offset=0&amp;query=any,contains,991001791109702656","Catalog Record")</f>
        <v/>
      </c>
      <c r="AT494">
        <f>HYPERLINK("http://www.worldcat.org/oclc/8763040","WorldCat Record")</f>
        <v/>
      </c>
      <c r="AU494" t="inlineStr">
        <is>
          <t>5835570:eng</t>
        </is>
      </c>
      <c r="AV494" t="inlineStr">
        <is>
          <t>8763040</t>
        </is>
      </c>
      <c r="AW494" t="inlineStr">
        <is>
          <t>991001791109702656</t>
        </is>
      </c>
      <c r="AX494" t="inlineStr">
        <is>
          <t>991001791109702656</t>
        </is>
      </c>
      <c r="AY494" t="inlineStr">
        <is>
          <t>2266677560002656</t>
        </is>
      </c>
      <c r="AZ494" t="inlineStr">
        <is>
          <t>BOOK</t>
        </is>
      </c>
      <c r="BB494" t="inlineStr">
        <is>
          <t>9780839117582</t>
        </is>
      </c>
      <c r="BC494" t="inlineStr">
        <is>
          <t>30001000328429</t>
        </is>
      </c>
      <c r="BD494" t="inlineStr">
        <is>
          <t>893279677</t>
        </is>
      </c>
    </row>
    <row r="495">
      <c r="A495" t="inlineStr">
        <is>
          <t>No</t>
        </is>
      </c>
      <c r="B495" t="inlineStr">
        <is>
          <t>RJ499 .B33</t>
        </is>
      </c>
      <c r="C495" t="inlineStr">
        <is>
          <t>0                      RJ 0499000B  33</t>
        </is>
      </c>
      <c r="D495" t="inlineStr">
        <is>
          <t>Basic handbook of child psychiatry / Joseph D. Noshpitz, editor-in-chief.</t>
        </is>
      </c>
      <c r="F495" t="inlineStr">
        <is>
          <t>Yes</t>
        </is>
      </c>
      <c r="G495" t="inlineStr">
        <is>
          <t>1</t>
        </is>
      </c>
      <c r="H495" t="inlineStr">
        <is>
          <t>Yes</t>
        </is>
      </c>
      <c r="I495" t="inlineStr">
        <is>
          <t>No</t>
        </is>
      </c>
      <c r="J495" t="inlineStr">
        <is>
          <t>0</t>
        </is>
      </c>
      <c r="L495" t="inlineStr">
        <is>
          <t>New York : Basic Books, c1979.</t>
        </is>
      </c>
      <c r="M495" t="inlineStr">
        <is>
          <t>1979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RJ </t>
        </is>
      </c>
      <c r="S495" t="n">
        <v>3</v>
      </c>
      <c r="T495" t="n">
        <v>5</v>
      </c>
      <c r="U495" t="inlineStr">
        <is>
          <t>1994-04-22</t>
        </is>
      </c>
      <c r="V495" t="inlineStr">
        <is>
          <t>1994-04-22</t>
        </is>
      </c>
      <c r="W495" t="inlineStr">
        <is>
          <t>1988-01-18</t>
        </is>
      </c>
      <c r="X495" t="inlineStr">
        <is>
          <t>1993-02-25</t>
        </is>
      </c>
      <c r="Y495" t="n">
        <v>702</v>
      </c>
      <c r="Z495" t="n">
        <v>594</v>
      </c>
      <c r="AA495" t="n">
        <v>601</v>
      </c>
      <c r="AB495" t="n">
        <v>6</v>
      </c>
      <c r="AC495" t="n">
        <v>6</v>
      </c>
      <c r="AD495" t="n">
        <v>12</v>
      </c>
      <c r="AE495" t="n">
        <v>12</v>
      </c>
      <c r="AF495" t="n">
        <v>0</v>
      </c>
      <c r="AG495" t="n">
        <v>0</v>
      </c>
      <c r="AH495" t="n">
        <v>3</v>
      </c>
      <c r="AI495" t="n">
        <v>3</v>
      </c>
      <c r="AJ495" t="n">
        <v>7</v>
      </c>
      <c r="AK495" t="n">
        <v>7</v>
      </c>
      <c r="AL495" t="n">
        <v>3</v>
      </c>
      <c r="AM495" t="n">
        <v>3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HYPERLINK("http://catalog.hathitrust.org/Record/000103705","HathiTrust Record")</f>
        <v/>
      </c>
      <c r="AS495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495">
        <f>HYPERLINK("http://www.worldcat.org/oclc/4570504","WorldCat Record")</f>
        <v/>
      </c>
      <c r="AU495" t="inlineStr">
        <is>
          <t>3373729192:eng</t>
        </is>
      </c>
      <c r="AV495" t="inlineStr">
        <is>
          <t>4570504</t>
        </is>
      </c>
      <c r="AW495" t="inlineStr">
        <is>
          <t>991001772539702656</t>
        </is>
      </c>
      <c r="AX495" t="inlineStr">
        <is>
          <t>991001772539702656</t>
        </is>
      </c>
      <c r="AY495" t="inlineStr">
        <is>
          <t>2268206480002656</t>
        </is>
      </c>
      <c r="AZ495" t="inlineStr">
        <is>
          <t>BOOK</t>
        </is>
      </c>
      <c r="BB495" t="inlineStr">
        <is>
          <t>9780465005895</t>
        </is>
      </c>
      <c r="BC495" t="inlineStr">
        <is>
          <t>30001000151797</t>
        </is>
      </c>
      <c r="BD495" t="inlineStr">
        <is>
          <t>893466015</t>
        </is>
      </c>
    </row>
    <row r="496">
      <c r="A496" t="inlineStr">
        <is>
          <t>No</t>
        </is>
      </c>
      <c r="B496" t="inlineStr">
        <is>
          <t>RJ499 .C26</t>
        </is>
      </c>
      <c r="C496" t="inlineStr">
        <is>
          <t>0                      RJ 0499000C  26</t>
        </is>
      </c>
      <c r="D496" t="inlineStr">
        <is>
          <t>Emotional problems of early childhood.</t>
        </is>
      </c>
      <c r="F496" t="inlineStr">
        <is>
          <t>No</t>
        </is>
      </c>
      <c r="G496" t="inlineStr">
        <is>
          <t>1</t>
        </is>
      </c>
      <c r="H496" t="inlineStr">
        <is>
          <t>Yes</t>
        </is>
      </c>
      <c r="I496" t="inlineStr">
        <is>
          <t>No</t>
        </is>
      </c>
      <c r="J496" t="inlineStr">
        <is>
          <t>0</t>
        </is>
      </c>
      <c r="K496" t="inlineStr">
        <is>
          <t>Caplan, Gerald editor.</t>
        </is>
      </c>
      <c r="L496" t="inlineStr">
        <is>
          <t>New York : Basic Books, [1955]</t>
        </is>
      </c>
      <c r="M496" t="inlineStr">
        <is>
          <t>1955</t>
        </is>
      </c>
      <c r="N496" t="inlineStr">
        <is>
          <t>[1st ed.]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RJ </t>
        </is>
      </c>
      <c r="S496" t="n">
        <v>1</v>
      </c>
      <c r="T496" t="n">
        <v>4</v>
      </c>
      <c r="V496" t="inlineStr">
        <is>
          <t>1997-06-30</t>
        </is>
      </c>
      <c r="W496" t="inlineStr">
        <is>
          <t>1988-01-20</t>
        </is>
      </c>
      <c r="X496" t="inlineStr">
        <is>
          <t>1992-04-01</t>
        </is>
      </c>
      <c r="Y496" t="n">
        <v>567</v>
      </c>
      <c r="Z496" t="n">
        <v>469</v>
      </c>
      <c r="AA496" t="n">
        <v>535</v>
      </c>
      <c r="AB496" t="n">
        <v>5</v>
      </c>
      <c r="AC496" t="n">
        <v>5</v>
      </c>
      <c r="AD496" t="n">
        <v>20</v>
      </c>
      <c r="AE496" t="n">
        <v>20</v>
      </c>
      <c r="AF496" t="n">
        <v>6</v>
      </c>
      <c r="AG496" t="n">
        <v>6</v>
      </c>
      <c r="AH496" t="n">
        <v>5</v>
      </c>
      <c r="AI496" t="n">
        <v>5</v>
      </c>
      <c r="AJ496" t="n">
        <v>11</v>
      </c>
      <c r="AK496" t="n">
        <v>11</v>
      </c>
      <c r="AL496" t="n">
        <v>3</v>
      </c>
      <c r="AM496" t="n">
        <v>3</v>
      </c>
      <c r="AN496" t="n">
        <v>0</v>
      </c>
      <c r="AO496" t="n">
        <v>0</v>
      </c>
      <c r="AP496" t="inlineStr">
        <is>
          <t>No</t>
        </is>
      </c>
      <c r="AQ496" t="inlineStr">
        <is>
          <t>No</t>
        </is>
      </c>
      <c r="AR496">
        <f>HYPERLINK("http://catalog.hathitrust.org/Record/001570797","HathiTrust Record")</f>
        <v/>
      </c>
      <c r="AS496">
        <f>HYPERLINK("https://creighton-primo.hosted.exlibrisgroup.com/primo-explore/search?tab=default_tab&amp;search_scope=EVERYTHING&amp;vid=01CRU&amp;lang=en_US&amp;offset=0&amp;query=any,contains,991001772479702656","Catalog Record")</f>
        <v/>
      </c>
      <c r="AT496">
        <f>HYPERLINK("http://www.worldcat.org/oclc/638204","WorldCat Record")</f>
        <v/>
      </c>
      <c r="AU496" t="inlineStr">
        <is>
          <t>1497478:eng</t>
        </is>
      </c>
      <c r="AV496" t="inlineStr">
        <is>
          <t>638204</t>
        </is>
      </c>
      <c r="AW496" t="inlineStr">
        <is>
          <t>991001772479702656</t>
        </is>
      </c>
      <c r="AX496" t="inlineStr">
        <is>
          <t>991001772479702656</t>
        </is>
      </c>
      <c r="AY496" t="inlineStr">
        <is>
          <t>2259528530002656</t>
        </is>
      </c>
      <c r="AZ496" t="inlineStr">
        <is>
          <t>BOOK</t>
        </is>
      </c>
      <c r="BC496" t="inlineStr">
        <is>
          <t>30001000151482</t>
        </is>
      </c>
      <c r="BD496" t="inlineStr">
        <is>
          <t>893638623</t>
        </is>
      </c>
    </row>
    <row r="497">
      <c r="A497" t="inlineStr">
        <is>
          <t>No</t>
        </is>
      </c>
      <c r="B497" t="inlineStr">
        <is>
          <t>RJ499 .K322</t>
        </is>
      </c>
      <c r="C497" t="inlineStr">
        <is>
          <t>0                      RJ 0499000K  322</t>
        </is>
      </c>
      <c r="D497" t="inlineStr">
        <is>
          <t>Childhood psychosis: initial studies and new insights.</t>
        </is>
      </c>
      <c r="F497" t="inlineStr">
        <is>
          <t>No</t>
        </is>
      </c>
      <c r="G497" t="inlineStr">
        <is>
          <t>1</t>
        </is>
      </c>
      <c r="H497" t="inlineStr">
        <is>
          <t>Yes</t>
        </is>
      </c>
      <c r="I497" t="inlineStr">
        <is>
          <t>No</t>
        </is>
      </c>
      <c r="J497" t="inlineStr">
        <is>
          <t>0</t>
        </is>
      </c>
      <c r="K497" t="inlineStr">
        <is>
          <t>Kanner, Leo, 1894-1981.</t>
        </is>
      </c>
      <c r="L497" t="inlineStr">
        <is>
          <t>Washington, V. H. Winston; distributed by Halsted Press Division, Wiley, New York, 1973.</t>
        </is>
      </c>
      <c r="M497" t="inlineStr">
        <is>
          <t>1973</t>
        </is>
      </c>
      <c r="O497" t="inlineStr">
        <is>
          <t>eng</t>
        </is>
      </c>
      <c r="P497" t="inlineStr">
        <is>
          <t>dcu</t>
        </is>
      </c>
      <c r="R497" t="inlineStr">
        <is>
          <t xml:space="preserve">RJ </t>
        </is>
      </c>
      <c r="S497" t="n">
        <v>1</v>
      </c>
      <c r="T497" t="n">
        <v>1</v>
      </c>
      <c r="U497" t="inlineStr">
        <is>
          <t>1996-04-22</t>
        </is>
      </c>
      <c r="V497" t="inlineStr">
        <is>
          <t>1996-04-22</t>
        </is>
      </c>
      <c r="W497" t="inlineStr">
        <is>
          <t>1987-11-15</t>
        </is>
      </c>
      <c r="X497" t="inlineStr">
        <is>
          <t>1998-07-27</t>
        </is>
      </c>
      <c r="Y497" t="n">
        <v>513</v>
      </c>
      <c r="Z497" t="n">
        <v>417</v>
      </c>
      <c r="AA497" t="n">
        <v>425</v>
      </c>
      <c r="AB497" t="n">
        <v>5</v>
      </c>
      <c r="AC497" t="n">
        <v>5</v>
      </c>
      <c r="AD497" t="n">
        <v>16</v>
      </c>
      <c r="AE497" t="n">
        <v>16</v>
      </c>
      <c r="AF497" t="n">
        <v>5</v>
      </c>
      <c r="AG497" t="n">
        <v>5</v>
      </c>
      <c r="AH497" t="n">
        <v>4</v>
      </c>
      <c r="AI497" t="n">
        <v>4</v>
      </c>
      <c r="AJ497" t="n">
        <v>8</v>
      </c>
      <c r="AK497" t="n">
        <v>8</v>
      </c>
      <c r="AL497" t="n">
        <v>2</v>
      </c>
      <c r="AM497" t="n">
        <v>2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HYPERLINK("http://catalog.hathitrust.org/Record/001570843","HathiTrust Record")</f>
        <v/>
      </c>
      <c r="AS497">
        <f>HYPERLINK("https://creighton-primo.hosted.exlibrisgroup.com/primo-explore/search?tab=default_tab&amp;search_scope=EVERYTHING&amp;vid=01CRU&amp;lang=en_US&amp;offset=0&amp;query=any,contains,991001772729702656","Catalog Record")</f>
        <v/>
      </c>
      <c r="AT497">
        <f>HYPERLINK("http://www.worldcat.org/oclc/584826","WorldCat Record")</f>
        <v/>
      </c>
      <c r="AU497" t="inlineStr">
        <is>
          <t>1746970:eng</t>
        </is>
      </c>
      <c r="AV497" t="inlineStr">
        <is>
          <t>584826</t>
        </is>
      </c>
      <c r="AW497" t="inlineStr">
        <is>
          <t>991001772729702656</t>
        </is>
      </c>
      <c r="AX497" t="inlineStr">
        <is>
          <t>991001772729702656</t>
        </is>
      </c>
      <c r="AY497" t="inlineStr">
        <is>
          <t>2268853630002656</t>
        </is>
      </c>
      <c r="AZ497" t="inlineStr">
        <is>
          <t>BOOK</t>
        </is>
      </c>
      <c r="BB497" t="inlineStr">
        <is>
          <t>9780470456101</t>
        </is>
      </c>
      <c r="BC497" t="inlineStr">
        <is>
          <t>30001000820227</t>
        </is>
      </c>
      <c r="BD497" t="inlineStr">
        <is>
          <t>893377617</t>
        </is>
      </c>
    </row>
    <row r="498">
      <c r="A498" t="inlineStr">
        <is>
          <t>No</t>
        </is>
      </c>
      <c r="B498" t="inlineStr">
        <is>
          <t>RJ503 .E17</t>
        </is>
      </c>
      <c r="C498" t="inlineStr">
        <is>
          <t>0                      RJ 0503000E  17</t>
        </is>
      </c>
      <c r="D498" t="inlineStr">
        <is>
          <t>The severely disturbed adolescent; inpatient, residential, and hospital treatment [by] William M. Easson. --</t>
        </is>
      </c>
      <c r="F498" t="inlineStr">
        <is>
          <t>No</t>
        </is>
      </c>
      <c r="G498" t="inlineStr">
        <is>
          <t>1</t>
        </is>
      </c>
      <c r="H498" t="inlineStr">
        <is>
          <t>Yes</t>
        </is>
      </c>
      <c r="I498" t="inlineStr">
        <is>
          <t>No</t>
        </is>
      </c>
      <c r="J498" t="inlineStr">
        <is>
          <t>0</t>
        </is>
      </c>
      <c r="K498" t="inlineStr">
        <is>
          <t>Easson, William M., 1931-</t>
        </is>
      </c>
      <c r="L498" t="inlineStr">
        <is>
          <t>[New York, International Universities Press, 1969]</t>
        </is>
      </c>
      <c r="M498" t="inlineStr">
        <is>
          <t>1969</t>
        </is>
      </c>
      <c r="O498" t="inlineStr">
        <is>
          <t>eng</t>
        </is>
      </c>
      <c r="P498" t="inlineStr">
        <is>
          <t>nyu</t>
        </is>
      </c>
      <c r="R498" t="inlineStr">
        <is>
          <t xml:space="preserve">RJ </t>
        </is>
      </c>
      <c r="S498" t="n">
        <v>1</v>
      </c>
      <c r="T498" t="n">
        <v>4</v>
      </c>
      <c r="U498" t="inlineStr">
        <is>
          <t>1989-10-04</t>
        </is>
      </c>
      <c r="V498" t="inlineStr">
        <is>
          <t>1994-03-21</t>
        </is>
      </c>
      <c r="W498" t="inlineStr">
        <is>
          <t>1988-03-27</t>
        </is>
      </c>
      <c r="X498" t="inlineStr">
        <is>
          <t>1993-03-03</t>
        </is>
      </c>
      <c r="Y498" t="n">
        <v>421</v>
      </c>
      <c r="Z498" t="n">
        <v>368</v>
      </c>
      <c r="AA498" t="n">
        <v>372</v>
      </c>
      <c r="AB498" t="n">
        <v>5</v>
      </c>
      <c r="AC498" t="n">
        <v>5</v>
      </c>
      <c r="AD498" t="n">
        <v>12</v>
      </c>
      <c r="AE498" t="n">
        <v>12</v>
      </c>
      <c r="AF498" t="n">
        <v>2</v>
      </c>
      <c r="AG498" t="n">
        <v>2</v>
      </c>
      <c r="AH498" t="n">
        <v>2</v>
      </c>
      <c r="AI498" t="n">
        <v>2</v>
      </c>
      <c r="AJ498" t="n">
        <v>7</v>
      </c>
      <c r="AK498" t="n">
        <v>7</v>
      </c>
      <c r="AL498" t="n">
        <v>2</v>
      </c>
      <c r="AM498" t="n">
        <v>2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HYPERLINK("http://catalog.hathitrust.org/Record/001570933","HathiTrust Record")</f>
        <v/>
      </c>
      <c r="AS498">
        <f>HYPERLINK("https://creighton-primo.hosted.exlibrisgroup.com/primo-explore/search?tab=default_tab&amp;search_scope=EVERYTHING&amp;vid=01CRU&amp;lang=en_US&amp;offset=0&amp;query=any,contains,991001761179702656","Catalog Record")</f>
        <v/>
      </c>
      <c r="AT498">
        <f>HYPERLINK("http://www.worldcat.org/oclc/23694","WorldCat Record")</f>
        <v/>
      </c>
      <c r="AU498" t="inlineStr">
        <is>
          <t>1145906:eng</t>
        </is>
      </c>
      <c r="AV498" t="inlineStr">
        <is>
          <t>23694</t>
        </is>
      </c>
      <c r="AW498" t="inlineStr">
        <is>
          <t>991001761179702656</t>
        </is>
      </c>
      <c r="AX498" t="inlineStr">
        <is>
          <t>991001761179702656</t>
        </is>
      </c>
      <c r="AY498" t="inlineStr">
        <is>
          <t>2267666380002656</t>
        </is>
      </c>
      <c r="AZ498" t="inlineStr">
        <is>
          <t>BOOK</t>
        </is>
      </c>
      <c r="BC498" t="inlineStr">
        <is>
          <t>30001000059800</t>
        </is>
      </c>
      <c r="BD498" t="inlineStr">
        <is>
          <t>893832574</t>
        </is>
      </c>
    </row>
    <row r="499">
      <c r="A499" t="inlineStr">
        <is>
          <t>No</t>
        </is>
      </c>
      <c r="B499" t="inlineStr">
        <is>
          <t>RJ504.5 .B47 1974</t>
        </is>
      </c>
      <c r="C499" t="inlineStr">
        <is>
          <t>0                      RJ 0504500B  47          1974</t>
        </is>
      </c>
      <c r="D499" t="inlineStr">
        <is>
          <t>A home for the heart.</t>
        </is>
      </c>
      <c r="F499" t="inlineStr">
        <is>
          <t>No</t>
        </is>
      </c>
      <c r="G499" t="inlineStr">
        <is>
          <t>1</t>
        </is>
      </c>
      <c r="H499" t="inlineStr">
        <is>
          <t>Yes</t>
        </is>
      </c>
      <c r="I499" t="inlineStr">
        <is>
          <t>No</t>
        </is>
      </c>
      <c r="J499" t="inlineStr">
        <is>
          <t>0</t>
        </is>
      </c>
      <c r="K499" t="inlineStr">
        <is>
          <t>Bettelheim, Bruno.</t>
        </is>
      </c>
      <c r="L499" t="inlineStr">
        <is>
          <t>New York, Knopf, 1974.</t>
        </is>
      </c>
      <c r="M499" t="inlineStr">
        <is>
          <t>1974</t>
        </is>
      </c>
      <c r="N499" t="inlineStr">
        <is>
          <t>[1st ed.]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RJ </t>
        </is>
      </c>
      <c r="S499" t="n">
        <v>2</v>
      </c>
      <c r="T499" t="n">
        <v>2</v>
      </c>
      <c r="U499" t="inlineStr">
        <is>
          <t>1990-01-28</t>
        </is>
      </c>
      <c r="V499" t="inlineStr">
        <is>
          <t>1990-01-28</t>
        </is>
      </c>
      <c r="W499" t="inlineStr">
        <is>
          <t>1987-12-03</t>
        </is>
      </c>
      <c r="X499" t="inlineStr">
        <is>
          <t>1997-08-12</t>
        </is>
      </c>
      <c r="Y499" t="n">
        <v>1092</v>
      </c>
      <c r="Z499" t="n">
        <v>999</v>
      </c>
      <c r="AA499" t="n">
        <v>1077</v>
      </c>
      <c r="AB499" t="n">
        <v>8</v>
      </c>
      <c r="AC499" t="n">
        <v>9</v>
      </c>
      <c r="AD499" t="n">
        <v>28</v>
      </c>
      <c r="AE499" t="n">
        <v>32</v>
      </c>
      <c r="AF499" t="n">
        <v>12</v>
      </c>
      <c r="AG499" t="n">
        <v>14</v>
      </c>
      <c r="AH499" t="n">
        <v>5</v>
      </c>
      <c r="AI499" t="n">
        <v>5</v>
      </c>
      <c r="AJ499" t="n">
        <v>13</v>
      </c>
      <c r="AK499" t="n">
        <v>15</v>
      </c>
      <c r="AL499" t="n">
        <v>4</v>
      </c>
      <c r="AM499" t="n">
        <v>5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HYPERLINK("http://catalog.hathitrust.org/Record/001570988","HathiTrust Record")</f>
        <v/>
      </c>
      <c r="AS499">
        <f>HYPERLINK("https://creighton-primo.hosted.exlibrisgroup.com/primo-explore/search?tab=default_tab&amp;search_scope=EVERYTHING&amp;vid=01CRU&amp;lang=en_US&amp;offset=0&amp;query=any,contains,991001790639702656","Catalog Record")</f>
        <v/>
      </c>
      <c r="AT499">
        <f>HYPERLINK("http://www.worldcat.org/oclc/700655","WorldCat Record")</f>
        <v/>
      </c>
      <c r="AU499" t="inlineStr">
        <is>
          <t>180704:eng</t>
        </is>
      </c>
      <c r="AV499" t="inlineStr">
        <is>
          <t>700655</t>
        </is>
      </c>
      <c r="AW499" t="inlineStr">
        <is>
          <t>991001790639702656</t>
        </is>
      </c>
      <c r="AX499" t="inlineStr">
        <is>
          <t>991001790639702656</t>
        </is>
      </c>
      <c r="AY499" t="inlineStr">
        <is>
          <t>2256605940002656</t>
        </is>
      </c>
      <c r="AZ499" t="inlineStr">
        <is>
          <t>BOOK</t>
        </is>
      </c>
      <c r="BB499" t="inlineStr">
        <is>
          <t>9780394483771</t>
        </is>
      </c>
      <c r="BC499" t="inlineStr">
        <is>
          <t>30001000318891</t>
        </is>
      </c>
      <c r="BD499" t="inlineStr">
        <is>
          <t>893643876</t>
        </is>
      </c>
    </row>
    <row r="500">
      <c r="A500" t="inlineStr">
        <is>
          <t>No</t>
        </is>
      </c>
      <c r="B500" t="inlineStr">
        <is>
          <t>RJ505.B4 I54 1989</t>
        </is>
      </c>
      <c r="C500" t="inlineStr">
        <is>
          <t>0                      RJ 0505000B  4                  I  54          1989</t>
        </is>
      </c>
      <c r="D500" t="inlineStr">
        <is>
          <t>Innovations in child behavior therapy / Michel Hersen, editor.</t>
        </is>
      </c>
      <c r="F500" t="inlineStr">
        <is>
          <t>No</t>
        </is>
      </c>
      <c r="G500" t="inlineStr">
        <is>
          <t>1</t>
        </is>
      </c>
      <c r="H500" t="inlineStr">
        <is>
          <t>Yes</t>
        </is>
      </c>
      <c r="I500" t="inlineStr">
        <is>
          <t>No</t>
        </is>
      </c>
      <c r="J500" t="inlineStr">
        <is>
          <t>0</t>
        </is>
      </c>
      <c r="L500" t="inlineStr">
        <is>
          <t>New York : Springer Pub. Co., c1989.</t>
        </is>
      </c>
      <c r="M500" t="inlineStr">
        <is>
          <t>1989</t>
        </is>
      </c>
      <c r="O500" t="inlineStr">
        <is>
          <t>eng</t>
        </is>
      </c>
      <c r="P500" t="inlineStr">
        <is>
          <t>nyu</t>
        </is>
      </c>
      <c r="Q500" t="inlineStr">
        <is>
          <t>Springer series on behavior therapy and behavioral medicine ; v. 21</t>
        </is>
      </c>
      <c r="R500" t="inlineStr">
        <is>
          <t xml:space="preserve">RJ </t>
        </is>
      </c>
      <c r="S500" t="n">
        <v>5</v>
      </c>
      <c r="T500" t="n">
        <v>6</v>
      </c>
      <c r="U500" t="inlineStr">
        <is>
          <t>2001-06-21</t>
        </is>
      </c>
      <c r="V500" t="inlineStr">
        <is>
          <t>2001-06-21</t>
        </is>
      </c>
      <c r="W500" t="inlineStr">
        <is>
          <t>1990-02-15</t>
        </is>
      </c>
      <c r="X500" t="inlineStr">
        <is>
          <t>1992-04-22</t>
        </is>
      </c>
      <c r="Y500" t="n">
        <v>210</v>
      </c>
      <c r="Z500" t="n">
        <v>172</v>
      </c>
      <c r="AA500" t="n">
        <v>174</v>
      </c>
      <c r="AB500" t="n">
        <v>3</v>
      </c>
      <c r="AC500" t="n">
        <v>3</v>
      </c>
      <c r="AD500" t="n">
        <v>10</v>
      </c>
      <c r="AE500" t="n">
        <v>10</v>
      </c>
      <c r="AF500" t="n">
        <v>1</v>
      </c>
      <c r="AG500" t="n">
        <v>1</v>
      </c>
      <c r="AH500" t="n">
        <v>4</v>
      </c>
      <c r="AI500" t="n">
        <v>4</v>
      </c>
      <c r="AJ500" t="n">
        <v>7</v>
      </c>
      <c r="AK500" t="n">
        <v>7</v>
      </c>
      <c r="AL500" t="n">
        <v>1</v>
      </c>
      <c r="AM500" t="n">
        <v>1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HYPERLINK("http://catalog.hathitrust.org/Record/001842117","HathiTrust Record")</f>
        <v/>
      </c>
      <c r="AS500">
        <f>HYPERLINK("https://creighton-primo.hosted.exlibrisgroup.com/primo-explore/search?tab=default_tab&amp;search_scope=EVERYTHING&amp;vid=01CRU&amp;lang=en_US&amp;offset=0&amp;query=any,contains,991001800499702656","Catalog Record")</f>
        <v/>
      </c>
      <c r="AT500">
        <f>HYPERLINK("http://www.worldcat.org/oclc/20414325","WorldCat Record")</f>
        <v/>
      </c>
      <c r="AU500" t="inlineStr">
        <is>
          <t>967590:eng</t>
        </is>
      </c>
      <c r="AV500" t="inlineStr">
        <is>
          <t>20414325</t>
        </is>
      </c>
      <c r="AW500" t="inlineStr">
        <is>
          <t>991001800499702656</t>
        </is>
      </c>
      <c r="AX500" t="inlineStr">
        <is>
          <t>991001800499702656</t>
        </is>
      </c>
      <c r="AY500" t="inlineStr">
        <is>
          <t>2261444320002656</t>
        </is>
      </c>
      <c r="AZ500" t="inlineStr">
        <is>
          <t>BOOK</t>
        </is>
      </c>
      <c r="BB500" t="inlineStr">
        <is>
          <t>9780826162809</t>
        </is>
      </c>
      <c r="BC500" t="inlineStr">
        <is>
          <t>30001001880865</t>
        </is>
      </c>
      <c r="BD500" t="inlineStr">
        <is>
          <t>893456316</t>
        </is>
      </c>
    </row>
    <row r="501">
      <c r="A501" t="inlineStr">
        <is>
          <t>No</t>
        </is>
      </c>
      <c r="B501" t="inlineStr">
        <is>
          <t>RJ505.P6 H36 1983</t>
        </is>
      </c>
      <c r="C501" t="inlineStr">
        <is>
          <t>0                      RJ 0505000P  6                  H  36          1983</t>
        </is>
      </c>
      <c r="D501" t="inlineStr">
        <is>
          <t>Handbook of play therapy / edited by Charles E. Schaefer and Kevin J. O'Connor.</t>
        </is>
      </c>
      <c r="F501" t="inlineStr">
        <is>
          <t>No</t>
        </is>
      </c>
      <c r="G501" t="inlineStr">
        <is>
          <t>1</t>
        </is>
      </c>
      <c r="H501" t="inlineStr">
        <is>
          <t>Yes</t>
        </is>
      </c>
      <c r="I501" t="inlineStr">
        <is>
          <t>No</t>
        </is>
      </c>
      <c r="J501" t="inlineStr">
        <is>
          <t>0</t>
        </is>
      </c>
      <c r="L501" t="inlineStr">
        <is>
          <t>New York : Wiley, c1983.</t>
        </is>
      </c>
      <c r="M501" t="inlineStr">
        <is>
          <t>1983</t>
        </is>
      </c>
      <c r="O501" t="inlineStr">
        <is>
          <t>eng</t>
        </is>
      </c>
      <c r="P501" t="inlineStr">
        <is>
          <t>nyu</t>
        </is>
      </c>
      <c r="Q501" t="inlineStr">
        <is>
          <t>Wiley series on personality processes, 0195-4008</t>
        </is>
      </c>
      <c r="R501" t="inlineStr">
        <is>
          <t xml:space="preserve">RJ </t>
        </is>
      </c>
      <c r="S501" t="n">
        <v>13</v>
      </c>
      <c r="T501" t="n">
        <v>28</v>
      </c>
      <c r="U501" t="inlineStr">
        <is>
          <t>2007-01-24</t>
        </is>
      </c>
      <c r="V501" t="inlineStr">
        <is>
          <t>2007-01-24</t>
        </is>
      </c>
      <c r="W501" t="inlineStr">
        <is>
          <t>1988-01-07</t>
        </is>
      </c>
      <c r="X501" t="inlineStr">
        <is>
          <t>1991-10-28</t>
        </is>
      </c>
      <c r="Y501" t="n">
        <v>823</v>
      </c>
      <c r="Z501" t="n">
        <v>708</v>
      </c>
      <c r="AA501" t="n">
        <v>1088</v>
      </c>
      <c r="AB501" t="n">
        <v>6</v>
      </c>
      <c r="AC501" t="n">
        <v>10</v>
      </c>
      <c r="AD501" t="n">
        <v>30</v>
      </c>
      <c r="AE501" t="n">
        <v>49</v>
      </c>
      <c r="AF501" t="n">
        <v>12</v>
      </c>
      <c r="AG501" t="n">
        <v>21</v>
      </c>
      <c r="AH501" t="n">
        <v>7</v>
      </c>
      <c r="AI501" t="n">
        <v>10</v>
      </c>
      <c r="AJ501" t="n">
        <v>15</v>
      </c>
      <c r="AK501" t="n">
        <v>21</v>
      </c>
      <c r="AL501" t="n">
        <v>4</v>
      </c>
      <c r="AM501" t="n">
        <v>8</v>
      </c>
      <c r="AN501" t="n">
        <v>0</v>
      </c>
      <c r="AO501" t="n">
        <v>1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HYPERLINK("http://catalog.hathitrust.org/Record/000475336","HathiTrust Record")</f>
        <v/>
      </c>
      <c r="AS501">
        <f>HYPERLINK("https://creighton-primo.hosted.exlibrisgroup.com/primo-explore/search?tab=default_tab&amp;search_scope=EVERYTHING&amp;vid=01CRU&amp;lang=en_US&amp;offset=0&amp;query=any,contains,991001772449702656","Catalog Record")</f>
        <v/>
      </c>
      <c r="AT501">
        <f>HYPERLINK("http://www.worldcat.org/oclc/9066768","WorldCat Record")</f>
        <v/>
      </c>
      <c r="AU501" t="inlineStr">
        <is>
          <t>349931010:eng</t>
        </is>
      </c>
      <c r="AV501" t="inlineStr">
        <is>
          <t>9066768</t>
        </is>
      </c>
      <c r="AW501" t="inlineStr">
        <is>
          <t>991001772449702656</t>
        </is>
      </c>
      <c r="AX501" t="inlineStr">
        <is>
          <t>991001772449702656</t>
        </is>
      </c>
      <c r="AY501" t="inlineStr">
        <is>
          <t>2269846580002656</t>
        </is>
      </c>
      <c r="AZ501" t="inlineStr">
        <is>
          <t>BOOK</t>
        </is>
      </c>
      <c r="BB501" t="inlineStr">
        <is>
          <t>9780471094623</t>
        </is>
      </c>
      <c r="BC501" t="inlineStr">
        <is>
          <t>30001000151284</t>
        </is>
      </c>
      <c r="BD501" t="inlineStr">
        <is>
          <t>893150188</t>
        </is>
      </c>
    </row>
    <row r="502">
      <c r="A502" t="inlineStr">
        <is>
          <t>No</t>
        </is>
      </c>
      <c r="B502" t="inlineStr">
        <is>
          <t>RJ506.A9 A92</t>
        </is>
      </c>
      <c r="C502" t="inlineStr">
        <is>
          <t>0                      RJ 0506000A  9                  A  92</t>
        </is>
      </c>
      <c r="D502" t="inlineStr">
        <is>
          <t>Autism--diagnosis, current research, and management / editor, Edward R. Ritvo, co-editors, Betty Jo Freeman, Edward M. Ornitz, Peter E. Tanguay.</t>
        </is>
      </c>
      <c r="F502" t="inlineStr">
        <is>
          <t>No</t>
        </is>
      </c>
      <c r="G502" t="inlineStr">
        <is>
          <t>1</t>
        </is>
      </c>
      <c r="H502" t="inlineStr">
        <is>
          <t>Yes</t>
        </is>
      </c>
      <c r="I502" t="inlineStr">
        <is>
          <t>No</t>
        </is>
      </c>
      <c r="J502" t="inlineStr">
        <is>
          <t>0</t>
        </is>
      </c>
      <c r="L502" t="inlineStr">
        <is>
          <t>New York : SP Books Division of Spectrum Publications : distributed by Halsted Press, c1976.</t>
        </is>
      </c>
      <c r="M502" t="inlineStr">
        <is>
          <t>1976</t>
        </is>
      </c>
      <c r="O502" t="inlineStr">
        <is>
          <t>eng</t>
        </is>
      </c>
      <c r="P502" t="inlineStr">
        <is>
          <t>nyu</t>
        </is>
      </c>
      <c r="Q502" t="inlineStr">
        <is>
          <t>Series on child behavior and development ; v. 2</t>
        </is>
      </c>
      <c r="R502" t="inlineStr">
        <is>
          <t xml:space="preserve">RJ </t>
        </is>
      </c>
      <c r="S502" t="n">
        <v>10</v>
      </c>
      <c r="T502" t="n">
        <v>45</v>
      </c>
      <c r="U502" t="inlineStr">
        <is>
          <t>1997-03-07</t>
        </is>
      </c>
      <c r="V502" t="inlineStr">
        <is>
          <t>2005-08-10</t>
        </is>
      </c>
      <c r="W502" t="inlineStr">
        <is>
          <t>1987-12-08</t>
        </is>
      </c>
      <c r="X502" t="inlineStr">
        <is>
          <t>1990-12-28</t>
        </is>
      </c>
      <c r="Y502" t="n">
        <v>561</v>
      </c>
      <c r="Z502" t="n">
        <v>460</v>
      </c>
      <c r="AA502" t="n">
        <v>467</v>
      </c>
      <c r="AB502" t="n">
        <v>6</v>
      </c>
      <c r="AC502" t="n">
        <v>6</v>
      </c>
      <c r="AD502" t="n">
        <v>23</v>
      </c>
      <c r="AE502" t="n">
        <v>23</v>
      </c>
      <c r="AF502" t="n">
        <v>9</v>
      </c>
      <c r="AG502" t="n">
        <v>9</v>
      </c>
      <c r="AH502" t="n">
        <v>6</v>
      </c>
      <c r="AI502" t="n">
        <v>6</v>
      </c>
      <c r="AJ502" t="n">
        <v>11</v>
      </c>
      <c r="AK502" t="n">
        <v>11</v>
      </c>
      <c r="AL502" t="n">
        <v>3</v>
      </c>
      <c r="AM502" t="n">
        <v>3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HYPERLINK("http://catalog.hathitrust.org/Record/000710503","HathiTrust Record")</f>
        <v/>
      </c>
      <c r="AS502">
        <f>HYPERLINK("https://creighton-primo.hosted.exlibrisgroup.com/primo-explore/search?tab=default_tab&amp;search_scope=EVERYTHING&amp;vid=01CRU&amp;lang=en_US&amp;offset=0&amp;query=any,contains,991001786629702656","Catalog Record")</f>
        <v/>
      </c>
      <c r="AT502">
        <f>HYPERLINK("http://www.worldcat.org/oclc/2020544","WorldCat Record")</f>
        <v/>
      </c>
      <c r="AU502" t="inlineStr">
        <is>
          <t>2703997:eng</t>
        </is>
      </c>
      <c r="AV502" t="inlineStr">
        <is>
          <t>2020544</t>
        </is>
      </c>
      <c r="AW502" t="inlineStr">
        <is>
          <t>991001786629702656</t>
        </is>
      </c>
      <c r="AX502" t="inlineStr">
        <is>
          <t>991001786629702656</t>
        </is>
      </c>
      <c r="AY502" t="inlineStr">
        <is>
          <t>2271395800002656</t>
        </is>
      </c>
      <c r="AZ502" t="inlineStr">
        <is>
          <t>BOOK</t>
        </is>
      </c>
      <c r="BC502" t="inlineStr">
        <is>
          <t>30001000280182</t>
        </is>
      </c>
      <c r="BD502" t="inlineStr">
        <is>
          <t>893741464</t>
        </is>
      </c>
    </row>
    <row r="503">
      <c r="A503" t="inlineStr">
        <is>
          <t>No</t>
        </is>
      </c>
      <c r="B503" t="inlineStr">
        <is>
          <t>RJ506.A9 A93</t>
        </is>
      </c>
      <c r="C503" t="inlineStr">
        <is>
          <t>0                      RJ 0506000A  9                  A  93</t>
        </is>
      </c>
      <c r="D503" t="inlineStr">
        <is>
          <t>The Autistic syndromes / Mary Coleman, editor.</t>
        </is>
      </c>
      <c r="F503" t="inlineStr">
        <is>
          <t>No</t>
        </is>
      </c>
      <c r="G503" t="inlineStr">
        <is>
          <t>1</t>
        </is>
      </c>
      <c r="H503" t="inlineStr">
        <is>
          <t>Yes</t>
        </is>
      </c>
      <c r="I503" t="inlineStr">
        <is>
          <t>No</t>
        </is>
      </c>
      <c r="J503" t="inlineStr">
        <is>
          <t>0</t>
        </is>
      </c>
      <c r="L503" t="inlineStr">
        <is>
          <t>Amsterdam : North-Holland Pub. Co. ; New York : American Elsevier Pub. Co., 1976.</t>
        </is>
      </c>
      <c r="M503" t="inlineStr">
        <is>
          <t>1976</t>
        </is>
      </c>
      <c r="O503" t="inlineStr">
        <is>
          <t>eng</t>
        </is>
      </c>
      <c r="P503" t="inlineStr">
        <is>
          <t xml:space="preserve">ne </t>
        </is>
      </c>
      <c r="R503" t="inlineStr">
        <is>
          <t xml:space="preserve">RJ </t>
        </is>
      </c>
      <c r="S503" t="n">
        <v>4</v>
      </c>
      <c r="T503" t="n">
        <v>16</v>
      </c>
      <c r="U503" t="inlineStr">
        <is>
          <t>2003-11-17</t>
        </is>
      </c>
      <c r="V503" t="inlineStr">
        <is>
          <t>2003-11-17</t>
        </is>
      </c>
      <c r="W503" t="inlineStr">
        <is>
          <t>1987-11-15</t>
        </is>
      </c>
      <c r="X503" t="inlineStr">
        <is>
          <t>1992-01-28</t>
        </is>
      </c>
      <c r="Y503" t="n">
        <v>206</v>
      </c>
      <c r="Z503" t="n">
        <v>126</v>
      </c>
      <c r="AA503" t="n">
        <v>128</v>
      </c>
      <c r="AB503" t="n">
        <v>2</v>
      </c>
      <c r="AC503" t="n">
        <v>2</v>
      </c>
      <c r="AD503" t="n">
        <v>3</v>
      </c>
      <c r="AE503" t="n">
        <v>3</v>
      </c>
      <c r="AF503" t="n">
        <v>1</v>
      </c>
      <c r="AG503" t="n">
        <v>1</v>
      </c>
      <c r="AH503" t="n">
        <v>0</v>
      </c>
      <c r="AI503" t="n">
        <v>0</v>
      </c>
      <c r="AJ503" t="n">
        <v>2</v>
      </c>
      <c r="AK503" t="n">
        <v>2</v>
      </c>
      <c r="AL503" t="n">
        <v>0</v>
      </c>
      <c r="AM503" t="n">
        <v>0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HYPERLINK("http://catalog.hathitrust.org/Record/000737537","HathiTrust Record")</f>
        <v/>
      </c>
      <c r="AS503">
        <f>HYPERLINK("https://creighton-primo.hosted.exlibrisgroup.com/primo-explore/search?tab=default_tab&amp;search_scope=EVERYTHING&amp;vid=01CRU&amp;lang=en_US&amp;offset=0&amp;query=any,contains,991001772699702656","Catalog Record")</f>
        <v/>
      </c>
      <c r="AT503">
        <f>HYPERLINK("http://www.worldcat.org/oclc/2358084","WorldCat Record")</f>
        <v/>
      </c>
      <c r="AU503" t="inlineStr">
        <is>
          <t>54125976:eng</t>
        </is>
      </c>
      <c r="AV503" t="inlineStr">
        <is>
          <t>2358084</t>
        </is>
      </c>
      <c r="AW503" t="inlineStr">
        <is>
          <t>991001772699702656</t>
        </is>
      </c>
      <c r="AX503" t="inlineStr">
        <is>
          <t>991001772699702656</t>
        </is>
      </c>
      <c r="AY503" t="inlineStr">
        <is>
          <t>2261003110002656</t>
        </is>
      </c>
      <c r="AZ503" t="inlineStr">
        <is>
          <t>BOOK</t>
        </is>
      </c>
      <c r="BB503" t="inlineStr">
        <is>
          <t>9780444112019</t>
        </is>
      </c>
      <c r="BC503" t="inlineStr">
        <is>
          <t>30001000820219</t>
        </is>
      </c>
      <c r="BD503" t="inlineStr">
        <is>
          <t>893821715</t>
        </is>
      </c>
    </row>
    <row r="504">
      <c r="A504" t="inlineStr">
        <is>
          <t>No</t>
        </is>
      </c>
      <c r="B504" t="inlineStr">
        <is>
          <t>RJ506.A9 C47</t>
        </is>
      </c>
      <c r="C504" t="inlineStr">
        <is>
          <t>0                      RJ 0506000A  9                  C  47</t>
        </is>
      </c>
      <c r="D504" t="inlineStr">
        <is>
          <t>Language of autistic children / Don W. Churchill.</t>
        </is>
      </c>
      <c r="F504" t="inlineStr">
        <is>
          <t>No</t>
        </is>
      </c>
      <c r="G504" t="inlineStr">
        <is>
          <t>1</t>
        </is>
      </c>
      <c r="H504" t="inlineStr">
        <is>
          <t>Yes</t>
        </is>
      </c>
      <c r="I504" t="inlineStr">
        <is>
          <t>No</t>
        </is>
      </c>
      <c r="J504" t="inlineStr">
        <is>
          <t>0</t>
        </is>
      </c>
      <c r="K504" t="inlineStr">
        <is>
          <t>Churchill, Don W., 1930-</t>
        </is>
      </c>
      <c r="L504" t="inlineStr">
        <is>
          <t>Washington : V. H. Winston ; New York : distributed solely by Halsted Press, 1978.</t>
        </is>
      </c>
      <c r="M504" t="inlineStr">
        <is>
          <t>1978</t>
        </is>
      </c>
      <c r="O504" t="inlineStr">
        <is>
          <t>eng</t>
        </is>
      </c>
      <c r="P504" t="inlineStr">
        <is>
          <t>dcu</t>
        </is>
      </c>
      <c r="R504" t="inlineStr">
        <is>
          <t xml:space="preserve">RJ </t>
        </is>
      </c>
      <c r="S504" t="n">
        <v>3</v>
      </c>
      <c r="T504" t="n">
        <v>28</v>
      </c>
      <c r="U504" t="inlineStr">
        <is>
          <t>2003-11-17</t>
        </is>
      </c>
      <c r="V504" t="inlineStr">
        <is>
          <t>2003-11-17</t>
        </is>
      </c>
      <c r="W504" t="inlineStr">
        <is>
          <t>1987-11-15</t>
        </is>
      </c>
      <c r="X504" t="inlineStr">
        <is>
          <t>1990-05-25</t>
        </is>
      </c>
      <c r="Y504" t="n">
        <v>586</v>
      </c>
      <c r="Z504" t="n">
        <v>464</v>
      </c>
      <c r="AA504" t="n">
        <v>466</v>
      </c>
      <c r="AB504" t="n">
        <v>2</v>
      </c>
      <c r="AC504" t="n">
        <v>2</v>
      </c>
      <c r="AD504" t="n">
        <v>14</v>
      </c>
      <c r="AE504" t="n">
        <v>14</v>
      </c>
      <c r="AF504" t="n">
        <v>7</v>
      </c>
      <c r="AG504" t="n">
        <v>7</v>
      </c>
      <c r="AH504" t="n">
        <v>1</v>
      </c>
      <c r="AI504" t="n">
        <v>1</v>
      </c>
      <c r="AJ504" t="n">
        <v>7</v>
      </c>
      <c r="AK504" t="n">
        <v>7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HYPERLINK("http://catalog.hathitrust.org/Record/000687040","HathiTrust Record")</f>
        <v/>
      </c>
      <c r="AS504">
        <f>HYPERLINK("https://creighton-primo.hosted.exlibrisgroup.com/primo-explore/search?tab=default_tab&amp;search_scope=EVERYTHING&amp;vid=01CRU&amp;lang=en_US&amp;offset=0&amp;query=any,contains,991001772779702656","Catalog Record")</f>
        <v/>
      </c>
      <c r="AT504">
        <f>HYPERLINK("http://www.worldcat.org/oclc/3933172","WorldCat Record")</f>
        <v/>
      </c>
      <c r="AU504" t="inlineStr">
        <is>
          <t>13681022:eng</t>
        </is>
      </c>
      <c r="AV504" t="inlineStr">
        <is>
          <t>3933172</t>
        </is>
      </c>
      <c r="AW504" t="inlineStr">
        <is>
          <t>991001772779702656</t>
        </is>
      </c>
      <c r="AX504" t="inlineStr">
        <is>
          <t>991001772779702656</t>
        </is>
      </c>
      <c r="AY504" t="inlineStr">
        <is>
          <t>2266561500002656</t>
        </is>
      </c>
      <c r="AZ504" t="inlineStr">
        <is>
          <t>BOOK</t>
        </is>
      </c>
      <c r="BB504" t="inlineStr">
        <is>
          <t>9780470264171</t>
        </is>
      </c>
      <c r="BC504" t="inlineStr">
        <is>
          <t>30001000820250</t>
        </is>
      </c>
      <c r="BD504" t="inlineStr">
        <is>
          <t>893359192</t>
        </is>
      </c>
    </row>
    <row r="505">
      <c r="A505" t="inlineStr">
        <is>
          <t>No</t>
        </is>
      </c>
      <c r="B505" t="inlineStr">
        <is>
          <t>RJ506.A9 C48</t>
        </is>
      </c>
      <c r="C505" t="inlineStr">
        <is>
          <t>0                      RJ 0506000A  9                  C  48</t>
        </is>
      </c>
      <c r="D505" t="inlineStr">
        <is>
          <t>Psychopathology and child development : research and treatment / edited by Eric Schopler and Robert J. Reichler.</t>
        </is>
      </c>
      <c r="F505" t="inlineStr">
        <is>
          <t>No</t>
        </is>
      </c>
      <c r="G505" t="inlineStr">
        <is>
          <t>1</t>
        </is>
      </c>
      <c r="H505" t="inlineStr">
        <is>
          <t>Yes</t>
        </is>
      </c>
      <c r="I505" t="inlineStr">
        <is>
          <t>No</t>
        </is>
      </c>
      <c r="J505" t="inlineStr">
        <is>
          <t>0</t>
        </is>
      </c>
      <c r="L505" t="inlineStr">
        <is>
          <t>New York : Plenum Press, c1976.</t>
        </is>
      </c>
      <c r="M505" t="inlineStr">
        <is>
          <t>1976</t>
        </is>
      </c>
      <c r="O505" t="inlineStr">
        <is>
          <t>eng</t>
        </is>
      </c>
      <c r="P505" t="inlineStr">
        <is>
          <t>nyu</t>
        </is>
      </c>
      <c r="R505" t="inlineStr">
        <is>
          <t xml:space="preserve">RJ </t>
        </is>
      </c>
      <c r="S505" t="n">
        <v>0</v>
      </c>
      <c r="T505" t="n">
        <v>4</v>
      </c>
      <c r="V505" t="inlineStr">
        <is>
          <t>1994-12-01</t>
        </is>
      </c>
      <c r="W505" t="inlineStr">
        <is>
          <t>1987-11-15</t>
        </is>
      </c>
      <c r="X505" t="inlineStr">
        <is>
          <t>1992-01-28</t>
        </is>
      </c>
      <c r="Y505" t="n">
        <v>528</v>
      </c>
      <c r="Z505" t="n">
        <v>427</v>
      </c>
      <c r="AA505" t="n">
        <v>447</v>
      </c>
      <c r="AB505" t="n">
        <v>5</v>
      </c>
      <c r="AC505" t="n">
        <v>5</v>
      </c>
      <c r="AD505" t="n">
        <v>25</v>
      </c>
      <c r="AE505" t="n">
        <v>26</v>
      </c>
      <c r="AF505" t="n">
        <v>11</v>
      </c>
      <c r="AG505" t="n">
        <v>12</v>
      </c>
      <c r="AH505" t="n">
        <v>5</v>
      </c>
      <c r="AI505" t="n">
        <v>5</v>
      </c>
      <c r="AJ505" t="n">
        <v>17</v>
      </c>
      <c r="AK505" t="n">
        <v>17</v>
      </c>
      <c r="AL505" t="n">
        <v>2</v>
      </c>
      <c r="AM505" t="n">
        <v>2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HYPERLINK("http://catalog.hathitrust.org/Record/000687150","HathiTrust Record")</f>
        <v/>
      </c>
      <c r="AS505">
        <f>HYPERLINK("https://creighton-primo.hosted.exlibrisgroup.com/primo-explore/search?tab=default_tab&amp;search_scope=EVERYTHING&amp;vid=01CRU&amp;lang=en_US&amp;offset=0&amp;query=any,contains,991001772289702656","Catalog Record")</f>
        <v/>
      </c>
      <c r="AT505">
        <f>HYPERLINK("http://www.worldcat.org/oclc/1976831","WorldCat Record")</f>
        <v/>
      </c>
      <c r="AU505" t="inlineStr">
        <is>
          <t>889336678:eng</t>
        </is>
      </c>
      <c r="AV505" t="inlineStr">
        <is>
          <t>1976831</t>
        </is>
      </c>
      <c r="AW505" t="inlineStr">
        <is>
          <t>991001772289702656</t>
        </is>
      </c>
      <c r="AX505" t="inlineStr">
        <is>
          <t>991001772289702656</t>
        </is>
      </c>
      <c r="AY505" t="inlineStr">
        <is>
          <t>2268553840002656</t>
        </is>
      </c>
      <c r="AZ505" t="inlineStr">
        <is>
          <t>BOOK</t>
        </is>
      </c>
      <c r="BB505" t="inlineStr">
        <is>
          <t>9780306308703</t>
        </is>
      </c>
      <c r="BC505" t="inlineStr">
        <is>
          <t>30001000556086</t>
        </is>
      </c>
      <c r="BD505" t="inlineStr">
        <is>
          <t>893274595</t>
        </is>
      </c>
    </row>
    <row r="506">
      <c r="A506" t="inlineStr">
        <is>
          <t>No</t>
        </is>
      </c>
      <c r="B506" t="inlineStr">
        <is>
          <t>RJ506.A9 C53 1985</t>
        </is>
      </c>
      <c r="C506" t="inlineStr">
        <is>
          <t>0                      RJ 0506000A  9                  C  53          1985</t>
        </is>
      </c>
      <c r="D506" t="inlineStr">
        <is>
          <t>Classic readings in autism / edited by Anne M. Donnellan.</t>
        </is>
      </c>
      <c r="F506" t="inlineStr">
        <is>
          <t>No</t>
        </is>
      </c>
      <c r="G506" t="inlineStr">
        <is>
          <t>1</t>
        </is>
      </c>
      <c r="H506" t="inlineStr">
        <is>
          <t>Yes</t>
        </is>
      </c>
      <c r="I506" t="inlineStr">
        <is>
          <t>No</t>
        </is>
      </c>
      <c r="J506" t="inlineStr">
        <is>
          <t>0</t>
        </is>
      </c>
      <c r="L506" t="inlineStr">
        <is>
          <t>New York : Teachers College, Columbia University, c1985.</t>
        </is>
      </c>
      <c r="M506" t="inlineStr">
        <is>
          <t>1985</t>
        </is>
      </c>
      <c r="O506" t="inlineStr">
        <is>
          <t>eng</t>
        </is>
      </c>
      <c r="P506" t="inlineStr">
        <is>
          <t>nyu</t>
        </is>
      </c>
      <c r="Q506" t="inlineStr">
        <is>
          <t>Special education series</t>
        </is>
      </c>
      <c r="R506" t="inlineStr">
        <is>
          <t xml:space="preserve">RJ </t>
        </is>
      </c>
      <c r="S506" t="n">
        <v>8</v>
      </c>
      <c r="T506" t="n">
        <v>28</v>
      </c>
      <c r="U506" t="inlineStr">
        <is>
          <t>1996-02-04</t>
        </is>
      </c>
      <c r="V506" t="inlineStr">
        <is>
          <t>1998-11-12</t>
        </is>
      </c>
      <c r="W506" t="inlineStr">
        <is>
          <t>1987-11-15</t>
        </is>
      </c>
      <c r="X506" t="inlineStr">
        <is>
          <t>1990-07-02</t>
        </is>
      </c>
      <c r="Y506" t="n">
        <v>427</v>
      </c>
      <c r="Z506" t="n">
        <v>379</v>
      </c>
      <c r="AA506" t="n">
        <v>380</v>
      </c>
      <c r="AB506" t="n">
        <v>4</v>
      </c>
      <c r="AC506" t="n">
        <v>4</v>
      </c>
      <c r="AD506" t="n">
        <v>14</v>
      </c>
      <c r="AE506" t="n">
        <v>14</v>
      </c>
      <c r="AF506" t="n">
        <v>4</v>
      </c>
      <c r="AG506" t="n">
        <v>4</v>
      </c>
      <c r="AH506" t="n">
        <v>2</v>
      </c>
      <c r="AI506" t="n">
        <v>2</v>
      </c>
      <c r="AJ506" t="n">
        <v>8</v>
      </c>
      <c r="AK506" t="n">
        <v>8</v>
      </c>
      <c r="AL506" t="n">
        <v>2</v>
      </c>
      <c r="AM506" t="n">
        <v>2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HYPERLINK("https://creighton-primo.hosted.exlibrisgroup.com/primo-explore/search?tab=default_tab&amp;search_scope=EVERYTHING&amp;vid=01CRU&amp;lang=en_US&amp;offset=0&amp;query=any,contains,991001772979702656","Catalog Record")</f>
        <v/>
      </c>
      <c r="AT506">
        <f>HYPERLINK("http://www.worldcat.org/oclc/11726472","WorldCat Record")</f>
        <v/>
      </c>
      <c r="AU506" t="inlineStr">
        <is>
          <t>54694522:eng</t>
        </is>
      </c>
      <c r="AV506" t="inlineStr">
        <is>
          <t>11726472</t>
        </is>
      </c>
      <c r="AW506" t="inlineStr">
        <is>
          <t>991001772979702656</t>
        </is>
      </c>
      <c r="AX506" t="inlineStr">
        <is>
          <t>991001772979702656</t>
        </is>
      </c>
      <c r="AY506" t="inlineStr">
        <is>
          <t>2255105220002656</t>
        </is>
      </c>
      <c r="AZ506" t="inlineStr">
        <is>
          <t>BOOK</t>
        </is>
      </c>
      <c r="BB506" t="inlineStr">
        <is>
          <t>9780807727744</t>
        </is>
      </c>
      <c r="BC506" t="inlineStr">
        <is>
          <t>30001000820276</t>
        </is>
      </c>
      <c r="BD506" t="inlineStr">
        <is>
          <t>893558567</t>
        </is>
      </c>
    </row>
    <row r="507">
      <c r="A507" t="inlineStr">
        <is>
          <t>No</t>
        </is>
      </c>
      <c r="B507" t="inlineStr">
        <is>
          <t>RJ506.A9 K64 1982</t>
        </is>
      </c>
      <c r="C507" t="inlineStr">
        <is>
          <t>0                      RJ 0506000A  9                  K  64          1982</t>
        </is>
      </c>
      <c r="D507" t="inlineStr">
        <is>
          <t>How to teach autistic and other severely handicapped children / by Robert L. Koegel and Laura Schreibman.</t>
        </is>
      </c>
      <c r="F507" t="inlineStr">
        <is>
          <t>No</t>
        </is>
      </c>
      <c r="G507" t="inlineStr">
        <is>
          <t>1</t>
        </is>
      </c>
      <c r="H507" t="inlineStr">
        <is>
          <t>Yes</t>
        </is>
      </c>
      <c r="I507" t="inlineStr">
        <is>
          <t>No</t>
        </is>
      </c>
      <c r="J507" t="inlineStr">
        <is>
          <t>0</t>
        </is>
      </c>
      <c r="K507" t="inlineStr">
        <is>
          <t>Koegel, Robert L., 1944-</t>
        </is>
      </c>
      <c r="L507" t="inlineStr">
        <is>
          <t>Lawrence, KS : H&amp;H Enterprises, c1982.</t>
        </is>
      </c>
      <c r="M507" t="inlineStr">
        <is>
          <t>1982</t>
        </is>
      </c>
      <c r="O507" t="inlineStr">
        <is>
          <t>eng</t>
        </is>
      </c>
      <c r="P507" t="inlineStr">
        <is>
          <t>ksu</t>
        </is>
      </c>
      <c r="R507" t="inlineStr">
        <is>
          <t xml:space="preserve">RJ </t>
        </is>
      </c>
      <c r="S507" t="n">
        <v>11</v>
      </c>
      <c r="T507" t="n">
        <v>18</v>
      </c>
      <c r="U507" t="inlineStr">
        <is>
          <t>2001-10-23</t>
        </is>
      </c>
      <c r="V507" t="inlineStr">
        <is>
          <t>2008-02-21</t>
        </is>
      </c>
      <c r="W507" t="inlineStr">
        <is>
          <t>1990-01-17</t>
        </is>
      </c>
      <c r="X507" t="inlineStr">
        <is>
          <t>1992-11-13</t>
        </is>
      </c>
      <c r="Y507" t="n">
        <v>91</v>
      </c>
      <c r="Z507" t="n">
        <v>74</v>
      </c>
      <c r="AA507" t="n">
        <v>109</v>
      </c>
      <c r="AB507" t="n">
        <v>4</v>
      </c>
      <c r="AC507" t="n">
        <v>4</v>
      </c>
      <c r="AD507" t="n">
        <v>4</v>
      </c>
      <c r="AE507" t="n">
        <v>6</v>
      </c>
      <c r="AF507" t="n">
        <v>1</v>
      </c>
      <c r="AG507" t="n">
        <v>3</v>
      </c>
      <c r="AH507" t="n">
        <v>0</v>
      </c>
      <c r="AI507" t="n">
        <v>0</v>
      </c>
      <c r="AJ507" t="n">
        <v>1</v>
      </c>
      <c r="AK507" t="n">
        <v>2</v>
      </c>
      <c r="AL507" t="n">
        <v>2</v>
      </c>
      <c r="AM507" t="n">
        <v>2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HYPERLINK("https://creighton-primo.hosted.exlibrisgroup.com/primo-explore/search?tab=default_tab&amp;search_scope=EVERYTHING&amp;vid=01CRU&amp;lang=en_US&amp;offset=0&amp;query=any,contains,991001797869702656","Catalog Record")</f>
        <v/>
      </c>
      <c r="AT507">
        <f>HYPERLINK("http://www.worldcat.org/oclc/8643722","WorldCat Record")</f>
        <v/>
      </c>
      <c r="AU507" t="inlineStr">
        <is>
          <t>3902718241:eng</t>
        </is>
      </c>
      <c r="AV507" t="inlineStr">
        <is>
          <t>8643722</t>
        </is>
      </c>
      <c r="AW507" t="inlineStr">
        <is>
          <t>991001797869702656</t>
        </is>
      </c>
      <c r="AX507" t="inlineStr">
        <is>
          <t>991001797869702656</t>
        </is>
      </c>
      <c r="AY507" t="inlineStr">
        <is>
          <t>2272371690002656</t>
        </is>
      </c>
      <c r="AZ507" t="inlineStr">
        <is>
          <t>BOOK</t>
        </is>
      </c>
      <c r="BB507" t="inlineStr">
        <is>
          <t>9780890790656</t>
        </is>
      </c>
      <c r="BC507" t="inlineStr">
        <is>
          <t>30001001799727</t>
        </is>
      </c>
      <c r="BD507" t="inlineStr">
        <is>
          <t>893279682</t>
        </is>
      </c>
    </row>
    <row r="508">
      <c r="A508" t="inlineStr">
        <is>
          <t>No</t>
        </is>
      </c>
      <c r="B508" t="inlineStr">
        <is>
          <t>RJ506.D4 C66 1975</t>
        </is>
      </c>
      <c r="C508" t="inlineStr">
        <is>
          <t>0                      RJ 0506000D  4                  C  66          1975</t>
        </is>
      </c>
      <c r="D508" t="inlineStr">
        <is>
          <t>Depression in childhood : diagnosis, treatment, and conceptual models / edited by Joy G. Schulterbrandt and Allen Raskin.</t>
        </is>
      </c>
      <c r="F508" t="inlineStr">
        <is>
          <t>No</t>
        </is>
      </c>
      <c r="G508" t="inlineStr">
        <is>
          <t>1</t>
        </is>
      </c>
      <c r="H508" t="inlineStr">
        <is>
          <t>Yes</t>
        </is>
      </c>
      <c r="I508" t="inlineStr">
        <is>
          <t>No</t>
        </is>
      </c>
      <c r="J508" t="inlineStr">
        <is>
          <t>0</t>
        </is>
      </c>
      <c r="K508" t="inlineStr">
        <is>
          <t>Conference on Depression in Childhood (1975 : Washington, D.C.)</t>
        </is>
      </c>
      <c r="L508" t="inlineStr">
        <is>
          <t>New York : Raven Press, 1977.</t>
        </is>
      </c>
      <c r="M508" t="inlineStr">
        <is>
          <t>1977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RJ </t>
        </is>
      </c>
      <c r="S508" t="n">
        <v>7</v>
      </c>
      <c r="T508" t="n">
        <v>33</v>
      </c>
      <c r="U508" t="inlineStr">
        <is>
          <t>1992-10-28</t>
        </is>
      </c>
      <c r="V508" t="inlineStr">
        <is>
          <t>2001-03-21</t>
        </is>
      </c>
      <c r="W508" t="inlineStr">
        <is>
          <t>1987-12-08</t>
        </is>
      </c>
      <c r="X508" t="inlineStr">
        <is>
          <t>1992-03-20</t>
        </is>
      </c>
      <c r="Y508" t="n">
        <v>429</v>
      </c>
      <c r="Z508" t="n">
        <v>340</v>
      </c>
      <c r="AA508" t="n">
        <v>443</v>
      </c>
      <c r="AB508" t="n">
        <v>6</v>
      </c>
      <c r="AC508" t="n">
        <v>6</v>
      </c>
      <c r="AD508" t="n">
        <v>20</v>
      </c>
      <c r="AE508" t="n">
        <v>21</v>
      </c>
      <c r="AF508" t="n">
        <v>6</v>
      </c>
      <c r="AG508" t="n">
        <v>6</v>
      </c>
      <c r="AH508" t="n">
        <v>5</v>
      </c>
      <c r="AI508" t="n">
        <v>5</v>
      </c>
      <c r="AJ508" t="n">
        <v>11</v>
      </c>
      <c r="AK508" t="n">
        <v>12</v>
      </c>
      <c r="AL508" t="n">
        <v>4</v>
      </c>
      <c r="AM508" t="n">
        <v>4</v>
      </c>
      <c r="AN508" t="n">
        <v>0</v>
      </c>
      <c r="AO508" t="n">
        <v>0</v>
      </c>
      <c r="AP508" t="inlineStr">
        <is>
          <t>Yes</t>
        </is>
      </c>
      <c r="AQ508" t="inlineStr">
        <is>
          <t>No</t>
        </is>
      </c>
      <c r="AR508">
        <f>HYPERLINK("http://catalog.hathitrust.org/Record/100716786","HathiTrust Record")</f>
        <v/>
      </c>
      <c r="AS508">
        <f>HYPERLINK("https://creighton-primo.hosted.exlibrisgroup.com/primo-explore/search?tab=default_tab&amp;search_scope=EVERYTHING&amp;vid=01CRU&amp;lang=en_US&amp;offset=0&amp;query=any,contains,991001781729702656","Catalog Record")</f>
        <v/>
      </c>
      <c r="AT508">
        <f>HYPERLINK("http://www.worldcat.org/oclc/3003304","WorldCat Record")</f>
        <v/>
      </c>
      <c r="AU508" t="inlineStr">
        <is>
          <t>890490674:eng</t>
        </is>
      </c>
      <c r="AV508" t="inlineStr">
        <is>
          <t>3003304</t>
        </is>
      </c>
      <c r="AW508" t="inlineStr">
        <is>
          <t>991001781729702656</t>
        </is>
      </c>
      <c r="AX508" t="inlineStr">
        <is>
          <t>991001781729702656</t>
        </is>
      </c>
      <c r="AY508" t="inlineStr">
        <is>
          <t>2270929370002656</t>
        </is>
      </c>
      <c r="AZ508" t="inlineStr">
        <is>
          <t>BOOK</t>
        </is>
      </c>
      <c r="BB508" t="inlineStr">
        <is>
          <t>9780890041475</t>
        </is>
      </c>
      <c r="BC508" t="inlineStr">
        <is>
          <t>30001000249161</t>
        </is>
      </c>
      <c r="BD508" t="inlineStr">
        <is>
          <t>893736952</t>
        </is>
      </c>
    </row>
    <row r="509">
      <c r="A509" t="inlineStr">
        <is>
          <t>No</t>
        </is>
      </c>
      <c r="B509" t="inlineStr">
        <is>
          <t>RJ506.H9 C36</t>
        </is>
      </c>
      <c r="C509" t="inlineStr">
        <is>
          <t>0                      RJ 0506000H  9                  C  36</t>
        </is>
      </c>
      <c r="D509" t="inlineStr">
        <is>
          <t>The hyperactive child : diagnosis, management, current research / editor, Dennis P. Cantwell.</t>
        </is>
      </c>
      <c r="F509" t="inlineStr">
        <is>
          <t>No</t>
        </is>
      </c>
      <c r="G509" t="inlineStr">
        <is>
          <t>1</t>
        </is>
      </c>
      <c r="H509" t="inlineStr">
        <is>
          <t>Yes</t>
        </is>
      </c>
      <c r="I509" t="inlineStr">
        <is>
          <t>No</t>
        </is>
      </c>
      <c r="J509" t="inlineStr">
        <is>
          <t>0</t>
        </is>
      </c>
      <c r="K509" t="inlineStr">
        <is>
          <t>Cantwell, Dennis P., 1939-</t>
        </is>
      </c>
      <c r="L509" t="inlineStr">
        <is>
          <t>New York : SP Books Division of Spectrum Publications : distributed by Halsted Press, [1975]</t>
        </is>
      </c>
      <c r="M509" t="inlineStr">
        <is>
          <t>1975</t>
        </is>
      </c>
      <c r="O509" t="inlineStr">
        <is>
          <t>eng</t>
        </is>
      </c>
      <c r="P509" t="inlineStr">
        <is>
          <t>nyu</t>
        </is>
      </c>
      <c r="Q509" t="inlineStr">
        <is>
          <t>Series on child behavior and development ; v. 1</t>
        </is>
      </c>
      <c r="R509" t="inlineStr">
        <is>
          <t xml:space="preserve">RJ </t>
        </is>
      </c>
      <c r="S509" t="n">
        <v>4</v>
      </c>
      <c r="T509" t="n">
        <v>14</v>
      </c>
      <c r="U509" t="inlineStr">
        <is>
          <t>1993-10-25</t>
        </is>
      </c>
      <c r="V509" t="inlineStr">
        <is>
          <t>1998-03-01</t>
        </is>
      </c>
      <c r="W509" t="inlineStr">
        <is>
          <t>1988-01-05</t>
        </is>
      </c>
      <c r="X509" t="inlineStr">
        <is>
          <t>1991-11-19</t>
        </is>
      </c>
      <c r="Y509" t="n">
        <v>613</v>
      </c>
      <c r="Z509" t="n">
        <v>516</v>
      </c>
      <c r="AA509" t="n">
        <v>535</v>
      </c>
      <c r="AB509" t="n">
        <v>6</v>
      </c>
      <c r="AC509" t="n">
        <v>6</v>
      </c>
      <c r="AD509" t="n">
        <v>16</v>
      </c>
      <c r="AE509" t="n">
        <v>18</v>
      </c>
      <c r="AF509" t="n">
        <v>8</v>
      </c>
      <c r="AG509" t="n">
        <v>9</v>
      </c>
      <c r="AH509" t="n">
        <v>3</v>
      </c>
      <c r="AI509" t="n">
        <v>4</v>
      </c>
      <c r="AJ509" t="n">
        <v>8</v>
      </c>
      <c r="AK509" t="n">
        <v>8</v>
      </c>
      <c r="AL509" t="n">
        <v>2</v>
      </c>
      <c r="AM509" t="n">
        <v>2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HYPERLINK("http://catalog.hathitrust.org/Record/000040313","HathiTrust Record")</f>
        <v/>
      </c>
      <c r="AS509">
        <f>HYPERLINK("https://creighton-primo.hosted.exlibrisgroup.com/primo-explore/search?tab=default_tab&amp;search_scope=EVERYTHING&amp;vid=01CRU&amp;lang=en_US&amp;offset=0&amp;query=any,contains,991001772319702656","Catalog Record")</f>
        <v/>
      </c>
      <c r="AT509">
        <f>HYPERLINK("http://www.worldcat.org/oclc/1601870","WorldCat Record")</f>
        <v/>
      </c>
      <c r="AU509" t="inlineStr">
        <is>
          <t>20408711:eng</t>
        </is>
      </c>
      <c r="AV509" t="inlineStr">
        <is>
          <t>1601870</t>
        </is>
      </c>
      <c r="AW509" t="inlineStr">
        <is>
          <t>991001772319702656</t>
        </is>
      </c>
      <c r="AX509" t="inlineStr">
        <is>
          <t>991001772319702656</t>
        </is>
      </c>
      <c r="AY509" t="inlineStr">
        <is>
          <t>2266536310002656</t>
        </is>
      </c>
      <c r="AZ509" t="inlineStr">
        <is>
          <t>BOOK</t>
        </is>
      </c>
      <c r="BB509" t="inlineStr">
        <is>
          <t>9780470134412</t>
        </is>
      </c>
      <c r="BC509" t="inlineStr">
        <is>
          <t>30001000150823</t>
        </is>
      </c>
      <c r="BD509" t="inlineStr">
        <is>
          <t>893370048</t>
        </is>
      </c>
    </row>
    <row r="510">
      <c r="A510" t="inlineStr">
        <is>
          <t>No</t>
        </is>
      </c>
      <c r="B510" t="inlineStr">
        <is>
          <t>RJ506.H9 F4 1983</t>
        </is>
      </c>
      <c r="C510" t="inlineStr">
        <is>
          <t>0                      RJ 0506000H  9                  F  4           1983</t>
        </is>
      </c>
      <c r="D510" t="inlineStr">
        <is>
          <t>The Feingold handbook.</t>
        </is>
      </c>
      <c r="F510" t="inlineStr">
        <is>
          <t>No</t>
        </is>
      </c>
      <c r="G510" t="inlineStr">
        <is>
          <t>1</t>
        </is>
      </c>
      <c r="H510" t="inlineStr">
        <is>
          <t>Yes</t>
        </is>
      </c>
      <c r="I510" t="inlineStr">
        <is>
          <t>No</t>
        </is>
      </c>
      <c r="J510" t="inlineStr">
        <is>
          <t>0</t>
        </is>
      </c>
      <c r="L510" t="inlineStr">
        <is>
          <t>Alexandria, VA : Feingold Association of the United States, c1983.</t>
        </is>
      </c>
      <c r="M510" t="inlineStr">
        <is>
          <t>1983</t>
        </is>
      </c>
      <c r="N510" t="inlineStr">
        <is>
          <t>2nd ed.</t>
        </is>
      </c>
      <c r="O510" t="inlineStr">
        <is>
          <t>eng</t>
        </is>
      </c>
      <c r="P510" t="inlineStr">
        <is>
          <t>vau</t>
        </is>
      </c>
      <c r="R510" t="inlineStr">
        <is>
          <t xml:space="preserve">RJ </t>
        </is>
      </c>
      <c r="S510" t="n">
        <v>0</v>
      </c>
      <c r="T510" t="n">
        <v>4</v>
      </c>
      <c r="V510" t="inlineStr">
        <is>
          <t>1998-10-27</t>
        </is>
      </c>
      <c r="W510" t="inlineStr">
        <is>
          <t>1988-01-05</t>
        </is>
      </c>
      <c r="X510" t="inlineStr">
        <is>
          <t>1993-03-03</t>
        </is>
      </c>
      <c r="Y510" t="n">
        <v>261</v>
      </c>
      <c r="Z510" t="n">
        <v>258</v>
      </c>
      <c r="AA510" t="n">
        <v>272</v>
      </c>
      <c r="AB510" t="n">
        <v>4</v>
      </c>
      <c r="AC510" t="n">
        <v>4</v>
      </c>
      <c r="AD510" t="n">
        <v>6</v>
      </c>
      <c r="AE510" t="n">
        <v>6</v>
      </c>
      <c r="AF510" t="n">
        <v>2</v>
      </c>
      <c r="AG510" t="n">
        <v>2</v>
      </c>
      <c r="AH510" t="n">
        <v>0</v>
      </c>
      <c r="AI510" t="n">
        <v>0</v>
      </c>
      <c r="AJ510" t="n">
        <v>2</v>
      </c>
      <c r="AK510" t="n">
        <v>2</v>
      </c>
      <c r="AL510" t="n">
        <v>2</v>
      </c>
      <c r="AM510" t="n">
        <v>2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HYPERLINK("https://creighton-primo.hosted.exlibrisgroup.com/primo-explore/search?tab=default_tab&amp;search_scope=EVERYTHING&amp;vid=01CRU&amp;lang=en_US&amp;offset=0&amp;query=any,contains,991001761129702656","Catalog Record")</f>
        <v/>
      </c>
      <c r="AT510">
        <f>HYPERLINK("http://www.worldcat.org/oclc/9954542","WorldCat Record")</f>
        <v/>
      </c>
      <c r="AU510" t="inlineStr">
        <is>
          <t>54600354:eng</t>
        </is>
      </c>
      <c r="AV510" t="inlineStr">
        <is>
          <t>9954542</t>
        </is>
      </c>
      <c r="AW510" t="inlineStr">
        <is>
          <t>991001761129702656</t>
        </is>
      </c>
      <c r="AX510" t="inlineStr">
        <is>
          <t>991001761129702656</t>
        </is>
      </c>
      <c r="AY510" t="inlineStr">
        <is>
          <t>2264453600002656</t>
        </is>
      </c>
      <c r="AZ510" t="inlineStr">
        <is>
          <t>BOOK</t>
        </is>
      </c>
      <c r="BC510" t="inlineStr">
        <is>
          <t>30001000059206</t>
        </is>
      </c>
      <c r="BD510" t="inlineStr">
        <is>
          <t>893816666</t>
        </is>
      </c>
    </row>
    <row r="511">
      <c r="A511" t="inlineStr">
        <is>
          <t>No</t>
        </is>
      </c>
      <c r="B511" t="inlineStr">
        <is>
          <t>RJ506.M4 C63</t>
        </is>
      </c>
      <c r="C511" t="inlineStr">
        <is>
          <t>0                      RJ 0506000M  4                  C  63</t>
        </is>
      </c>
      <c r="D511" t="inlineStr">
        <is>
          <t>Occupational therapy for mentally retarded children : guidelines for occupational therapy aides and certified occupational therapy assistants / Mildred Copeland, Lana Ford, Nancy Solon.</t>
        </is>
      </c>
      <c r="F511" t="inlineStr">
        <is>
          <t>No</t>
        </is>
      </c>
      <c r="G511" t="inlineStr">
        <is>
          <t>1</t>
        </is>
      </c>
      <c r="H511" t="inlineStr">
        <is>
          <t>Yes</t>
        </is>
      </c>
      <c r="I511" t="inlineStr">
        <is>
          <t>No</t>
        </is>
      </c>
      <c r="J511" t="inlineStr">
        <is>
          <t>0</t>
        </is>
      </c>
      <c r="K511" t="inlineStr">
        <is>
          <t>Copeland, Mildred E.</t>
        </is>
      </c>
      <c r="L511" t="inlineStr">
        <is>
          <t>Baltimore : University Park Press, c1976.</t>
        </is>
      </c>
      <c r="M511" t="inlineStr">
        <is>
          <t>1976</t>
        </is>
      </c>
      <c r="O511" t="inlineStr">
        <is>
          <t>eng</t>
        </is>
      </c>
      <c r="P511" t="inlineStr">
        <is>
          <t>mdu</t>
        </is>
      </c>
      <c r="R511" t="inlineStr">
        <is>
          <t xml:space="preserve">RJ </t>
        </is>
      </c>
      <c r="S511" t="n">
        <v>15</v>
      </c>
      <c r="T511" t="n">
        <v>25</v>
      </c>
      <c r="U511" t="inlineStr">
        <is>
          <t>2001-01-23</t>
        </is>
      </c>
      <c r="V511" t="inlineStr">
        <is>
          <t>2001-01-23</t>
        </is>
      </c>
      <c r="W511" t="inlineStr">
        <is>
          <t>1988-01-03</t>
        </is>
      </c>
      <c r="X511" t="inlineStr">
        <is>
          <t>1992-03-03</t>
        </is>
      </c>
      <c r="Y511" t="n">
        <v>265</v>
      </c>
      <c r="Z511" t="n">
        <v>211</v>
      </c>
      <c r="AA511" t="n">
        <v>213</v>
      </c>
      <c r="AB511" t="n">
        <v>3</v>
      </c>
      <c r="AC511" t="n">
        <v>3</v>
      </c>
      <c r="AD511" t="n">
        <v>7</v>
      </c>
      <c r="AE511" t="n">
        <v>7</v>
      </c>
      <c r="AF511" t="n">
        <v>4</v>
      </c>
      <c r="AG511" t="n">
        <v>4</v>
      </c>
      <c r="AH511" t="n">
        <v>1</v>
      </c>
      <c r="AI511" t="n">
        <v>1</v>
      </c>
      <c r="AJ511" t="n">
        <v>4</v>
      </c>
      <c r="AK511" t="n">
        <v>4</v>
      </c>
      <c r="AL511" t="n">
        <v>1</v>
      </c>
      <c r="AM511" t="n">
        <v>1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HYPERLINK("http://catalog.hathitrust.org/Record/000723246","HathiTrust Record")</f>
        <v/>
      </c>
      <c r="AS511">
        <f>HYPERLINK("https://creighton-primo.hosted.exlibrisgroup.com/primo-explore/search?tab=default_tab&amp;search_scope=EVERYTHING&amp;vid=01CRU&amp;lang=en_US&amp;offset=0&amp;query=any,contains,991001785239702656","Catalog Record")</f>
        <v/>
      </c>
      <c r="AT511">
        <f>HYPERLINK("http://www.worldcat.org/oclc/2089720","WorldCat Record")</f>
        <v/>
      </c>
      <c r="AU511" t="inlineStr">
        <is>
          <t>366629644:eng</t>
        </is>
      </c>
      <c r="AV511" t="inlineStr">
        <is>
          <t>2089720</t>
        </is>
      </c>
      <c r="AW511" t="inlineStr">
        <is>
          <t>991001785239702656</t>
        </is>
      </c>
      <c r="AX511" t="inlineStr">
        <is>
          <t>991001785239702656</t>
        </is>
      </c>
      <c r="AY511" t="inlineStr">
        <is>
          <t>2263285010002656</t>
        </is>
      </c>
      <c r="AZ511" t="inlineStr">
        <is>
          <t>BOOK</t>
        </is>
      </c>
      <c r="BB511" t="inlineStr">
        <is>
          <t>9780839109303</t>
        </is>
      </c>
      <c r="BC511" t="inlineStr">
        <is>
          <t>30001000268534</t>
        </is>
      </c>
      <c r="BD511" t="inlineStr">
        <is>
          <t>893547329</t>
        </is>
      </c>
    </row>
    <row r="512">
      <c r="A512" t="inlineStr">
        <is>
          <t>No</t>
        </is>
      </c>
      <c r="B512" t="inlineStr">
        <is>
          <t>RJ506.S9 S87 1984</t>
        </is>
      </c>
      <c r="C512" t="inlineStr">
        <is>
          <t>0                      RJ 0506000S  9                  S  87          1984</t>
        </is>
      </c>
      <c r="D512" t="inlineStr">
        <is>
          <t>Suicide in the young / edited by Howard S. Sudak, Amasa B. Ford, Norman B. Rushforth.</t>
        </is>
      </c>
      <c r="F512" t="inlineStr">
        <is>
          <t>No</t>
        </is>
      </c>
      <c r="G512" t="inlineStr">
        <is>
          <t>1</t>
        </is>
      </c>
      <c r="H512" t="inlineStr">
        <is>
          <t>Yes</t>
        </is>
      </c>
      <c r="I512" t="inlineStr">
        <is>
          <t>No</t>
        </is>
      </c>
      <c r="J512" t="inlineStr">
        <is>
          <t>0</t>
        </is>
      </c>
      <c r="L512" t="inlineStr">
        <is>
          <t>Boston : J. Wright : PSG, 1984.</t>
        </is>
      </c>
      <c r="M512" t="inlineStr">
        <is>
          <t>1984</t>
        </is>
      </c>
      <c r="O512" t="inlineStr">
        <is>
          <t>eng</t>
        </is>
      </c>
      <c r="P512" t="inlineStr">
        <is>
          <t>mau</t>
        </is>
      </c>
      <c r="R512" t="inlineStr">
        <is>
          <t xml:space="preserve">RJ </t>
        </is>
      </c>
      <c r="S512" t="n">
        <v>5</v>
      </c>
      <c r="T512" t="n">
        <v>21</v>
      </c>
      <c r="U512" t="inlineStr">
        <is>
          <t>1997-04-14</t>
        </is>
      </c>
      <c r="V512" t="inlineStr">
        <is>
          <t>2004-01-15</t>
        </is>
      </c>
      <c r="W512" t="inlineStr">
        <is>
          <t>1987-09-18</t>
        </is>
      </c>
      <c r="X512" t="inlineStr">
        <is>
          <t>1992-04-16</t>
        </is>
      </c>
      <c r="Y512" t="n">
        <v>314</v>
      </c>
      <c r="Z512" t="n">
        <v>248</v>
      </c>
      <c r="AA512" t="n">
        <v>255</v>
      </c>
      <c r="AB512" t="n">
        <v>3</v>
      </c>
      <c r="AC512" t="n">
        <v>3</v>
      </c>
      <c r="AD512" t="n">
        <v>10</v>
      </c>
      <c r="AE512" t="n">
        <v>10</v>
      </c>
      <c r="AF512" t="n">
        <v>3</v>
      </c>
      <c r="AG512" t="n">
        <v>3</v>
      </c>
      <c r="AH512" t="n">
        <v>3</v>
      </c>
      <c r="AI512" t="n">
        <v>3</v>
      </c>
      <c r="AJ512" t="n">
        <v>8</v>
      </c>
      <c r="AK512" t="n">
        <v>8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HYPERLINK("http://catalog.hathitrust.org/Record/000780452","HathiTrust Record")</f>
        <v/>
      </c>
      <c r="AS512">
        <f>HYPERLINK("https://creighton-primo.hosted.exlibrisgroup.com/primo-explore/search?tab=default_tab&amp;search_scope=EVERYTHING&amp;vid=01CRU&amp;lang=en_US&amp;offset=0&amp;query=any,contains,991001767299702656","Catalog Record")</f>
        <v/>
      </c>
      <c r="AT512">
        <f>HYPERLINK("http://www.worldcat.org/oclc/10162928","WorldCat Record")</f>
        <v/>
      </c>
      <c r="AU512" t="inlineStr">
        <is>
          <t>353013108:eng</t>
        </is>
      </c>
      <c r="AV512" t="inlineStr">
        <is>
          <t>10162928</t>
        </is>
      </c>
      <c r="AW512" t="inlineStr">
        <is>
          <t>991001767299702656</t>
        </is>
      </c>
      <c r="AX512" t="inlineStr">
        <is>
          <t>991001767299702656</t>
        </is>
      </c>
      <c r="AY512" t="inlineStr">
        <is>
          <t>2268024190002656</t>
        </is>
      </c>
      <c r="AZ512" t="inlineStr">
        <is>
          <t>BOOK</t>
        </is>
      </c>
      <c r="BB512" t="inlineStr">
        <is>
          <t>9780723670599</t>
        </is>
      </c>
      <c r="BC512" t="inlineStr">
        <is>
          <t>30001000081580</t>
        </is>
      </c>
      <c r="BD512" t="inlineStr">
        <is>
          <t>893163018</t>
        </is>
      </c>
    </row>
    <row r="513">
      <c r="A513" t="inlineStr">
        <is>
          <t>No</t>
        </is>
      </c>
      <c r="B513" t="inlineStr">
        <is>
          <t>RJ 507.A29 H43 2004</t>
        </is>
      </c>
      <c r="C513" t="inlineStr">
        <is>
          <t>0                      RJ 0507000A  29                 H  43          2004</t>
        </is>
      </c>
      <c r="D513" t="inlineStr">
        <is>
          <t>Health consequences of abuse in the family : a clinical guide for evidence-based practice / edited by Kathleen A. Kendall-Tackett.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L513" t="inlineStr">
        <is>
          <t>Washington, DC : American Psychological Association, c2004.</t>
        </is>
      </c>
      <c r="M513" t="inlineStr">
        <is>
          <t>2004</t>
        </is>
      </c>
      <c r="N513" t="inlineStr">
        <is>
          <t>1st ed.</t>
        </is>
      </c>
      <c r="O513" t="inlineStr">
        <is>
          <t>eng</t>
        </is>
      </c>
      <c r="P513" t="inlineStr">
        <is>
          <t>dcu</t>
        </is>
      </c>
      <c r="Q513" t="inlineStr">
        <is>
          <t>Application and practice in health psychology</t>
        </is>
      </c>
      <c r="R513" t="inlineStr">
        <is>
          <t xml:space="preserve">RJ </t>
        </is>
      </c>
      <c r="S513" t="n">
        <v>0</v>
      </c>
      <c r="T513" t="n">
        <v>2</v>
      </c>
      <c r="U513" t="inlineStr">
        <is>
          <t>2004-10-04</t>
        </is>
      </c>
      <c r="V513" t="inlineStr">
        <is>
          <t>2004-10-04</t>
        </is>
      </c>
      <c r="W513" t="inlineStr">
        <is>
          <t>2004-09-24</t>
        </is>
      </c>
      <c r="X513" t="inlineStr">
        <is>
          <t>2004-09-24</t>
        </is>
      </c>
      <c r="Y513" t="n">
        <v>376</v>
      </c>
      <c r="Z513" t="n">
        <v>308</v>
      </c>
      <c r="AA513" t="n">
        <v>385</v>
      </c>
      <c r="AB513" t="n">
        <v>4</v>
      </c>
      <c r="AC513" t="n">
        <v>5</v>
      </c>
      <c r="AD513" t="n">
        <v>15</v>
      </c>
      <c r="AE513" t="n">
        <v>19</v>
      </c>
      <c r="AF513" t="n">
        <v>6</v>
      </c>
      <c r="AG513" t="n">
        <v>7</v>
      </c>
      <c r="AH513" t="n">
        <v>2</v>
      </c>
      <c r="AI513" t="n">
        <v>2</v>
      </c>
      <c r="AJ513" t="n">
        <v>7</v>
      </c>
      <c r="AK513" t="n">
        <v>9</v>
      </c>
      <c r="AL513" t="n">
        <v>2</v>
      </c>
      <c r="AM513" t="n">
        <v>3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HYPERLINK("https://creighton-primo.hosted.exlibrisgroup.com/primo-explore/search?tab=default_tab&amp;search_scope=EVERYTHING&amp;vid=01CRU&amp;lang=en_US&amp;offset=0&amp;query=any,contains,991001726589702656","Catalog Record")</f>
        <v/>
      </c>
      <c r="AT513">
        <f>HYPERLINK("http://www.worldcat.org/oclc/52806424","WorldCat Record")</f>
        <v/>
      </c>
      <c r="AU513" t="inlineStr">
        <is>
          <t>1078140611:eng</t>
        </is>
      </c>
      <c r="AV513" t="inlineStr">
        <is>
          <t>52806424</t>
        </is>
      </c>
      <c r="AW513" t="inlineStr">
        <is>
          <t>991001726589702656</t>
        </is>
      </c>
      <c r="AX513" t="inlineStr">
        <is>
          <t>991001726589702656</t>
        </is>
      </c>
      <c r="AY513" t="inlineStr">
        <is>
          <t>2265492070002656</t>
        </is>
      </c>
      <c r="AZ513" t="inlineStr">
        <is>
          <t>BOOK</t>
        </is>
      </c>
      <c r="BB513" t="inlineStr">
        <is>
          <t>9781591470458</t>
        </is>
      </c>
      <c r="BC513" t="inlineStr">
        <is>
          <t>30001004979102</t>
        </is>
      </c>
      <c r="BD513" t="inlineStr">
        <is>
          <t>893643782</t>
        </is>
      </c>
    </row>
    <row r="514">
      <c r="A514" t="inlineStr">
        <is>
          <t>No</t>
        </is>
      </c>
      <c r="B514" t="inlineStr">
        <is>
          <t>RJ560 .C46 1996</t>
        </is>
      </c>
      <c r="C514" t="inlineStr">
        <is>
          <t>0                      RJ 0560000C  46          1996</t>
        </is>
      </c>
      <c r="D514" t="inlineStr">
        <is>
          <t>Children, medicines, and culture / Patricia J. Bush ...[et al.], editors.</t>
        </is>
      </c>
      <c r="F514" t="inlineStr">
        <is>
          <t>No</t>
        </is>
      </c>
      <c r="G514" t="inlineStr">
        <is>
          <t>1</t>
        </is>
      </c>
      <c r="H514" t="inlineStr">
        <is>
          <t>Yes</t>
        </is>
      </c>
      <c r="I514" t="inlineStr">
        <is>
          <t>No</t>
        </is>
      </c>
      <c r="J514" t="inlineStr">
        <is>
          <t>0</t>
        </is>
      </c>
      <c r="L514" t="inlineStr">
        <is>
          <t>New York : Pharmaceutical Products Press, c1996.</t>
        </is>
      </c>
      <c r="M514" t="inlineStr">
        <is>
          <t>1996</t>
        </is>
      </c>
      <c r="O514" t="inlineStr">
        <is>
          <t>eng</t>
        </is>
      </c>
      <c r="P514" t="inlineStr">
        <is>
          <t>nyu</t>
        </is>
      </c>
      <c r="R514" t="inlineStr">
        <is>
          <t xml:space="preserve">RJ </t>
        </is>
      </c>
      <c r="S514" t="n">
        <v>4</v>
      </c>
      <c r="T514" t="n">
        <v>5</v>
      </c>
      <c r="U514" t="inlineStr">
        <is>
          <t>2000-02-09</t>
        </is>
      </c>
      <c r="V514" t="inlineStr">
        <is>
          <t>2000-02-09</t>
        </is>
      </c>
      <c r="W514" t="inlineStr">
        <is>
          <t>1997-06-09</t>
        </is>
      </c>
      <c r="X514" t="inlineStr">
        <is>
          <t>2000-02-28</t>
        </is>
      </c>
      <c r="Y514" t="n">
        <v>164</v>
      </c>
      <c r="Z514" t="n">
        <v>136</v>
      </c>
      <c r="AA514" t="n">
        <v>140</v>
      </c>
      <c r="AB514" t="n">
        <v>2</v>
      </c>
      <c r="AC514" t="n">
        <v>2</v>
      </c>
      <c r="AD514" t="n">
        <v>3</v>
      </c>
      <c r="AE514" t="n">
        <v>3</v>
      </c>
      <c r="AF514" t="n">
        <v>0</v>
      </c>
      <c r="AG514" t="n">
        <v>0</v>
      </c>
      <c r="AH514" t="n">
        <v>2</v>
      </c>
      <c r="AI514" t="n">
        <v>2</v>
      </c>
      <c r="AJ514" t="n">
        <v>2</v>
      </c>
      <c r="AK514" t="n">
        <v>2</v>
      </c>
      <c r="AL514" t="n">
        <v>0</v>
      </c>
      <c r="AM514" t="n">
        <v>0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HYPERLINK("https://creighton-primo.hosted.exlibrisgroup.com/primo-explore/search?tab=default_tab&amp;search_scope=EVERYTHING&amp;vid=01CRU&amp;lang=en_US&amp;offset=0&amp;query=any,contains,991001791849702656","Catalog Record")</f>
        <v/>
      </c>
      <c r="AT514">
        <f>HYPERLINK("http://www.worldcat.org/oclc/32464999","WorldCat Record")</f>
        <v/>
      </c>
      <c r="AU514" t="inlineStr">
        <is>
          <t>354636151:eng</t>
        </is>
      </c>
      <c r="AV514" t="inlineStr">
        <is>
          <t>32464999</t>
        </is>
      </c>
      <c r="AW514" t="inlineStr">
        <is>
          <t>991001791849702656</t>
        </is>
      </c>
      <c r="AX514" t="inlineStr">
        <is>
          <t>991001791849702656</t>
        </is>
      </c>
      <c r="AY514" t="inlineStr">
        <is>
          <t>2268508200002656</t>
        </is>
      </c>
      <c r="AZ514" t="inlineStr">
        <is>
          <t>BOOK</t>
        </is>
      </c>
      <c r="BB514" t="inlineStr">
        <is>
          <t>9781560249375</t>
        </is>
      </c>
      <c r="BC514" t="inlineStr">
        <is>
          <t>30001003680446</t>
        </is>
      </c>
      <c r="BD514" t="inlineStr">
        <is>
          <t>893638636</t>
        </is>
      </c>
    </row>
    <row r="515">
      <c r="A515" t="inlineStr">
        <is>
          <t>No</t>
        </is>
      </c>
      <c r="B515" t="inlineStr">
        <is>
          <t>IN SERIALS</t>
        </is>
      </c>
      <c r="C515" t="inlineStr">
        <is>
          <t>8IN SERIALS</t>
        </is>
      </c>
      <c r="D515" t="inlineStr">
        <is>
          <t>Juvenile rheumatoid arthritis / Earl J. Brewer, Edward H. Giannini, and Donald A. Person.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Yes</t>
        </is>
      </c>
      <c r="J515" t="inlineStr">
        <is>
          <t>0</t>
        </is>
      </c>
      <c r="K515" t="inlineStr">
        <is>
          <t>Brewer, Earl J., 1928-</t>
        </is>
      </c>
      <c r="L515" t="inlineStr">
        <is>
          <t>Philadelphia : Saunders, c1982.</t>
        </is>
      </c>
      <c r="M515" t="inlineStr">
        <is>
          <t>1982</t>
        </is>
      </c>
      <c r="N515" t="inlineStr">
        <is>
          <t>2nd ed.</t>
        </is>
      </c>
      <c r="O515" t="inlineStr">
        <is>
          <t>eng</t>
        </is>
      </c>
      <c r="P515" t="inlineStr">
        <is>
          <t>xxu</t>
        </is>
      </c>
      <c r="Q515" t="inlineStr">
        <is>
          <t>Major problems in clinical pediatrics ; v. 6</t>
        </is>
      </c>
      <c r="R515" t="inlineStr">
        <is>
          <t xml:space="preserve">RJ </t>
        </is>
      </c>
      <c r="S515" t="n">
        <v>3</v>
      </c>
      <c r="T515" t="n">
        <v>3</v>
      </c>
      <c r="U515" t="inlineStr">
        <is>
          <t>1991-02-14</t>
        </is>
      </c>
      <c r="V515" t="inlineStr">
        <is>
          <t>1991-02-14</t>
        </is>
      </c>
      <c r="W515" t="inlineStr">
        <is>
          <t>1989-06-12</t>
        </is>
      </c>
      <c r="X515" t="inlineStr">
        <is>
          <t>1989-06-12</t>
        </is>
      </c>
      <c r="Y515" t="n">
        <v>180</v>
      </c>
      <c r="Z515" t="n">
        <v>148</v>
      </c>
      <c r="AA515" t="n">
        <v>211</v>
      </c>
      <c r="AB515" t="n">
        <v>1</v>
      </c>
      <c r="AC515" t="n">
        <v>1</v>
      </c>
      <c r="AD515" t="n">
        <v>1</v>
      </c>
      <c r="AE515" t="n">
        <v>3</v>
      </c>
      <c r="AF515" t="n">
        <v>0</v>
      </c>
      <c r="AG515" t="n">
        <v>0</v>
      </c>
      <c r="AH515" t="n">
        <v>0</v>
      </c>
      <c r="AI515" t="n">
        <v>0</v>
      </c>
      <c r="AJ515" t="n">
        <v>1</v>
      </c>
      <c r="AK515" t="n">
        <v>3</v>
      </c>
      <c r="AL515" t="n">
        <v>0</v>
      </c>
      <c r="AM515" t="n">
        <v>0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HYPERLINK("http://catalog.hathitrust.org/Record/002577173","HathiTrust Record")</f>
        <v/>
      </c>
      <c r="AS515">
        <f>HYPERLINK("https://creighton-primo.hosted.exlibrisgroup.com/primo-explore/search?tab=default_tab&amp;search_scope=EVERYTHING&amp;vid=01CRU&amp;lang=en_US&amp;offset=0&amp;query=any,contains,991001437179702656","Catalog Record")</f>
        <v/>
      </c>
      <c r="AT515">
        <f>HYPERLINK("http://www.worldcat.org/oclc/7774234","WorldCat Record")</f>
        <v/>
      </c>
      <c r="AU515" t="inlineStr">
        <is>
          <t>448008:eng</t>
        </is>
      </c>
      <c r="AV515" t="inlineStr">
        <is>
          <t>7774234</t>
        </is>
      </c>
      <c r="AW515" t="inlineStr">
        <is>
          <t>991001437179702656</t>
        </is>
      </c>
      <c r="AX515" t="inlineStr">
        <is>
          <t>991001437179702656</t>
        </is>
      </c>
      <c r="AY515" t="inlineStr">
        <is>
          <t>2272644410002656</t>
        </is>
      </c>
      <c r="AZ515" t="inlineStr">
        <is>
          <t>BOOK</t>
        </is>
      </c>
      <c r="BB515" t="inlineStr">
        <is>
          <t>9780721619866</t>
        </is>
      </c>
      <c r="BC515" t="inlineStr">
        <is>
          <t>89700-1001</t>
        </is>
      </c>
      <c r="BD515" t="inlineStr">
        <is>
          <t>893121490</t>
        </is>
      </c>
    </row>
    <row r="516">
      <c r="A516" t="inlineStr">
        <is>
          <t>No</t>
        </is>
      </c>
      <c r="B516" t="inlineStr">
        <is>
          <t>IN SERIALS</t>
        </is>
      </c>
      <c r="C516" t="inlineStr">
        <is>
          <t>8IN SERIALS</t>
        </is>
      </c>
      <c r="D516" t="inlineStr">
        <is>
          <t>The lung and its disorders in the newborn infant / by Mary Ellen Avery.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Yes</t>
        </is>
      </c>
      <c r="J516" t="inlineStr">
        <is>
          <t>0</t>
        </is>
      </c>
      <c r="K516" t="inlineStr">
        <is>
          <t>Avery, Mary Ellen, 1927-2011.</t>
        </is>
      </c>
      <c r="L516" t="inlineStr">
        <is>
          <t>-- Philadelphia : Saunders, 1964.</t>
        </is>
      </c>
      <c r="M516" t="inlineStr">
        <is>
          <t>1964</t>
        </is>
      </c>
      <c r="O516" t="inlineStr">
        <is>
          <t>eng</t>
        </is>
      </c>
      <c r="P516" t="inlineStr">
        <is>
          <t>|||</t>
        </is>
      </c>
      <c r="Q516" t="inlineStr">
        <is>
          <t>Major problems in clinical pediatrics ; v. 1</t>
        </is>
      </c>
      <c r="R516" t="inlineStr">
        <is>
          <t xml:space="preserve">RJ </t>
        </is>
      </c>
      <c r="S516" t="n">
        <v>2</v>
      </c>
      <c r="T516" t="n">
        <v>2</v>
      </c>
      <c r="U516" t="inlineStr">
        <is>
          <t>1994-01-18</t>
        </is>
      </c>
      <c r="V516" t="inlineStr">
        <is>
          <t>1994-01-18</t>
        </is>
      </c>
      <c r="W516" t="inlineStr">
        <is>
          <t>1989-06-09</t>
        </is>
      </c>
      <c r="X516" t="inlineStr">
        <is>
          <t>1989-06-09</t>
        </is>
      </c>
      <c r="Y516" t="n">
        <v>116</v>
      </c>
      <c r="Z516" t="n">
        <v>74</v>
      </c>
      <c r="AA516" t="n">
        <v>263</v>
      </c>
      <c r="AB516" t="n">
        <v>1</v>
      </c>
      <c r="AC516" t="n">
        <v>2</v>
      </c>
      <c r="AD516" t="n">
        <v>3</v>
      </c>
      <c r="AE516" t="n">
        <v>8</v>
      </c>
      <c r="AF516" t="n">
        <v>1</v>
      </c>
      <c r="AG516" t="n">
        <v>1</v>
      </c>
      <c r="AH516" t="n">
        <v>0</v>
      </c>
      <c r="AI516" t="n">
        <v>1</v>
      </c>
      <c r="AJ516" t="n">
        <v>2</v>
      </c>
      <c r="AK516" t="n">
        <v>5</v>
      </c>
      <c r="AL516" t="n">
        <v>0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HYPERLINK("http://catalog.hathitrust.org/Record/002580958","HathiTrust Record")</f>
        <v/>
      </c>
      <c r="AS516">
        <f>HYPERLINK("https://creighton-primo.hosted.exlibrisgroup.com/primo-explore/search?tab=default_tab&amp;search_scope=EVERYTHING&amp;vid=01CRU&amp;lang=en_US&amp;offset=0&amp;query=any,contains,991001436739702656","Catalog Record")</f>
        <v/>
      </c>
      <c r="AT516">
        <f>HYPERLINK("http://www.worldcat.org/oclc/993467","WorldCat Record")</f>
        <v/>
      </c>
      <c r="AU516" t="inlineStr">
        <is>
          <t>1573742:eng</t>
        </is>
      </c>
      <c r="AV516" t="inlineStr">
        <is>
          <t>993467</t>
        </is>
      </c>
      <c r="AW516" t="inlineStr">
        <is>
          <t>991001436739702656</t>
        </is>
      </c>
      <c r="AX516" t="inlineStr">
        <is>
          <t>991001436739702656</t>
        </is>
      </c>
      <c r="AY516" t="inlineStr">
        <is>
          <t>2255996130002656</t>
        </is>
      </c>
      <c r="AZ516" t="inlineStr">
        <is>
          <t>BOOK</t>
        </is>
      </c>
      <c r="BC516" t="inlineStr">
        <is>
          <t>89688-1001</t>
        </is>
      </c>
      <c r="BD516" t="inlineStr">
        <is>
          <t>893268520</t>
        </is>
      </c>
    </row>
    <row r="517">
      <c r="A517" t="inlineStr">
        <is>
          <t>No</t>
        </is>
      </c>
      <c r="B517" t="inlineStr">
        <is>
          <t>IN SERIALS</t>
        </is>
      </c>
      <c r="C517" t="inlineStr">
        <is>
          <t>8IN SERIALS</t>
        </is>
      </c>
      <c r="D517" t="inlineStr">
        <is>
          <t>Hematologic problems in the newborn / by Frank A. Oski and J. Lawrence Naiman.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Oski, Frank A.</t>
        </is>
      </c>
      <c r="L517" t="inlineStr">
        <is>
          <t>-- Philadelphia : Saunders, 1966.</t>
        </is>
      </c>
      <c r="M517" t="inlineStr">
        <is>
          <t>1966</t>
        </is>
      </c>
      <c r="O517" t="inlineStr">
        <is>
          <t>eng</t>
        </is>
      </c>
      <c r="P517" t="inlineStr">
        <is>
          <t>pau</t>
        </is>
      </c>
      <c r="Q517" t="inlineStr">
        <is>
          <t>Major problems in clinical pediatrics ; v. 4</t>
        </is>
      </c>
      <c r="R517" t="inlineStr">
        <is>
          <t xml:space="preserve">RJ </t>
        </is>
      </c>
      <c r="S517" t="n">
        <v>2</v>
      </c>
      <c r="T517" t="n">
        <v>2</v>
      </c>
      <c r="U517" t="inlineStr">
        <is>
          <t>1993-01-29</t>
        </is>
      </c>
      <c r="V517" t="inlineStr">
        <is>
          <t>1993-01-29</t>
        </is>
      </c>
      <c r="W517" t="inlineStr">
        <is>
          <t>1989-06-12</t>
        </is>
      </c>
      <c r="X517" t="inlineStr">
        <is>
          <t>1989-06-12</t>
        </is>
      </c>
      <c r="Y517" t="n">
        <v>123</v>
      </c>
      <c r="Z517" t="n">
        <v>94</v>
      </c>
      <c r="AA517" t="n">
        <v>96</v>
      </c>
      <c r="AB517" t="n">
        <v>1</v>
      </c>
      <c r="AC517" t="n">
        <v>1</v>
      </c>
      <c r="AD517" t="n">
        <v>1</v>
      </c>
      <c r="AE517" t="n">
        <v>1</v>
      </c>
      <c r="AF517" t="n">
        <v>0</v>
      </c>
      <c r="AG517" t="n">
        <v>0</v>
      </c>
      <c r="AH517" t="n">
        <v>0</v>
      </c>
      <c r="AI517" t="n">
        <v>0</v>
      </c>
      <c r="AJ517" t="n">
        <v>1</v>
      </c>
      <c r="AK517" t="n">
        <v>1</v>
      </c>
      <c r="AL517" t="n">
        <v>0</v>
      </c>
      <c r="AM517" t="n">
        <v>0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HYPERLINK("http://catalog.hathitrust.org/Record/002577121","HathiTrust Record")</f>
        <v/>
      </c>
      <c r="AS517">
        <f>HYPERLINK("https://creighton-primo.hosted.exlibrisgroup.com/primo-explore/search?tab=default_tab&amp;search_scope=EVERYTHING&amp;vid=01CRU&amp;lang=en_US&amp;offset=0&amp;query=any,contains,991001437039702656","Catalog Record")</f>
        <v/>
      </c>
      <c r="AT517">
        <f>HYPERLINK("http://www.worldcat.org/oclc/3677162","WorldCat Record")</f>
        <v/>
      </c>
      <c r="AU517" t="inlineStr">
        <is>
          <t>10792287252:eng</t>
        </is>
      </c>
      <c r="AV517" t="inlineStr">
        <is>
          <t>3677162</t>
        </is>
      </c>
      <c r="AW517" t="inlineStr">
        <is>
          <t>991001437039702656</t>
        </is>
      </c>
      <c r="AX517" t="inlineStr">
        <is>
          <t>991001437039702656</t>
        </is>
      </c>
      <c r="AY517" t="inlineStr">
        <is>
          <t>2262688770002656</t>
        </is>
      </c>
      <c r="AZ517" t="inlineStr">
        <is>
          <t>BOOK</t>
        </is>
      </c>
      <c r="BC517" t="inlineStr">
        <is>
          <t>89696-1001</t>
        </is>
      </c>
      <c r="BD517" t="inlineStr">
        <is>
          <t>893455804</t>
        </is>
      </c>
    </row>
    <row r="518">
      <c r="A518" t="inlineStr">
        <is>
          <t>No</t>
        </is>
      </c>
      <c r="B518" t="inlineStr">
        <is>
          <t>IN SERIALS</t>
        </is>
      </c>
      <c r="C518" t="inlineStr">
        <is>
          <t>8IN SERIALS</t>
        </is>
      </c>
      <c r="D518" t="inlineStr">
        <is>
          <t>Neurology of the newborn / Joseph J. Volpe.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Yes</t>
        </is>
      </c>
      <c r="J518" t="inlineStr">
        <is>
          <t>0</t>
        </is>
      </c>
      <c r="K518" t="inlineStr">
        <is>
          <t>Volpe, Joseph J.</t>
        </is>
      </c>
      <c r="L518" t="inlineStr">
        <is>
          <t>Philadelphia : Saunders, c1981.</t>
        </is>
      </c>
      <c r="M518" t="inlineStr">
        <is>
          <t>1981</t>
        </is>
      </c>
      <c r="O518" t="inlineStr">
        <is>
          <t>eng</t>
        </is>
      </c>
      <c r="P518" t="inlineStr">
        <is>
          <t>pau</t>
        </is>
      </c>
      <c r="Q518" t="inlineStr">
        <is>
          <t>Major problems in clinical pediatrics ; v. 22</t>
        </is>
      </c>
      <c r="R518" t="inlineStr">
        <is>
          <t xml:space="preserve">RJ </t>
        </is>
      </c>
      <c r="S518" t="n">
        <v>5</v>
      </c>
      <c r="T518" t="n">
        <v>5</v>
      </c>
      <c r="U518" t="inlineStr">
        <is>
          <t>1992-08-10</t>
        </is>
      </c>
      <c r="V518" t="inlineStr">
        <is>
          <t>1992-08-10</t>
        </is>
      </c>
      <c r="W518" t="inlineStr">
        <is>
          <t>1989-06-12</t>
        </is>
      </c>
      <c r="X518" t="inlineStr">
        <is>
          <t>1989-06-12</t>
        </is>
      </c>
      <c r="Y518" t="n">
        <v>160</v>
      </c>
      <c r="Z518" t="n">
        <v>116</v>
      </c>
      <c r="AA518" t="n">
        <v>449</v>
      </c>
      <c r="AB518" t="n">
        <v>1</v>
      </c>
      <c r="AC518" t="n">
        <v>2</v>
      </c>
      <c r="AD518" t="n">
        <v>0</v>
      </c>
      <c r="AE518" t="n">
        <v>13</v>
      </c>
      <c r="AF518" t="n">
        <v>0</v>
      </c>
      <c r="AG518" t="n">
        <v>4</v>
      </c>
      <c r="AH518" t="n">
        <v>0</v>
      </c>
      <c r="AI518" t="n">
        <v>4</v>
      </c>
      <c r="AJ518" t="n">
        <v>0</v>
      </c>
      <c r="AK518" t="n">
        <v>7</v>
      </c>
      <c r="AL518" t="n">
        <v>0</v>
      </c>
      <c r="AM518" t="n">
        <v>1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HYPERLINK("http://catalog.hathitrust.org/Record/000084752","HathiTrust Record")</f>
        <v/>
      </c>
      <c r="AS518">
        <f>HYPERLINK("https://creighton-primo.hosted.exlibrisgroup.com/primo-explore/search?tab=default_tab&amp;search_scope=EVERYTHING&amp;vid=01CRU&amp;lang=en_US&amp;offset=0&amp;query=any,contains,991001437809702656","Catalog Record")</f>
        <v/>
      </c>
      <c r="AT518">
        <f>HYPERLINK("http://www.worldcat.org/oclc/6666494","WorldCat Record")</f>
        <v/>
      </c>
      <c r="AU518" t="inlineStr">
        <is>
          <t>2709133:eng</t>
        </is>
      </c>
      <c r="AV518" t="inlineStr">
        <is>
          <t>6666494</t>
        </is>
      </c>
      <c r="AW518" t="inlineStr">
        <is>
          <t>991001437809702656</t>
        </is>
      </c>
      <c r="AX518" t="inlineStr">
        <is>
          <t>991001437809702656</t>
        </is>
      </c>
      <c r="AY518" t="inlineStr">
        <is>
          <t>2261204640002656</t>
        </is>
      </c>
      <c r="AZ518" t="inlineStr">
        <is>
          <t>BOOK</t>
        </is>
      </c>
      <c r="BB518" t="inlineStr">
        <is>
          <t>9780721690773</t>
        </is>
      </c>
      <c r="BC518" t="inlineStr">
        <is>
          <t>89715-1001</t>
        </is>
      </c>
      <c r="BD518" t="inlineStr">
        <is>
          <t>893358583</t>
        </is>
      </c>
    </row>
    <row r="519">
      <c r="A519" t="inlineStr">
        <is>
          <t>No</t>
        </is>
      </c>
      <c r="B519" t="inlineStr">
        <is>
          <t>IN SERIALS</t>
        </is>
      </c>
      <c r="C519" t="inlineStr">
        <is>
          <t>8IN SERIALS</t>
        </is>
      </c>
      <c r="D519" t="inlineStr">
        <is>
          <t>Neurologic infections in children / by William E. Bell, William F. McCormick.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Bell, William Edward, 1929-</t>
        </is>
      </c>
      <c r="L519" t="inlineStr">
        <is>
          <t>Philadelphia : Saunders, 1981.</t>
        </is>
      </c>
      <c r="M519" t="inlineStr">
        <is>
          <t>1981</t>
        </is>
      </c>
      <c r="N519" t="inlineStr">
        <is>
          <t>2nd ed.</t>
        </is>
      </c>
      <c r="O519" t="inlineStr">
        <is>
          <t>eng</t>
        </is>
      </c>
      <c r="P519" t="inlineStr">
        <is>
          <t>xxu</t>
        </is>
      </c>
      <c r="Q519" t="inlineStr">
        <is>
          <t>Major problems in clinical pediatrics ; v. 12</t>
        </is>
      </c>
      <c r="R519" t="inlineStr">
        <is>
          <t xml:space="preserve">RJ </t>
        </is>
      </c>
      <c r="S519" t="n">
        <v>3</v>
      </c>
      <c r="T519" t="n">
        <v>3</v>
      </c>
      <c r="U519" t="inlineStr">
        <is>
          <t>1992-08-24</t>
        </is>
      </c>
      <c r="V519" t="inlineStr">
        <is>
          <t>1992-08-24</t>
        </is>
      </c>
      <c r="W519" t="inlineStr">
        <is>
          <t>1989-06-12</t>
        </is>
      </c>
      <c r="X519" t="inlineStr">
        <is>
          <t>1989-06-12</t>
        </is>
      </c>
      <c r="Y519" t="n">
        <v>159</v>
      </c>
      <c r="Z519" t="n">
        <v>118</v>
      </c>
      <c r="AA519" t="n">
        <v>167</v>
      </c>
      <c r="AB519" t="n">
        <v>1</v>
      </c>
      <c r="AC519" t="n">
        <v>1</v>
      </c>
      <c r="AD519" t="n">
        <v>1</v>
      </c>
      <c r="AE519" t="n">
        <v>2</v>
      </c>
      <c r="AF519" t="n">
        <v>0</v>
      </c>
      <c r="AG519" t="n">
        <v>0</v>
      </c>
      <c r="AH519" t="n">
        <v>0</v>
      </c>
      <c r="AI519" t="n">
        <v>0</v>
      </c>
      <c r="AJ519" t="n">
        <v>1</v>
      </c>
      <c r="AK519" t="n">
        <v>2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HYPERLINK("http://catalog.hathitrust.org/Record/000144076","HathiTrust Record")</f>
        <v/>
      </c>
      <c r="AS519">
        <f>HYPERLINK("https://creighton-primo.hosted.exlibrisgroup.com/primo-explore/search?tab=default_tab&amp;search_scope=EVERYTHING&amp;vid=01CRU&amp;lang=en_US&amp;offset=0&amp;query=any,contains,991001437379702656","Catalog Record")</f>
        <v/>
      </c>
      <c r="AT519">
        <f>HYPERLINK("http://www.worldcat.org/oclc/7573425","WorldCat Record")</f>
        <v/>
      </c>
      <c r="AU519" t="inlineStr">
        <is>
          <t>2129693:eng</t>
        </is>
      </c>
      <c r="AV519" t="inlineStr">
        <is>
          <t>7573425</t>
        </is>
      </c>
      <c r="AW519" t="inlineStr">
        <is>
          <t>991001437379702656</t>
        </is>
      </c>
      <c r="AX519" t="inlineStr">
        <is>
          <t>991001437379702656</t>
        </is>
      </c>
      <c r="AY519" t="inlineStr">
        <is>
          <t>2255886460002656</t>
        </is>
      </c>
      <c r="AZ519" t="inlineStr">
        <is>
          <t>BOOK</t>
        </is>
      </c>
      <c r="BB519" t="inlineStr">
        <is>
          <t>9780721616766</t>
        </is>
      </c>
      <c r="BC519" t="inlineStr">
        <is>
          <t>89705-1001</t>
        </is>
      </c>
      <c r="BD519" t="inlineStr">
        <is>
          <t>893455806</t>
        </is>
      </c>
    </row>
    <row r="520">
      <c r="A520" t="inlineStr">
        <is>
          <t>No</t>
        </is>
      </c>
      <c r="B520" t="inlineStr">
        <is>
          <t>IN SERIALS</t>
        </is>
      </c>
      <c r="C520" t="inlineStr">
        <is>
          <t>8IN SERIALS</t>
        </is>
      </c>
      <c r="D520" t="inlineStr">
        <is>
          <t>Hematologic problems in the newborn / by Frank A. Oski and J. Lawrence Naiman.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Yes</t>
        </is>
      </c>
      <c r="J520" t="inlineStr">
        <is>
          <t>0</t>
        </is>
      </c>
      <c r="K520" t="inlineStr">
        <is>
          <t>Oski, Frank A.</t>
        </is>
      </c>
      <c r="L520" t="inlineStr">
        <is>
          <t>Philadelphia : Saunders, 1972.</t>
        </is>
      </c>
      <c r="M520" t="inlineStr">
        <is>
          <t>1972</t>
        </is>
      </c>
      <c r="N520" t="inlineStr">
        <is>
          <t>-- 2d ed. --</t>
        </is>
      </c>
      <c r="O520" t="inlineStr">
        <is>
          <t>eng</t>
        </is>
      </c>
      <c r="P520" t="inlineStr">
        <is>
          <t>pau</t>
        </is>
      </c>
      <c r="Q520" t="inlineStr">
        <is>
          <t>Major problems in clinical pediatrics ; v. 4</t>
        </is>
      </c>
      <c r="R520" t="inlineStr">
        <is>
          <t xml:space="preserve">RJ </t>
        </is>
      </c>
      <c r="S520" t="n">
        <v>2</v>
      </c>
      <c r="T520" t="n">
        <v>2</v>
      </c>
      <c r="U520" t="inlineStr">
        <is>
          <t>1993-01-29</t>
        </is>
      </c>
      <c r="V520" t="inlineStr">
        <is>
          <t>1993-01-29</t>
        </is>
      </c>
      <c r="W520" t="inlineStr">
        <is>
          <t>1989-06-09</t>
        </is>
      </c>
      <c r="X520" t="inlineStr">
        <is>
          <t>1989-06-09</t>
        </is>
      </c>
      <c r="Y520" t="n">
        <v>146</v>
      </c>
      <c r="Z520" t="n">
        <v>102</v>
      </c>
      <c r="AA520" t="n">
        <v>169</v>
      </c>
      <c r="AB520" t="n">
        <v>1</v>
      </c>
      <c r="AC520" t="n">
        <v>1</v>
      </c>
      <c r="AD520" t="n">
        <v>1</v>
      </c>
      <c r="AE520" t="n">
        <v>2</v>
      </c>
      <c r="AF520" t="n">
        <v>0</v>
      </c>
      <c r="AG520" t="n">
        <v>0</v>
      </c>
      <c r="AH520" t="n">
        <v>0</v>
      </c>
      <c r="AI520" t="n">
        <v>0</v>
      </c>
      <c r="AJ520" t="n">
        <v>1</v>
      </c>
      <c r="AK520" t="n">
        <v>2</v>
      </c>
      <c r="AL520" t="n">
        <v>0</v>
      </c>
      <c r="AM520" t="n">
        <v>0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HYPERLINK("http://catalog.hathitrust.org/Record/002577046","HathiTrust Record")</f>
        <v/>
      </c>
      <c r="AS520">
        <f>HYPERLINK("https://creighton-primo.hosted.exlibrisgroup.com/primo-explore/search?tab=default_tab&amp;search_scope=EVERYTHING&amp;vid=01CRU&amp;lang=en_US&amp;offset=0&amp;query=any,contains,991001437099702656","Catalog Record")</f>
        <v/>
      </c>
      <c r="AT520">
        <f>HYPERLINK("http://www.worldcat.org/oclc/297607","WorldCat Record")</f>
        <v/>
      </c>
      <c r="AU520" t="inlineStr">
        <is>
          <t>3372488204:eng</t>
        </is>
      </c>
      <c r="AV520" t="inlineStr">
        <is>
          <t>297607</t>
        </is>
      </c>
      <c r="AW520" t="inlineStr">
        <is>
          <t>991001437099702656</t>
        </is>
      </c>
      <c r="AX520" t="inlineStr">
        <is>
          <t>991001437099702656</t>
        </is>
      </c>
      <c r="AY520" t="inlineStr">
        <is>
          <t>2264827510002656</t>
        </is>
      </c>
      <c r="AZ520" t="inlineStr">
        <is>
          <t>BOOK</t>
        </is>
      </c>
      <c r="BB520" t="inlineStr">
        <is>
          <t>9780721670218</t>
        </is>
      </c>
      <c r="BC520" t="inlineStr">
        <is>
          <t>89698-1001</t>
        </is>
      </c>
      <c r="BD520" t="inlineStr">
        <is>
          <t>893451184</t>
        </is>
      </c>
    </row>
    <row r="521">
      <c r="A521" t="inlineStr">
        <is>
          <t>No</t>
        </is>
      </c>
      <c r="B521" t="inlineStr">
        <is>
          <t>IN SERIALS</t>
        </is>
      </c>
      <c r="C521" t="inlineStr">
        <is>
          <t>8IN SERIALS</t>
        </is>
      </c>
      <c r="D521" t="inlineStr">
        <is>
          <t>Increased intracranial pressure in children / by William E. Bell and William F. McCormick.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Bell, William Edward, 1929-</t>
        </is>
      </c>
      <c r="L521" t="inlineStr">
        <is>
          <t>-- Philadelphia : Saunders, 1972.</t>
        </is>
      </c>
      <c r="M521" t="inlineStr">
        <is>
          <t>1972</t>
        </is>
      </c>
      <c r="O521" t="inlineStr">
        <is>
          <t>eng</t>
        </is>
      </c>
      <c r="P521" t="inlineStr">
        <is>
          <t>pau</t>
        </is>
      </c>
      <c r="Q521" t="inlineStr">
        <is>
          <t>Major problems in clinical pediatrics ; v. 8</t>
        </is>
      </c>
      <c r="R521" t="inlineStr">
        <is>
          <t xml:space="preserve">RJ </t>
        </is>
      </c>
      <c r="S521" t="n">
        <v>3</v>
      </c>
      <c r="T521" t="n">
        <v>3</v>
      </c>
      <c r="U521" t="inlineStr">
        <is>
          <t>1992-08-24</t>
        </is>
      </c>
      <c r="V521" t="inlineStr">
        <is>
          <t>1992-08-24</t>
        </is>
      </c>
      <c r="W521" t="inlineStr">
        <is>
          <t>1989-06-09</t>
        </is>
      </c>
      <c r="X521" t="inlineStr">
        <is>
          <t>1989-06-09</t>
        </is>
      </c>
      <c r="Y521" t="n">
        <v>147</v>
      </c>
      <c r="Z521" t="n">
        <v>100</v>
      </c>
      <c r="AA521" t="n">
        <v>158</v>
      </c>
      <c r="AB521" t="n">
        <v>2</v>
      </c>
      <c r="AC521" t="n">
        <v>3</v>
      </c>
      <c r="AD521" t="n">
        <v>3</v>
      </c>
      <c r="AE521" t="n">
        <v>4</v>
      </c>
      <c r="AF521" t="n">
        <v>0</v>
      </c>
      <c r="AG521" t="n">
        <v>0</v>
      </c>
      <c r="AH521" t="n">
        <v>0</v>
      </c>
      <c r="AI521" t="n">
        <v>0</v>
      </c>
      <c r="AJ521" t="n">
        <v>2</v>
      </c>
      <c r="AK521" t="n">
        <v>2</v>
      </c>
      <c r="AL521" t="n">
        <v>1</v>
      </c>
      <c r="AM521" t="n">
        <v>2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HYPERLINK("http://catalog.hathitrust.org/Record/001663862","HathiTrust Record")</f>
        <v/>
      </c>
      <c r="AS521">
        <f>HYPERLINK("https://creighton-primo.hosted.exlibrisgroup.com/primo-explore/search?tab=default_tab&amp;search_scope=EVERYTHING&amp;vid=01CRU&amp;lang=en_US&amp;offset=0&amp;query=any,contains,991001437219702656","Catalog Record")</f>
        <v/>
      </c>
      <c r="AT521">
        <f>HYPERLINK("http://www.worldcat.org/oclc/403062","WorldCat Record")</f>
        <v/>
      </c>
      <c r="AU521" t="inlineStr">
        <is>
          <t>889763115:eng</t>
        </is>
      </c>
      <c r="AV521" t="inlineStr">
        <is>
          <t>403062</t>
        </is>
      </c>
      <c r="AW521" t="inlineStr">
        <is>
          <t>991001437219702656</t>
        </is>
      </c>
      <c r="AX521" t="inlineStr">
        <is>
          <t>991001437219702656</t>
        </is>
      </c>
      <c r="AY521" t="inlineStr">
        <is>
          <t>2265302360002656</t>
        </is>
      </c>
      <c r="AZ521" t="inlineStr">
        <is>
          <t>BOOK</t>
        </is>
      </c>
      <c r="BB521" t="inlineStr">
        <is>
          <t>9780721616834</t>
        </is>
      </c>
      <c r="BC521" t="inlineStr">
        <is>
          <t>89701-1001</t>
        </is>
      </c>
      <c r="BD521" t="inlineStr">
        <is>
          <t>893455805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